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updateLinks="always" defaultThemeVersion="166925"/>
  <mc:AlternateContent xmlns:mc="http://schemas.openxmlformats.org/markup-compatibility/2006">
    <mc:Choice Requires="x15">
      <x15ac:absPath xmlns:x15ac="http://schemas.microsoft.com/office/spreadsheetml/2010/11/ac" url="https://nncuedu-my.sharepoint.com/personal/minhtruc_365banquyen_com/Documents/My Documents/NGANSACH/2022/1. Huong dan XD du toan 2022/Bieu Mau chuan/"/>
    </mc:Choice>
  </mc:AlternateContent>
  <xr:revisionPtr revIDLastSave="154" documentId="8_{37595925-3581-4FB2-8B29-00AC6A8C5592}" xr6:coauthVersionLast="45" xr6:coauthVersionMax="45" xr10:uidLastSave="{15DAC604-2446-4968-BE17-D0DD26C17001}"/>
  <bookViews>
    <workbookView xWindow="-120" yWindow="-120" windowWidth="19440" windowHeight="15000" tabRatio="786" firstSheet="10" activeTab="12" xr2:uid="{00000000-000D-0000-FFFF-FFFF00000000}"/>
  </bookViews>
  <sheets>
    <sheet name="4a (2)" sheetId="43" state="hidden" r:id="rId1"/>
    <sheet name="Tangthu2019" sheetId="42" state="hidden" r:id="rId2"/>
    <sheet name="Giam chi TGBC cap huyen" sheetId="40" state="hidden" r:id="rId3"/>
    <sheet name="4B (Đủ nguồn)" sheetId="34" state="hidden" r:id="rId4"/>
    <sheet name="Giam bien che 108" sheetId="38" state="hidden" r:id="rId5"/>
    <sheet name="Tong hop sat nhap 18, 19" sheetId="36" state="hidden" r:id="rId6"/>
    <sheet name="Chi tiet Sat nhap 18, 19" sheetId="37" state="hidden" r:id="rId7"/>
    <sheet name="Giam chi TGBC cap tinh" sheetId="41" state="hidden" r:id="rId8"/>
    <sheet name="Bieu chi tư nguon CCTL 2019" sheetId="35" state="hidden" r:id="rId9"/>
    <sheet name="2a tinh" sheetId="56" state="hidden" r:id="rId10"/>
    <sheet name="2a" sheetId="2" r:id="rId11"/>
    <sheet name="2b" sheetId="61" r:id="rId12"/>
    <sheet name="2c" sheetId="62" r:id="rId13"/>
    <sheet name="2C-TinhR" sheetId="20" state="hidden" r:id="rId14"/>
    <sheet name="2c-Tinh" sheetId="4" state="hidden" r:id="rId15"/>
    <sheet name="2g-TINH" sheetId="19" state="hidden" r:id="rId16"/>
    <sheet name="2h" sheetId="46" state="hidden" r:id="rId17"/>
    <sheet name="2i" sheetId="47" state="hidden" r:id="rId18"/>
    <sheet name="2k-Chi tiet" sheetId="24" state="hidden" r:id="rId19"/>
    <sheet name="Bieu 1-Cong an Xa" sheetId="51" state="hidden" r:id="rId20"/>
    <sheet name="Bieu 2-DQTV" sheetId="53" state="hidden" r:id="rId21"/>
    <sheet name="Bieu 3-CB khong chuyen trach xa" sheetId="55" state="hidden" r:id="rId22"/>
    <sheet name="Phan loai xa" sheetId="25" state="hidden"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#REF!</definedName>
    <definedName name="\0">'[1]PNT-QUOT-#3'!#REF!</definedName>
    <definedName name="\z">'[1]COAT&amp;WRAP-QIOT-#3'!#REF!</definedName>
    <definedName name="____________________________________________________NCL100" localSheetId="9">#REF!</definedName>
    <definedName name="____________________________________________________NCL100">#REF!</definedName>
    <definedName name="____________________________________________________NCL200" localSheetId="9">#REF!</definedName>
    <definedName name="____________________________________________________NCL200">#REF!</definedName>
    <definedName name="____________________________________________________NCL250" localSheetId="9">#REF!</definedName>
    <definedName name="____________________________________________________NCL250">#REF!</definedName>
    <definedName name="____________________________________________________TLA120">#REF!</definedName>
    <definedName name="____________________________________________________TLA35">#REF!</definedName>
    <definedName name="____________________________________________________TLA50">#REF!</definedName>
    <definedName name="____________________________________________________TLA70">#REF!</definedName>
    <definedName name="____________________________________________________TLA95">#REF!</definedName>
    <definedName name="____________________________________________________VL100">#REF!</definedName>
    <definedName name="____________________________________________________VL250">#REF!</definedName>
    <definedName name="___________________________________________________NCL100">#REF!</definedName>
    <definedName name="___________________________________________________NCL200">#REF!</definedName>
    <definedName name="___________________________________________________NCL250">#REF!</definedName>
    <definedName name="___________________________________________________TLA120">#REF!</definedName>
    <definedName name="___________________________________________________TLA35">#REF!</definedName>
    <definedName name="___________________________________________________TLA50">#REF!</definedName>
    <definedName name="___________________________________________________TLA70">#REF!</definedName>
    <definedName name="___________________________________________________TLA95">#REF!</definedName>
    <definedName name="___________________________________________________VL100">#REF!</definedName>
    <definedName name="___________________________________________________VL250">#REF!</definedName>
    <definedName name="__________________________________________________NCL100">#REF!</definedName>
    <definedName name="__________________________________________________NCL200">#REF!</definedName>
    <definedName name="__________________________________________________NCL250">#REF!</definedName>
    <definedName name="__________________________________________________TLA120">#REF!</definedName>
    <definedName name="__________________________________________________TLA35">#REF!</definedName>
    <definedName name="__________________________________________________TLA50">#REF!</definedName>
    <definedName name="__________________________________________________TLA70">#REF!</definedName>
    <definedName name="__________________________________________________TLA95">#REF!</definedName>
    <definedName name="__________________________________________________VL100">#REF!</definedName>
    <definedName name="__________________________________________________VL250">#REF!</definedName>
    <definedName name="_________________________________________________NCL100">#REF!</definedName>
    <definedName name="_________________________________________________NCL200">#REF!</definedName>
    <definedName name="_________________________________________________NCL250">#REF!</definedName>
    <definedName name="_________________________________________________TLA120">#REF!</definedName>
    <definedName name="_________________________________________________TLA35">#REF!</definedName>
    <definedName name="_________________________________________________TLA50">#REF!</definedName>
    <definedName name="_________________________________________________TLA70">#REF!</definedName>
    <definedName name="_________________________________________________TLA95">#REF!</definedName>
    <definedName name="_________________________________________________VL100">#REF!</definedName>
    <definedName name="_________________________________________________VL250">#REF!</definedName>
    <definedName name="________________________________________________NCL100">#REF!</definedName>
    <definedName name="________________________________________________NCL200">#REF!</definedName>
    <definedName name="________________________________________________NCL250">#REF!</definedName>
    <definedName name="________________________________________________TLA120">#REF!</definedName>
    <definedName name="________________________________________________TLA35">#REF!</definedName>
    <definedName name="________________________________________________TLA50">#REF!</definedName>
    <definedName name="________________________________________________TLA70">#REF!</definedName>
    <definedName name="________________________________________________TLA95">#REF!</definedName>
    <definedName name="________________________________________________VL100">#REF!</definedName>
    <definedName name="________________________________________________VL250">#REF!</definedName>
    <definedName name="_______________________________________________NCL100">#REF!</definedName>
    <definedName name="_______________________________________________NCL200">#REF!</definedName>
    <definedName name="_______________________________________________NCL250">#REF!</definedName>
    <definedName name="_______________________________________________TLA120">#REF!</definedName>
    <definedName name="_______________________________________________TLA35">#REF!</definedName>
    <definedName name="_______________________________________________TLA50">#REF!</definedName>
    <definedName name="_______________________________________________TLA70">#REF!</definedName>
    <definedName name="_______________________________________________TLA95">#REF!</definedName>
    <definedName name="_______________________________________________VL100">#REF!</definedName>
    <definedName name="_______________________________________________VL250">#REF!</definedName>
    <definedName name="______________________________________________NCL100">#REF!</definedName>
    <definedName name="______________________________________________NCL200">#REF!</definedName>
    <definedName name="______________________________________________NCL250">#REF!</definedName>
    <definedName name="______________________________________________TLA120">#REF!</definedName>
    <definedName name="______________________________________________TLA35">#REF!</definedName>
    <definedName name="______________________________________________TLA50">#REF!</definedName>
    <definedName name="______________________________________________TLA70">#REF!</definedName>
    <definedName name="______________________________________________TLA95">#REF!</definedName>
    <definedName name="______________________________________________VL100">#REF!</definedName>
    <definedName name="______________________________________________VL250">#REF!</definedName>
    <definedName name="_____________________________________________NCL100">#REF!</definedName>
    <definedName name="_____________________________________________NCL200">#REF!</definedName>
    <definedName name="_____________________________________________NCL250">#REF!</definedName>
    <definedName name="_____________________________________________TLA120">#REF!</definedName>
    <definedName name="_____________________________________________TLA35">#REF!</definedName>
    <definedName name="_____________________________________________TLA50">#REF!</definedName>
    <definedName name="_____________________________________________TLA70">#REF!</definedName>
    <definedName name="_____________________________________________TLA95">#REF!</definedName>
    <definedName name="_____________________________________________VL100">#REF!</definedName>
    <definedName name="_____________________________________________VL250">#REF!</definedName>
    <definedName name="____________________________________________NCL100">#REF!</definedName>
    <definedName name="____________________________________________NCL200">#REF!</definedName>
    <definedName name="____________________________________________NCL250">#REF!</definedName>
    <definedName name="____________________________________________TLA120">#REF!</definedName>
    <definedName name="____________________________________________TLA35">#REF!</definedName>
    <definedName name="____________________________________________TLA50">#REF!</definedName>
    <definedName name="____________________________________________TLA70">#REF!</definedName>
    <definedName name="____________________________________________TLA95">#REF!</definedName>
    <definedName name="____________________________________________VL100">#REF!</definedName>
    <definedName name="____________________________________________VL250">#REF!</definedName>
    <definedName name="___________________________________________NCL100">#REF!</definedName>
    <definedName name="___________________________________________NCL200">#REF!</definedName>
    <definedName name="___________________________________________NCL250">#REF!</definedName>
    <definedName name="___________________________________________nin190">#REF!</definedName>
    <definedName name="___________________________________________SN3">#REF!</definedName>
    <definedName name="___________________________________________TL3">#REF!</definedName>
    <definedName name="___________________________________________TLA120">#REF!</definedName>
    <definedName name="___________________________________________TLA35">#REF!</definedName>
    <definedName name="___________________________________________TLA50">#REF!</definedName>
    <definedName name="___________________________________________TLA70">#REF!</definedName>
    <definedName name="___________________________________________TLA95">#REF!</definedName>
    <definedName name="___________________________________________tz593">#REF!</definedName>
    <definedName name="___________________________________________VL100">#REF!</definedName>
    <definedName name="___________________________________________VL250">#REF!</definedName>
    <definedName name="__________________________________________a1" localSheetId="9" hidden="1">{"'Sheet1'!$L$16"}</definedName>
    <definedName name="__________________________________________a1" hidden="1">{"'Sheet1'!$L$16"}</definedName>
    <definedName name="__________________________________________boi1">#REF!</definedName>
    <definedName name="__________________________________________boi2">#REF!</definedName>
    <definedName name="__________________________________________CON1">#REF!</definedName>
    <definedName name="__________________________________________CON2">#REF!</definedName>
    <definedName name="__________________________________________ddn400">#REF!</definedName>
    <definedName name="__________________________________________ddn600">#REF!</definedName>
    <definedName name="__________________________________________hsm2">1.1289</definedName>
    <definedName name="__________________________________________hso2" localSheetId="9">#REF!</definedName>
    <definedName name="__________________________________________hso2">#REF!</definedName>
    <definedName name="__________________________________________kha1" localSheetId="9">#REF!</definedName>
    <definedName name="__________________________________________kha1">#REF!</definedName>
    <definedName name="__________________________________________MAC12" localSheetId="9">#REF!</definedName>
    <definedName name="__________________________________________MAC12">#REF!</definedName>
    <definedName name="__________________________________________MAC46">#REF!</definedName>
    <definedName name="__________________________________________NCL100">#REF!</definedName>
    <definedName name="__________________________________________NCL200">#REF!</definedName>
    <definedName name="__________________________________________NCL250">#REF!</definedName>
    <definedName name="__________________________________________NET2">#REF!</definedName>
    <definedName name="__________________________________________PA3" localSheetId="9" hidden="1">{"'Sheet1'!$L$16"}</definedName>
    <definedName name="__________________________________________PA3" hidden="1">{"'Sheet1'!$L$16"}</definedName>
    <definedName name="__________________________________________sc1">#REF!</definedName>
    <definedName name="__________________________________________SC2">#REF!</definedName>
    <definedName name="__________________________________________sc3">#REF!</definedName>
    <definedName name="__________________________________________TL1">#REF!</definedName>
    <definedName name="__________________________________________TL2">#REF!</definedName>
    <definedName name="__________________________________________TLA120">#REF!</definedName>
    <definedName name="__________________________________________TLA35">#REF!</definedName>
    <definedName name="__________________________________________TLA50">#REF!</definedName>
    <definedName name="__________________________________________TLA70">#REF!</definedName>
    <definedName name="__________________________________________TLA95">#REF!</definedName>
    <definedName name="__________________________________________VL100">#REF!</definedName>
    <definedName name="__________________________________________VL250">#REF!</definedName>
    <definedName name="_________________________________________a1" localSheetId="9" hidden="1">{"'Sheet1'!$L$16"}</definedName>
    <definedName name="_________________________________________a1" hidden="1">{"'Sheet1'!$L$16"}</definedName>
    <definedName name="_________________________________________boi1">#REF!</definedName>
    <definedName name="_________________________________________boi2">#REF!</definedName>
    <definedName name="_________________________________________CON1">#REF!</definedName>
    <definedName name="_________________________________________CON2">#REF!</definedName>
    <definedName name="_________________________________________ddn400">#REF!</definedName>
    <definedName name="_________________________________________ddn600">#REF!</definedName>
    <definedName name="_________________________________________DT12" localSheetId="9" hidden="1">{"'Sheet1'!$L$16"}</definedName>
    <definedName name="_________________________________________DT12" hidden="1">{"'Sheet1'!$L$16"}</definedName>
    <definedName name="_________________________________________hsm2">1.1289</definedName>
    <definedName name="_________________________________________hso2" localSheetId="9">#REF!</definedName>
    <definedName name="_________________________________________hso2">#REF!</definedName>
    <definedName name="_________________________________________kha1" localSheetId="9">#REF!</definedName>
    <definedName name="_________________________________________kha1">#REF!</definedName>
    <definedName name="_________________________________________MAC12" localSheetId="9">#REF!</definedName>
    <definedName name="_________________________________________MAC12">#REF!</definedName>
    <definedName name="_________________________________________MAC46">#REF!</definedName>
    <definedName name="_________________________________________NCL100">#REF!</definedName>
    <definedName name="_________________________________________NCL200">#REF!</definedName>
    <definedName name="_________________________________________NCL250">#REF!</definedName>
    <definedName name="_________________________________________NET2">#REF!</definedName>
    <definedName name="_________________________________________nin190">#REF!</definedName>
    <definedName name="_________________________________________PA3" localSheetId="9" hidden="1">{"'Sheet1'!$L$16"}</definedName>
    <definedName name="_________________________________________PA3" hidden="1">{"'Sheet1'!$L$16"}</definedName>
    <definedName name="_________________________________________sc1">#REF!</definedName>
    <definedName name="_________________________________________SC2">#REF!</definedName>
    <definedName name="_________________________________________sc3">#REF!</definedName>
    <definedName name="_________________________________________SN3">#REF!</definedName>
    <definedName name="_________________________________________TL1">#REF!</definedName>
    <definedName name="_________________________________________TL2">#REF!</definedName>
    <definedName name="_________________________________________TL3">#REF!</definedName>
    <definedName name="_________________________________________TLA120">#REF!</definedName>
    <definedName name="_________________________________________TLA35">#REF!</definedName>
    <definedName name="_________________________________________TLA50">#REF!</definedName>
    <definedName name="_________________________________________TLA70">#REF!</definedName>
    <definedName name="_________________________________________TLA95">#REF!</definedName>
    <definedName name="_________________________________________tz593">#REF!</definedName>
    <definedName name="_________________________________________VL100">#REF!</definedName>
    <definedName name="_________________________________________VL250">#REF!</definedName>
    <definedName name="________________________________________a1" localSheetId="9" hidden="1">{"'Sheet1'!$L$16"}</definedName>
    <definedName name="________________________________________a1" hidden="1">{"'Sheet1'!$L$16"}</definedName>
    <definedName name="________________________________________boi1">#REF!</definedName>
    <definedName name="________________________________________boi2">#REF!</definedName>
    <definedName name="________________________________________CON1">#REF!</definedName>
    <definedName name="________________________________________CON2">#REF!</definedName>
    <definedName name="________________________________________ddn400">#REF!</definedName>
    <definedName name="________________________________________ddn600">#REF!</definedName>
    <definedName name="________________________________________DT12" localSheetId="9" hidden="1">{"'Sheet1'!$L$16"}</definedName>
    <definedName name="________________________________________DT12" hidden="1">{"'Sheet1'!$L$16"}</definedName>
    <definedName name="________________________________________hsm2">1.1289</definedName>
    <definedName name="________________________________________hso2" localSheetId="9">#REF!</definedName>
    <definedName name="________________________________________hso2">#REF!</definedName>
    <definedName name="________________________________________kha1" localSheetId="9">#REF!</definedName>
    <definedName name="________________________________________kha1">#REF!</definedName>
    <definedName name="________________________________________MAC12" localSheetId="9">#REF!</definedName>
    <definedName name="________________________________________MAC12">#REF!</definedName>
    <definedName name="________________________________________MAC46">#REF!</definedName>
    <definedName name="________________________________________NCL100">#REF!</definedName>
    <definedName name="________________________________________NCL200">#REF!</definedName>
    <definedName name="________________________________________NCL250">#REF!</definedName>
    <definedName name="________________________________________NET2">#REF!</definedName>
    <definedName name="________________________________________nin190">#REF!</definedName>
    <definedName name="________________________________________PA3" localSheetId="9" hidden="1">{"'Sheet1'!$L$16"}</definedName>
    <definedName name="________________________________________PA3" hidden="1">{"'Sheet1'!$L$16"}</definedName>
    <definedName name="________________________________________sc1">#REF!</definedName>
    <definedName name="________________________________________SC2">#REF!</definedName>
    <definedName name="________________________________________sc3">#REF!</definedName>
    <definedName name="________________________________________SN3">#REF!</definedName>
    <definedName name="________________________________________TL1">#REF!</definedName>
    <definedName name="________________________________________TL2">#REF!</definedName>
    <definedName name="________________________________________TL3">#REF!</definedName>
    <definedName name="________________________________________TLA120">#REF!</definedName>
    <definedName name="________________________________________TLA35">#REF!</definedName>
    <definedName name="________________________________________TLA50">#REF!</definedName>
    <definedName name="________________________________________TLA70">#REF!</definedName>
    <definedName name="________________________________________TLA95">#REF!</definedName>
    <definedName name="________________________________________tz593">#REF!</definedName>
    <definedName name="________________________________________VL100">#REF!</definedName>
    <definedName name="________________________________________VL250">#REF!</definedName>
    <definedName name="_______________________________________a1" localSheetId="9" hidden="1">{"'Sheet1'!$L$16"}</definedName>
    <definedName name="_______________________________________a1" hidden="1">{"'Sheet1'!$L$16"}</definedName>
    <definedName name="_______________________________________boi1">#REF!</definedName>
    <definedName name="_______________________________________boi2">#REF!</definedName>
    <definedName name="_______________________________________CON1">#REF!</definedName>
    <definedName name="_______________________________________CON2">#REF!</definedName>
    <definedName name="_______________________________________ddn400">#REF!</definedName>
    <definedName name="_______________________________________ddn600">#REF!</definedName>
    <definedName name="_______________________________________DT12" localSheetId="9" hidden="1">{"'Sheet1'!$L$16"}</definedName>
    <definedName name="_______________________________________DT12" hidden="1">{"'Sheet1'!$L$16"}</definedName>
    <definedName name="_______________________________________hsm2">1.1289</definedName>
    <definedName name="_______________________________________hso2" localSheetId="9">#REF!</definedName>
    <definedName name="_______________________________________hso2">#REF!</definedName>
    <definedName name="_______________________________________kha1" localSheetId="9">#REF!</definedName>
    <definedName name="_______________________________________kha1">#REF!</definedName>
    <definedName name="_______________________________________MAC12" localSheetId="9">#REF!</definedName>
    <definedName name="_______________________________________MAC12">#REF!</definedName>
    <definedName name="_______________________________________MAC46">#REF!</definedName>
    <definedName name="_______________________________________NCL100">#REF!</definedName>
    <definedName name="_______________________________________NCL200">#REF!</definedName>
    <definedName name="_______________________________________NCL250">#REF!</definedName>
    <definedName name="_______________________________________NET2">#REF!</definedName>
    <definedName name="_______________________________________nin190">#REF!</definedName>
    <definedName name="_______________________________________PA3" localSheetId="9" hidden="1">{"'Sheet1'!$L$16"}</definedName>
    <definedName name="_______________________________________PA3" hidden="1">{"'Sheet1'!$L$16"}</definedName>
    <definedName name="_______________________________________sc1">#REF!</definedName>
    <definedName name="_______________________________________SC2">#REF!</definedName>
    <definedName name="_______________________________________sc3">#REF!</definedName>
    <definedName name="_______________________________________SN3">#REF!</definedName>
    <definedName name="_______________________________________TL1">#REF!</definedName>
    <definedName name="_______________________________________TL2">#REF!</definedName>
    <definedName name="_______________________________________TL3">#REF!</definedName>
    <definedName name="_______________________________________TLA120">#REF!</definedName>
    <definedName name="_______________________________________TLA35">#REF!</definedName>
    <definedName name="_______________________________________TLA50">#REF!</definedName>
    <definedName name="_______________________________________TLA70">#REF!</definedName>
    <definedName name="_______________________________________TLA95">#REF!</definedName>
    <definedName name="_______________________________________tz593">#REF!</definedName>
    <definedName name="_______________________________________VL100">#REF!</definedName>
    <definedName name="_______________________________________VL250">#REF!</definedName>
    <definedName name="______________________________________a1" localSheetId="9" hidden="1">{"'Sheet1'!$L$16"}</definedName>
    <definedName name="______________________________________a1" hidden="1">{"'Sheet1'!$L$16"}</definedName>
    <definedName name="______________________________________boi1">#REF!</definedName>
    <definedName name="______________________________________boi2">#REF!</definedName>
    <definedName name="______________________________________CON1">#REF!</definedName>
    <definedName name="______________________________________CON2">#REF!</definedName>
    <definedName name="______________________________________ddn400">#REF!</definedName>
    <definedName name="______________________________________ddn600">#REF!</definedName>
    <definedName name="______________________________________DT12" localSheetId="9" hidden="1">{"'Sheet1'!$L$16"}</definedName>
    <definedName name="______________________________________DT12" hidden="1">{"'Sheet1'!$L$16"}</definedName>
    <definedName name="______________________________________hsm2">1.1289</definedName>
    <definedName name="______________________________________hso2" localSheetId="9">#REF!</definedName>
    <definedName name="______________________________________hso2">#REF!</definedName>
    <definedName name="______________________________________kha1" localSheetId="9">#REF!</definedName>
    <definedName name="______________________________________kha1">#REF!</definedName>
    <definedName name="______________________________________MAC12" localSheetId="9">#REF!</definedName>
    <definedName name="______________________________________MAC12">#REF!</definedName>
    <definedName name="______________________________________MAC46">#REF!</definedName>
    <definedName name="______________________________________NCL100">#REF!</definedName>
    <definedName name="______________________________________NCL200">#REF!</definedName>
    <definedName name="______________________________________NCL250">#REF!</definedName>
    <definedName name="______________________________________NET2">#REF!</definedName>
    <definedName name="______________________________________nin190">#REF!</definedName>
    <definedName name="______________________________________PA3" localSheetId="9" hidden="1">{"'Sheet1'!$L$16"}</definedName>
    <definedName name="______________________________________PA3" hidden="1">{"'Sheet1'!$L$16"}</definedName>
    <definedName name="______________________________________sc1">#REF!</definedName>
    <definedName name="______________________________________SC2">#REF!</definedName>
    <definedName name="______________________________________sc3">#REF!</definedName>
    <definedName name="______________________________________SN3">#REF!</definedName>
    <definedName name="______________________________________TL1">#REF!</definedName>
    <definedName name="______________________________________TL2">#REF!</definedName>
    <definedName name="______________________________________TL3">#REF!</definedName>
    <definedName name="______________________________________TLA120">#REF!</definedName>
    <definedName name="______________________________________TLA35">#REF!</definedName>
    <definedName name="______________________________________TLA50">#REF!</definedName>
    <definedName name="______________________________________TLA70">#REF!</definedName>
    <definedName name="______________________________________TLA95">#REF!</definedName>
    <definedName name="______________________________________tz593">#REF!</definedName>
    <definedName name="______________________________________VL100">#REF!</definedName>
    <definedName name="______________________________________VL250">#REF!</definedName>
    <definedName name="_____________________________________a1" localSheetId="9" hidden="1">{"'Sheet1'!$L$16"}</definedName>
    <definedName name="_____________________________________a1" hidden="1">{"'Sheet1'!$L$16"}</definedName>
    <definedName name="_____________________________________boi1">#REF!</definedName>
    <definedName name="_____________________________________boi2">#REF!</definedName>
    <definedName name="_____________________________________CON1">#REF!</definedName>
    <definedName name="_____________________________________CON2">#REF!</definedName>
    <definedName name="_____________________________________ddn400">#REF!</definedName>
    <definedName name="_____________________________________ddn600">#REF!</definedName>
    <definedName name="_____________________________________DT12" localSheetId="9" hidden="1">{"'Sheet1'!$L$16"}</definedName>
    <definedName name="_____________________________________DT12" hidden="1">{"'Sheet1'!$L$16"}</definedName>
    <definedName name="_____________________________________hsm2">1.1289</definedName>
    <definedName name="_____________________________________hso2" localSheetId="9">#REF!</definedName>
    <definedName name="_____________________________________hso2">#REF!</definedName>
    <definedName name="_____________________________________kha1" localSheetId="9">#REF!</definedName>
    <definedName name="_____________________________________kha1">#REF!</definedName>
    <definedName name="_____________________________________MAC12" localSheetId="9">#REF!</definedName>
    <definedName name="_____________________________________MAC12">#REF!</definedName>
    <definedName name="_____________________________________MAC46">#REF!</definedName>
    <definedName name="_____________________________________NCL100">#REF!</definedName>
    <definedName name="_____________________________________NCL200">#REF!</definedName>
    <definedName name="_____________________________________NCL250">#REF!</definedName>
    <definedName name="_____________________________________NET2">#REF!</definedName>
    <definedName name="_____________________________________nin190">#REF!</definedName>
    <definedName name="_____________________________________PA3" localSheetId="9" hidden="1">{"'Sheet1'!$L$16"}</definedName>
    <definedName name="_____________________________________PA3" hidden="1">{"'Sheet1'!$L$16"}</definedName>
    <definedName name="_____________________________________sc1">#REF!</definedName>
    <definedName name="_____________________________________SC2">#REF!</definedName>
    <definedName name="_____________________________________sc3">#REF!</definedName>
    <definedName name="_____________________________________SN3">#REF!</definedName>
    <definedName name="_____________________________________TL1">#REF!</definedName>
    <definedName name="_____________________________________TL2">#REF!</definedName>
    <definedName name="_____________________________________TL3">#REF!</definedName>
    <definedName name="_____________________________________TLA120">#REF!</definedName>
    <definedName name="_____________________________________TLA35">#REF!</definedName>
    <definedName name="_____________________________________TLA50">#REF!</definedName>
    <definedName name="_____________________________________TLA70">#REF!</definedName>
    <definedName name="_____________________________________TLA95">#REF!</definedName>
    <definedName name="_____________________________________tz593">#REF!</definedName>
    <definedName name="_____________________________________VL100">#REF!</definedName>
    <definedName name="_____________________________________VL250">#REF!</definedName>
    <definedName name="____________________________________a1" localSheetId="9" hidden="1">{"'Sheet1'!$L$16"}</definedName>
    <definedName name="____________________________________a1" hidden="1">{"'Sheet1'!$L$16"}</definedName>
    <definedName name="____________________________________boi1">#REF!</definedName>
    <definedName name="____________________________________boi2">#REF!</definedName>
    <definedName name="____________________________________CON1">#REF!</definedName>
    <definedName name="____________________________________CON2">#REF!</definedName>
    <definedName name="____________________________________ddn400">#REF!</definedName>
    <definedName name="____________________________________ddn600">#REF!</definedName>
    <definedName name="____________________________________DT12" localSheetId="9" hidden="1">{"'Sheet1'!$L$16"}</definedName>
    <definedName name="____________________________________DT12" hidden="1">{"'Sheet1'!$L$16"}</definedName>
    <definedName name="____________________________________hsm2">1.1289</definedName>
    <definedName name="____________________________________hso2" localSheetId="9">#REF!</definedName>
    <definedName name="____________________________________hso2">#REF!</definedName>
    <definedName name="____________________________________kha1" localSheetId="9">#REF!</definedName>
    <definedName name="____________________________________kha1">#REF!</definedName>
    <definedName name="____________________________________MAC12" localSheetId="9">#REF!</definedName>
    <definedName name="____________________________________MAC12">#REF!</definedName>
    <definedName name="____________________________________MAC46">#REF!</definedName>
    <definedName name="____________________________________NCL100">#REF!</definedName>
    <definedName name="____________________________________NCL200">#REF!</definedName>
    <definedName name="____________________________________NCL250">#REF!</definedName>
    <definedName name="____________________________________NET2">#REF!</definedName>
    <definedName name="____________________________________nin190">#REF!</definedName>
    <definedName name="____________________________________PA3" localSheetId="9" hidden="1">{"'Sheet1'!$L$16"}</definedName>
    <definedName name="____________________________________PA3" hidden="1">{"'Sheet1'!$L$16"}</definedName>
    <definedName name="____________________________________sc1">#REF!</definedName>
    <definedName name="____________________________________SC2">#REF!</definedName>
    <definedName name="____________________________________sc3">#REF!</definedName>
    <definedName name="____________________________________SN3">#REF!</definedName>
    <definedName name="____________________________________TL1">#REF!</definedName>
    <definedName name="____________________________________TL2">#REF!</definedName>
    <definedName name="____________________________________TL3">#REF!</definedName>
    <definedName name="____________________________________TLA120">#REF!</definedName>
    <definedName name="____________________________________TLA35">#REF!</definedName>
    <definedName name="____________________________________TLA50">#REF!</definedName>
    <definedName name="____________________________________TLA70">#REF!</definedName>
    <definedName name="____________________________________TLA95">#REF!</definedName>
    <definedName name="____________________________________tz593">#REF!</definedName>
    <definedName name="____________________________________VL100">#REF!</definedName>
    <definedName name="____________________________________VL250">#REF!</definedName>
    <definedName name="___________________________________a1" localSheetId="9" hidden="1">{"'Sheet1'!$L$16"}</definedName>
    <definedName name="___________________________________a1" hidden="1">{"'Sheet1'!$L$16"}</definedName>
    <definedName name="___________________________________boi1">#REF!</definedName>
    <definedName name="___________________________________boi2">#REF!</definedName>
    <definedName name="___________________________________CON1">#REF!</definedName>
    <definedName name="___________________________________CON2">#REF!</definedName>
    <definedName name="___________________________________ddn400">#REF!</definedName>
    <definedName name="___________________________________ddn600">#REF!</definedName>
    <definedName name="___________________________________DT12" localSheetId="9" hidden="1">{"'Sheet1'!$L$16"}</definedName>
    <definedName name="___________________________________DT12" hidden="1">{"'Sheet1'!$L$16"}</definedName>
    <definedName name="___________________________________hsm2">1.1289</definedName>
    <definedName name="___________________________________hso2" localSheetId="9">#REF!</definedName>
    <definedName name="___________________________________hso2">#REF!</definedName>
    <definedName name="___________________________________kha1" localSheetId="9">#REF!</definedName>
    <definedName name="___________________________________kha1">#REF!</definedName>
    <definedName name="___________________________________MAC12" localSheetId="9">#REF!</definedName>
    <definedName name="___________________________________MAC12">#REF!</definedName>
    <definedName name="___________________________________MAC46">#REF!</definedName>
    <definedName name="___________________________________NCL100">#REF!</definedName>
    <definedName name="___________________________________NCL200">#REF!</definedName>
    <definedName name="___________________________________NCL250">#REF!</definedName>
    <definedName name="___________________________________NET2">#REF!</definedName>
    <definedName name="___________________________________nin190">#REF!</definedName>
    <definedName name="___________________________________PA3" localSheetId="9" hidden="1">{"'Sheet1'!$L$16"}</definedName>
    <definedName name="___________________________________PA3" hidden="1">{"'Sheet1'!$L$16"}</definedName>
    <definedName name="___________________________________sc1">#REF!</definedName>
    <definedName name="___________________________________SC2">#REF!</definedName>
    <definedName name="___________________________________sc3">#REF!</definedName>
    <definedName name="___________________________________SN3">#REF!</definedName>
    <definedName name="___________________________________TL1">#REF!</definedName>
    <definedName name="___________________________________TL2">#REF!</definedName>
    <definedName name="___________________________________TL3">#REF!</definedName>
    <definedName name="___________________________________TLA120">#REF!</definedName>
    <definedName name="___________________________________TLA35">#REF!</definedName>
    <definedName name="___________________________________TLA50">#REF!</definedName>
    <definedName name="___________________________________TLA70">#REF!</definedName>
    <definedName name="___________________________________TLA95">#REF!</definedName>
    <definedName name="___________________________________tz593">#REF!</definedName>
    <definedName name="___________________________________VL100">#REF!</definedName>
    <definedName name="___________________________________VL250">#REF!</definedName>
    <definedName name="__________________________________a1" localSheetId="9" hidden="1">{"'Sheet1'!$L$16"}</definedName>
    <definedName name="__________________________________a1" hidden="1">{"'Sheet1'!$L$16"}</definedName>
    <definedName name="__________________________________boi1">#REF!</definedName>
    <definedName name="__________________________________boi2">#REF!</definedName>
    <definedName name="__________________________________CON1">#REF!</definedName>
    <definedName name="__________________________________CON2">#REF!</definedName>
    <definedName name="__________________________________ddn400">#REF!</definedName>
    <definedName name="__________________________________ddn600">#REF!</definedName>
    <definedName name="__________________________________DT12" localSheetId="9" hidden="1">{"'Sheet1'!$L$16"}</definedName>
    <definedName name="__________________________________DT12" hidden="1">{"'Sheet1'!$L$16"}</definedName>
    <definedName name="__________________________________hsm2">1.1289</definedName>
    <definedName name="__________________________________hso2" localSheetId="9">#REF!</definedName>
    <definedName name="__________________________________hso2">#REF!</definedName>
    <definedName name="__________________________________kha1" localSheetId="9">#REF!</definedName>
    <definedName name="__________________________________kha1">#REF!</definedName>
    <definedName name="__________________________________MAC12" localSheetId="9">#REF!</definedName>
    <definedName name="__________________________________MAC12">#REF!</definedName>
    <definedName name="__________________________________MAC46">#REF!</definedName>
    <definedName name="__________________________________NCL100">#REF!</definedName>
    <definedName name="__________________________________NCL200">#REF!</definedName>
    <definedName name="__________________________________NCL250">#REF!</definedName>
    <definedName name="__________________________________NET2">#REF!</definedName>
    <definedName name="__________________________________nin190">#REF!</definedName>
    <definedName name="__________________________________PA3" localSheetId="9" hidden="1">{"'Sheet1'!$L$16"}</definedName>
    <definedName name="__________________________________PA3" hidden="1">{"'Sheet1'!$L$16"}</definedName>
    <definedName name="__________________________________sc1">#REF!</definedName>
    <definedName name="__________________________________SC2">#REF!</definedName>
    <definedName name="__________________________________sc3">#REF!</definedName>
    <definedName name="__________________________________SN3">#REF!</definedName>
    <definedName name="__________________________________TL1">#REF!</definedName>
    <definedName name="__________________________________TL2">#REF!</definedName>
    <definedName name="__________________________________TL3">#REF!</definedName>
    <definedName name="__________________________________TLA120">#REF!</definedName>
    <definedName name="__________________________________TLA35">#REF!</definedName>
    <definedName name="__________________________________TLA50">#REF!</definedName>
    <definedName name="__________________________________TLA70">#REF!</definedName>
    <definedName name="__________________________________TLA95">#REF!</definedName>
    <definedName name="__________________________________tz593">#REF!</definedName>
    <definedName name="__________________________________VL100">#REF!</definedName>
    <definedName name="__________________________________VL250">#REF!</definedName>
    <definedName name="_________________________________a1" localSheetId="9" hidden="1">{"'Sheet1'!$L$16"}</definedName>
    <definedName name="_________________________________a1" hidden="1">{"'Sheet1'!$L$16"}</definedName>
    <definedName name="_________________________________boi1">#REF!</definedName>
    <definedName name="_________________________________boi2">#REF!</definedName>
    <definedName name="_________________________________CON1">#REF!</definedName>
    <definedName name="_________________________________CON2">#REF!</definedName>
    <definedName name="_________________________________ddn400">#REF!</definedName>
    <definedName name="_________________________________ddn600">#REF!</definedName>
    <definedName name="_________________________________DT12" localSheetId="9" hidden="1">{"'Sheet1'!$L$16"}</definedName>
    <definedName name="_________________________________DT12" hidden="1">{"'Sheet1'!$L$16"}</definedName>
    <definedName name="_________________________________hsm2">1.1289</definedName>
    <definedName name="_________________________________hso2" localSheetId="9">#REF!</definedName>
    <definedName name="_________________________________hso2">#REF!</definedName>
    <definedName name="_________________________________kha1" localSheetId="9">#REF!</definedName>
    <definedName name="_________________________________kha1">#REF!</definedName>
    <definedName name="_________________________________MAC12" localSheetId="9">#REF!</definedName>
    <definedName name="_________________________________MAC12">#REF!</definedName>
    <definedName name="_________________________________MAC46">#REF!</definedName>
    <definedName name="_________________________________NCL100">#REF!</definedName>
    <definedName name="_________________________________NCL200">#REF!</definedName>
    <definedName name="_________________________________NCL250">#REF!</definedName>
    <definedName name="_________________________________NET2">#REF!</definedName>
    <definedName name="_________________________________nin190">#REF!</definedName>
    <definedName name="_________________________________PA3" localSheetId="9" hidden="1">{"'Sheet1'!$L$16"}</definedName>
    <definedName name="_________________________________PA3" hidden="1">{"'Sheet1'!$L$16"}</definedName>
    <definedName name="_________________________________sc1">#REF!</definedName>
    <definedName name="_________________________________SC2">#REF!</definedName>
    <definedName name="_________________________________sc3">#REF!</definedName>
    <definedName name="_________________________________SN3">#REF!</definedName>
    <definedName name="_________________________________TL1">#REF!</definedName>
    <definedName name="_________________________________TL2">#REF!</definedName>
    <definedName name="_________________________________TL3">#REF!</definedName>
    <definedName name="_________________________________TLA120">#REF!</definedName>
    <definedName name="_________________________________TLA35">#REF!</definedName>
    <definedName name="_________________________________TLA50">#REF!</definedName>
    <definedName name="_________________________________TLA70">#REF!</definedName>
    <definedName name="_________________________________TLA95">#REF!</definedName>
    <definedName name="_________________________________tz593">#REF!</definedName>
    <definedName name="_________________________________VL100">#REF!</definedName>
    <definedName name="_________________________________VL250">#REF!</definedName>
    <definedName name="________________________________a1" localSheetId="9" hidden="1">{"'Sheet1'!$L$16"}</definedName>
    <definedName name="________________________________a1" hidden="1">{"'Sheet1'!$L$16"}</definedName>
    <definedName name="________________________________boi1">#REF!</definedName>
    <definedName name="________________________________boi2">#REF!</definedName>
    <definedName name="________________________________CON1">#REF!</definedName>
    <definedName name="________________________________CON2">#REF!</definedName>
    <definedName name="________________________________ddn400">#REF!</definedName>
    <definedName name="________________________________ddn600">#REF!</definedName>
    <definedName name="________________________________DT12" localSheetId="9" hidden="1">{"'Sheet1'!$L$16"}</definedName>
    <definedName name="________________________________DT12" hidden="1">{"'Sheet1'!$L$16"}</definedName>
    <definedName name="________________________________hsm2">1.1289</definedName>
    <definedName name="________________________________hso2" localSheetId="9">#REF!</definedName>
    <definedName name="________________________________hso2">#REF!</definedName>
    <definedName name="________________________________kha1" localSheetId="9">#REF!</definedName>
    <definedName name="________________________________kha1">#REF!</definedName>
    <definedName name="________________________________MAC12" localSheetId="9">#REF!</definedName>
    <definedName name="________________________________MAC12">#REF!</definedName>
    <definedName name="________________________________MAC46">#REF!</definedName>
    <definedName name="________________________________NCL100">#REF!</definedName>
    <definedName name="________________________________NCL200">#REF!</definedName>
    <definedName name="________________________________NCL250">#REF!</definedName>
    <definedName name="________________________________NET2">#REF!</definedName>
    <definedName name="________________________________nin190">#REF!</definedName>
    <definedName name="________________________________PA3" localSheetId="9" hidden="1">{"'Sheet1'!$L$16"}</definedName>
    <definedName name="________________________________PA3" hidden="1">{"'Sheet1'!$L$16"}</definedName>
    <definedName name="________________________________sc1">#REF!</definedName>
    <definedName name="________________________________SC2">#REF!</definedName>
    <definedName name="________________________________sc3">#REF!</definedName>
    <definedName name="________________________________SN3">#REF!</definedName>
    <definedName name="________________________________TL1">#REF!</definedName>
    <definedName name="________________________________TL2">#REF!</definedName>
    <definedName name="________________________________TL3">#REF!</definedName>
    <definedName name="________________________________TLA120">#REF!</definedName>
    <definedName name="________________________________TLA35">#REF!</definedName>
    <definedName name="________________________________TLA50">#REF!</definedName>
    <definedName name="________________________________TLA70">#REF!</definedName>
    <definedName name="________________________________TLA95">#REF!</definedName>
    <definedName name="________________________________tz593">#REF!</definedName>
    <definedName name="________________________________VL100">#REF!</definedName>
    <definedName name="________________________________VL250">#REF!</definedName>
    <definedName name="_______________________________a1" localSheetId="9" hidden="1">{"'Sheet1'!$L$16"}</definedName>
    <definedName name="_______________________________a1" hidden="1">{"'Sheet1'!$L$16"}</definedName>
    <definedName name="_______________________________boi1">#REF!</definedName>
    <definedName name="_______________________________boi2">#REF!</definedName>
    <definedName name="_______________________________CON1">#REF!</definedName>
    <definedName name="_______________________________CON2">#REF!</definedName>
    <definedName name="_______________________________ddn400">#REF!</definedName>
    <definedName name="_______________________________ddn600">#REF!</definedName>
    <definedName name="_______________________________DT12" localSheetId="9" hidden="1">{"'Sheet1'!$L$16"}</definedName>
    <definedName name="_______________________________DT12" hidden="1">{"'Sheet1'!$L$16"}</definedName>
    <definedName name="_______________________________hsm2">1.1289</definedName>
    <definedName name="_______________________________hso2" localSheetId="9">#REF!</definedName>
    <definedName name="_______________________________hso2">#REF!</definedName>
    <definedName name="_______________________________kha1" localSheetId="9">#REF!</definedName>
    <definedName name="_______________________________kha1">#REF!</definedName>
    <definedName name="_______________________________MAC12" localSheetId="9">#REF!</definedName>
    <definedName name="_______________________________MAC12">#REF!</definedName>
    <definedName name="_______________________________MAC46">#REF!</definedName>
    <definedName name="_______________________________NCL100">#REF!</definedName>
    <definedName name="_______________________________NCL200">#REF!</definedName>
    <definedName name="_______________________________NCL250">#REF!</definedName>
    <definedName name="_______________________________NET2">#REF!</definedName>
    <definedName name="_______________________________nin190">#REF!</definedName>
    <definedName name="_______________________________PA3" localSheetId="9" hidden="1">{"'Sheet1'!$L$16"}</definedName>
    <definedName name="_______________________________PA3" hidden="1">{"'Sheet1'!$L$16"}</definedName>
    <definedName name="_______________________________sc1">#REF!</definedName>
    <definedName name="_______________________________SC2">#REF!</definedName>
    <definedName name="_______________________________sc3">#REF!</definedName>
    <definedName name="_______________________________SN3">#REF!</definedName>
    <definedName name="_______________________________TL1">#REF!</definedName>
    <definedName name="_______________________________TL2">#REF!</definedName>
    <definedName name="_______________________________TL3">#REF!</definedName>
    <definedName name="_______________________________TLA120">#REF!</definedName>
    <definedName name="_______________________________TLA35">#REF!</definedName>
    <definedName name="_______________________________TLA50">#REF!</definedName>
    <definedName name="_______________________________TLA70">#REF!</definedName>
    <definedName name="_______________________________TLA95">#REF!</definedName>
    <definedName name="_______________________________tz593">#REF!</definedName>
    <definedName name="_______________________________VL100">#REF!</definedName>
    <definedName name="_______________________________VL250">#REF!</definedName>
    <definedName name="______________________________a1" localSheetId="9" hidden="1">{"'Sheet1'!$L$16"}</definedName>
    <definedName name="______________________________a1" hidden="1">{"'Sheet1'!$L$16"}</definedName>
    <definedName name="______________________________boi1">#REF!</definedName>
    <definedName name="______________________________boi2">#REF!</definedName>
    <definedName name="______________________________CON1">#REF!</definedName>
    <definedName name="______________________________CON2">#REF!</definedName>
    <definedName name="______________________________ddn400">#REF!</definedName>
    <definedName name="______________________________ddn600">#REF!</definedName>
    <definedName name="______________________________DT12" localSheetId="9" hidden="1">{"'Sheet1'!$L$16"}</definedName>
    <definedName name="______________________________DT12" hidden="1">{"'Sheet1'!$L$16"}</definedName>
    <definedName name="______________________________hsm2">1.1289</definedName>
    <definedName name="______________________________hso2" localSheetId="9">#REF!</definedName>
    <definedName name="______________________________hso2">#REF!</definedName>
    <definedName name="______________________________kha1" localSheetId="9">#REF!</definedName>
    <definedName name="______________________________kha1">#REF!</definedName>
    <definedName name="______________________________MAC12" localSheetId="9">#REF!</definedName>
    <definedName name="______________________________MAC12">#REF!</definedName>
    <definedName name="______________________________MAC46">#REF!</definedName>
    <definedName name="______________________________NCL100">#REF!</definedName>
    <definedName name="______________________________NCL200">#REF!</definedName>
    <definedName name="______________________________NCL250">#REF!</definedName>
    <definedName name="______________________________NET2">#REF!</definedName>
    <definedName name="______________________________nin190">#REF!</definedName>
    <definedName name="______________________________PA3" localSheetId="9" hidden="1">{"'Sheet1'!$L$16"}</definedName>
    <definedName name="______________________________PA3" hidden="1">{"'Sheet1'!$L$16"}</definedName>
    <definedName name="______________________________sc1">#REF!</definedName>
    <definedName name="______________________________SC2">#REF!</definedName>
    <definedName name="______________________________sc3">#REF!</definedName>
    <definedName name="______________________________SN3">#REF!</definedName>
    <definedName name="______________________________TL1">#REF!</definedName>
    <definedName name="______________________________TL2">#REF!</definedName>
    <definedName name="______________________________TL3">#REF!</definedName>
    <definedName name="______________________________TLA120">#REF!</definedName>
    <definedName name="______________________________TLA35">#REF!</definedName>
    <definedName name="______________________________TLA50">#REF!</definedName>
    <definedName name="______________________________TLA70">#REF!</definedName>
    <definedName name="______________________________TLA95">#REF!</definedName>
    <definedName name="______________________________tz593">#REF!</definedName>
    <definedName name="______________________________VL100">#REF!</definedName>
    <definedName name="______________________________VL250">#REF!</definedName>
    <definedName name="_____________________________a1" localSheetId="9" hidden="1">{"'Sheet1'!$L$16"}</definedName>
    <definedName name="_____________________________a1" hidden="1">{"'Sheet1'!$L$16"}</definedName>
    <definedName name="_____________________________boi1">#REF!</definedName>
    <definedName name="_____________________________boi2">#REF!</definedName>
    <definedName name="_____________________________CON1">#REF!</definedName>
    <definedName name="_____________________________CON2">#REF!</definedName>
    <definedName name="_____________________________ddn400">#REF!</definedName>
    <definedName name="_____________________________ddn600">#REF!</definedName>
    <definedName name="_____________________________DT12" localSheetId="9" hidden="1">{"'Sheet1'!$L$16"}</definedName>
    <definedName name="_____________________________DT12" hidden="1">{"'Sheet1'!$L$16"}</definedName>
    <definedName name="_____________________________hsm2">1.1289</definedName>
    <definedName name="_____________________________hso2" localSheetId="9">#REF!</definedName>
    <definedName name="_____________________________hso2">#REF!</definedName>
    <definedName name="_____________________________kha1" localSheetId="9">#REF!</definedName>
    <definedName name="_____________________________kha1">#REF!</definedName>
    <definedName name="_____________________________MAC12" localSheetId="9">#REF!</definedName>
    <definedName name="_____________________________MAC12">#REF!</definedName>
    <definedName name="_____________________________MAC46">#REF!</definedName>
    <definedName name="_____________________________NCL100">#REF!</definedName>
    <definedName name="_____________________________NCL200">#REF!</definedName>
    <definedName name="_____________________________NCL250">#REF!</definedName>
    <definedName name="_____________________________NET2">#REF!</definedName>
    <definedName name="_____________________________nin190">#REF!</definedName>
    <definedName name="_____________________________PA3" localSheetId="9" hidden="1">{"'Sheet1'!$L$16"}</definedName>
    <definedName name="_____________________________PA3" hidden="1">{"'Sheet1'!$L$16"}</definedName>
    <definedName name="_____________________________sc1">#REF!</definedName>
    <definedName name="_____________________________SC2">#REF!</definedName>
    <definedName name="_____________________________sc3">#REF!</definedName>
    <definedName name="_____________________________SN3">#REF!</definedName>
    <definedName name="_____________________________TL1">#REF!</definedName>
    <definedName name="_____________________________TL2">#REF!</definedName>
    <definedName name="_____________________________TL3">#REF!</definedName>
    <definedName name="_____________________________TLA120">#REF!</definedName>
    <definedName name="_____________________________TLA35">#REF!</definedName>
    <definedName name="_____________________________TLA50">#REF!</definedName>
    <definedName name="_____________________________TLA70">#REF!</definedName>
    <definedName name="_____________________________TLA95">#REF!</definedName>
    <definedName name="_____________________________tz593">#REF!</definedName>
    <definedName name="_____________________________VL100">#REF!</definedName>
    <definedName name="_____________________________VL250">#REF!</definedName>
    <definedName name="____________________________a1" localSheetId="9" hidden="1">{"'Sheet1'!$L$16"}</definedName>
    <definedName name="____________________________a1" hidden="1">{"'Sheet1'!$L$16"}</definedName>
    <definedName name="____________________________boi1">#REF!</definedName>
    <definedName name="____________________________boi2">#REF!</definedName>
    <definedName name="____________________________CON1">#REF!</definedName>
    <definedName name="____________________________CON2">#REF!</definedName>
    <definedName name="____________________________ddn400">#REF!</definedName>
    <definedName name="____________________________ddn600">#REF!</definedName>
    <definedName name="____________________________DT12" localSheetId="9" hidden="1">{"'Sheet1'!$L$16"}</definedName>
    <definedName name="____________________________DT12" hidden="1">{"'Sheet1'!$L$16"}</definedName>
    <definedName name="____________________________hsm2">1.1289</definedName>
    <definedName name="____________________________hso2" localSheetId="9">#REF!</definedName>
    <definedName name="____________________________hso2">#REF!</definedName>
    <definedName name="____________________________kha1" localSheetId="9">#REF!</definedName>
    <definedName name="____________________________kha1">#REF!</definedName>
    <definedName name="____________________________MAC12" localSheetId="9">#REF!</definedName>
    <definedName name="____________________________MAC12">#REF!</definedName>
    <definedName name="____________________________MAC46">#REF!</definedName>
    <definedName name="____________________________NCL100">#REF!</definedName>
    <definedName name="____________________________NCL200">#REF!</definedName>
    <definedName name="____________________________NCL250">#REF!</definedName>
    <definedName name="____________________________NET2">#REF!</definedName>
    <definedName name="____________________________nin190">#REF!</definedName>
    <definedName name="____________________________PA3" localSheetId="9" hidden="1">{"'Sheet1'!$L$16"}</definedName>
    <definedName name="____________________________PA3" hidden="1">{"'Sheet1'!$L$16"}</definedName>
    <definedName name="____________________________sc1">#REF!</definedName>
    <definedName name="____________________________SC2">#REF!</definedName>
    <definedName name="____________________________sc3">#REF!</definedName>
    <definedName name="____________________________SN3">#REF!</definedName>
    <definedName name="____________________________TL1">#REF!</definedName>
    <definedName name="____________________________TL2">#REF!</definedName>
    <definedName name="____________________________TL3">#REF!</definedName>
    <definedName name="____________________________TLA120">#REF!</definedName>
    <definedName name="____________________________TLA35">#REF!</definedName>
    <definedName name="____________________________TLA50">#REF!</definedName>
    <definedName name="____________________________TLA70">#REF!</definedName>
    <definedName name="____________________________TLA95">#REF!</definedName>
    <definedName name="____________________________tz593">#REF!</definedName>
    <definedName name="____________________________VL100">#REF!</definedName>
    <definedName name="____________________________VL250">#REF!</definedName>
    <definedName name="___________________________a1" localSheetId="9" hidden="1">{"'Sheet1'!$L$16"}</definedName>
    <definedName name="___________________________a1" hidden="1">{"'Sheet1'!$L$16"}</definedName>
    <definedName name="___________________________boi1">#REF!</definedName>
    <definedName name="___________________________boi2">#REF!</definedName>
    <definedName name="___________________________CON1">#REF!</definedName>
    <definedName name="___________________________CON2">#REF!</definedName>
    <definedName name="___________________________ddn400">#REF!</definedName>
    <definedName name="___________________________ddn600">#REF!</definedName>
    <definedName name="___________________________DT12" localSheetId="9" hidden="1">{"'Sheet1'!$L$16"}</definedName>
    <definedName name="___________________________DT12" hidden="1">{"'Sheet1'!$L$16"}</definedName>
    <definedName name="___________________________hsm2">1.1289</definedName>
    <definedName name="___________________________hso2" localSheetId="9">#REF!</definedName>
    <definedName name="___________________________hso2">#REF!</definedName>
    <definedName name="___________________________kha1" localSheetId="9">#REF!</definedName>
    <definedName name="___________________________kha1">#REF!</definedName>
    <definedName name="___________________________MAC12" localSheetId="9">#REF!</definedName>
    <definedName name="___________________________MAC12">#REF!</definedName>
    <definedName name="___________________________MAC46">#REF!</definedName>
    <definedName name="___________________________NCL100">#REF!</definedName>
    <definedName name="___________________________NCL200">#REF!</definedName>
    <definedName name="___________________________NCL250">#REF!</definedName>
    <definedName name="___________________________NET2">#REF!</definedName>
    <definedName name="___________________________nin190">#REF!</definedName>
    <definedName name="___________________________PA3" localSheetId="9" hidden="1">{"'Sheet1'!$L$16"}</definedName>
    <definedName name="___________________________PA3" hidden="1">{"'Sheet1'!$L$16"}</definedName>
    <definedName name="___________________________sc1">#REF!</definedName>
    <definedName name="___________________________SC2">#REF!</definedName>
    <definedName name="___________________________sc3">#REF!</definedName>
    <definedName name="___________________________SN3">#REF!</definedName>
    <definedName name="___________________________TL1">#REF!</definedName>
    <definedName name="___________________________TL2">#REF!</definedName>
    <definedName name="___________________________TL3">#REF!</definedName>
    <definedName name="___________________________TLA120">#REF!</definedName>
    <definedName name="___________________________TLA35">#REF!</definedName>
    <definedName name="___________________________TLA50">#REF!</definedName>
    <definedName name="___________________________TLA70">#REF!</definedName>
    <definedName name="___________________________TLA95">#REF!</definedName>
    <definedName name="___________________________tz593">#REF!</definedName>
    <definedName name="___________________________VL100">#REF!</definedName>
    <definedName name="___________________________VL250">#REF!</definedName>
    <definedName name="__________________________a1" localSheetId="9" hidden="1">{"'Sheet1'!$L$16"}</definedName>
    <definedName name="__________________________a1" hidden="1">{"'Sheet1'!$L$16"}</definedName>
    <definedName name="__________________________boi1">#REF!</definedName>
    <definedName name="__________________________boi2">#REF!</definedName>
    <definedName name="__________________________CON1">#REF!</definedName>
    <definedName name="__________________________CON2">#REF!</definedName>
    <definedName name="__________________________ddn400">#REF!</definedName>
    <definedName name="__________________________ddn600">#REF!</definedName>
    <definedName name="__________________________DT12" localSheetId="9" hidden="1">{"'Sheet1'!$L$16"}</definedName>
    <definedName name="__________________________DT12" hidden="1">{"'Sheet1'!$L$16"}</definedName>
    <definedName name="__________________________hsm2">1.1289</definedName>
    <definedName name="__________________________hso2" localSheetId="9">#REF!</definedName>
    <definedName name="__________________________hso2">#REF!</definedName>
    <definedName name="__________________________kha1" localSheetId="9">#REF!</definedName>
    <definedName name="__________________________kha1">#REF!</definedName>
    <definedName name="__________________________MAC12" localSheetId="9">#REF!</definedName>
    <definedName name="__________________________MAC12">#REF!</definedName>
    <definedName name="__________________________MAC46">#REF!</definedName>
    <definedName name="__________________________NCL100">#REF!</definedName>
    <definedName name="__________________________NCL200">#REF!</definedName>
    <definedName name="__________________________NCL250">#REF!</definedName>
    <definedName name="__________________________NET2">#REF!</definedName>
    <definedName name="__________________________nin190">#REF!</definedName>
    <definedName name="__________________________PA3" localSheetId="9" hidden="1">{"'Sheet1'!$L$16"}</definedName>
    <definedName name="__________________________PA3" hidden="1">{"'Sheet1'!$L$16"}</definedName>
    <definedName name="__________________________sc1">#REF!</definedName>
    <definedName name="__________________________SC2">#REF!</definedName>
    <definedName name="__________________________sc3">#REF!</definedName>
    <definedName name="__________________________SN3">#REF!</definedName>
    <definedName name="__________________________TL1">#REF!</definedName>
    <definedName name="__________________________TL2">#REF!</definedName>
    <definedName name="__________________________TL3">#REF!</definedName>
    <definedName name="__________________________TLA120">#REF!</definedName>
    <definedName name="__________________________TLA35">#REF!</definedName>
    <definedName name="__________________________TLA50">#REF!</definedName>
    <definedName name="__________________________TLA70">#REF!</definedName>
    <definedName name="__________________________TLA95">#REF!</definedName>
    <definedName name="__________________________tz593">#REF!</definedName>
    <definedName name="__________________________VL100">#REF!</definedName>
    <definedName name="__________________________VL250">#REF!</definedName>
    <definedName name="_________________________a1" localSheetId="9" hidden="1">{"'Sheet1'!$L$16"}</definedName>
    <definedName name="_________________________a1" hidden="1">{"'Sheet1'!$L$16"}</definedName>
    <definedName name="_________________________boi1">#REF!</definedName>
    <definedName name="_________________________boi2">#REF!</definedName>
    <definedName name="_________________________CON1">#REF!</definedName>
    <definedName name="_________________________CON2">#REF!</definedName>
    <definedName name="_________________________ddn400">#REF!</definedName>
    <definedName name="_________________________ddn600">#REF!</definedName>
    <definedName name="_________________________DT12" localSheetId="9" hidden="1">{"'Sheet1'!$L$16"}</definedName>
    <definedName name="_________________________DT12" hidden="1">{"'Sheet1'!$L$16"}</definedName>
    <definedName name="_________________________hsm2">1.1289</definedName>
    <definedName name="_________________________hso2" localSheetId="9">#REF!</definedName>
    <definedName name="_________________________hso2">#REF!</definedName>
    <definedName name="_________________________kha1" localSheetId="9">#REF!</definedName>
    <definedName name="_________________________kha1">#REF!</definedName>
    <definedName name="_________________________MAC12" localSheetId="9">#REF!</definedName>
    <definedName name="_________________________MAC12">#REF!</definedName>
    <definedName name="_________________________MAC46">#REF!</definedName>
    <definedName name="_________________________NCL100">#REF!</definedName>
    <definedName name="_________________________NCL200">#REF!</definedName>
    <definedName name="_________________________NCL250">#REF!</definedName>
    <definedName name="_________________________NET2">#REF!</definedName>
    <definedName name="_________________________nin190">#REF!</definedName>
    <definedName name="_________________________PA3" localSheetId="9" hidden="1">{"'Sheet1'!$L$16"}</definedName>
    <definedName name="_________________________PA3" hidden="1">{"'Sheet1'!$L$16"}</definedName>
    <definedName name="_________________________sc1">#REF!</definedName>
    <definedName name="_________________________SC2">#REF!</definedName>
    <definedName name="_________________________sc3">#REF!</definedName>
    <definedName name="_________________________SN3">#REF!</definedName>
    <definedName name="_________________________TL1">#REF!</definedName>
    <definedName name="_________________________TL2">#REF!</definedName>
    <definedName name="_________________________TL3">#REF!</definedName>
    <definedName name="_________________________TLA120">#REF!</definedName>
    <definedName name="_________________________TLA35">#REF!</definedName>
    <definedName name="_________________________TLA50">#REF!</definedName>
    <definedName name="_________________________TLA70">#REF!</definedName>
    <definedName name="_________________________TLA95">#REF!</definedName>
    <definedName name="_________________________tz593">#REF!</definedName>
    <definedName name="_________________________VL100">#REF!</definedName>
    <definedName name="_________________________VL250">#REF!</definedName>
    <definedName name="________________________a1" localSheetId="9" hidden="1">{"'Sheet1'!$L$16"}</definedName>
    <definedName name="________________________a1" hidden="1">{"'Sheet1'!$L$16"}</definedName>
    <definedName name="________________________boi1">#REF!</definedName>
    <definedName name="________________________boi2">#REF!</definedName>
    <definedName name="________________________CON1">#REF!</definedName>
    <definedName name="________________________CON2">#REF!</definedName>
    <definedName name="________________________ddn400">#REF!</definedName>
    <definedName name="________________________ddn600">#REF!</definedName>
    <definedName name="________________________DT12" localSheetId="9" hidden="1">{"'Sheet1'!$L$16"}</definedName>
    <definedName name="________________________DT12" hidden="1">{"'Sheet1'!$L$16"}</definedName>
    <definedName name="________________________hsm2">1.1289</definedName>
    <definedName name="________________________hso2" localSheetId="9">#REF!</definedName>
    <definedName name="________________________hso2">#REF!</definedName>
    <definedName name="________________________kha1" localSheetId="9">#REF!</definedName>
    <definedName name="________________________kha1">#REF!</definedName>
    <definedName name="________________________MAC12" localSheetId="9">#REF!</definedName>
    <definedName name="________________________MAC12">#REF!</definedName>
    <definedName name="________________________MAC46">#REF!</definedName>
    <definedName name="________________________NCL100">#REF!</definedName>
    <definedName name="________________________NCL200">#REF!</definedName>
    <definedName name="________________________NCL250">#REF!</definedName>
    <definedName name="________________________NET2">#REF!</definedName>
    <definedName name="________________________nin190">#REF!</definedName>
    <definedName name="________________________PA3" localSheetId="9" hidden="1">{"'Sheet1'!$L$16"}</definedName>
    <definedName name="________________________PA3" hidden="1">{"'Sheet1'!$L$16"}</definedName>
    <definedName name="________________________sc1">#REF!</definedName>
    <definedName name="________________________SC2">#REF!</definedName>
    <definedName name="________________________sc3">#REF!</definedName>
    <definedName name="________________________SN3">#REF!</definedName>
    <definedName name="________________________TL1">#REF!</definedName>
    <definedName name="________________________TL2">#REF!</definedName>
    <definedName name="________________________TL3">#REF!</definedName>
    <definedName name="________________________TLA120">#REF!</definedName>
    <definedName name="________________________TLA35">#REF!</definedName>
    <definedName name="________________________TLA50">#REF!</definedName>
    <definedName name="________________________TLA70">#REF!</definedName>
    <definedName name="________________________TLA95">#REF!</definedName>
    <definedName name="________________________tz593">#REF!</definedName>
    <definedName name="________________________VL100">#REF!</definedName>
    <definedName name="________________________VL250">#REF!</definedName>
    <definedName name="_______________________a1" localSheetId="9" hidden="1">{"'Sheet1'!$L$16"}</definedName>
    <definedName name="_______________________a1" hidden="1">{"'Sheet1'!$L$16"}</definedName>
    <definedName name="_______________________boi1">#REF!</definedName>
    <definedName name="_______________________boi2">#REF!</definedName>
    <definedName name="_______________________CON1">#REF!</definedName>
    <definedName name="_______________________CON2">#REF!</definedName>
    <definedName name="_______________________ddn400">#REF!</definedName>
    <definedName name="_______________________ddn600">#REF!</definedName>
    <definedName name="_______________________DT12" localSheetId="9" hidden="1">{"'Sheet1'!$L$16"}</definedName>
    <definedName name="_______________________DT12" hidden="1">{"'Sheet1'!$L$16"}</definedName>
    <definedName name="_______________________hsm2">1.1289</definedName>
    <definedName name="_______________________hso2" localSheetId="9">#REF!</definedName>
    <definedName name="_______________________hso2">#REF!</definedName>
    <definedName name="_______________________kha1" localSheetId="9">#REF!</definedName>
    <definedName name="_______________________kha1">#REF!</definedName>
    <definedName name="_______________________MAC12" localSheetId="9">#REF!</definedName>
    <definedName name="_______________________MAC12">#REF!</definedName>
    <definedName name="_______________________MAC46">#REF!</definedName>
    <definedName name="_______________________NCL100">#REF!</definedName>
    <definedName name="_______________________NCL200">#REF!</definedName>
    <definedName name="_______________________NCL250">#REF!</definedName>
    <definedName name="_______________________NET2">#REF!</definedName>
    <definedName name="_______________________nin190">#REF!</definedName>
    <definedName name="_______________________PA3" localSheetId="9" hidden="1">{"'Sheet1'!$L$16"}</definedName>
    <definedName name="_______________________PA3" hidden="1">{"'Sheet1'!$L$16"}</definedName>
    <definedName name="_______________________sc1">#REF!</definedName>
    <definedName name="_______________________SC2">#REF!</definedName>
    <definedName name="_______________________sc3">#REF!</definedName>
    <definedName name="_______________________SN3">#REF!</definedName>
    <definedName name="_______________________TL1">#REF!</definedName>
    <definedName name="_______________________TL2">#REF!</definedName>
    <definedName name="_______________________TL3">#REF!</definedName>
    <definedName name="_______________________TLA120">#REF!</definedName>
    <definedName name="_______________________TLA35">#REF!</definedName>
    <definedName name="_______________________TLA50">#REF!</definedName>
    <definedName name="_______________________TLA70">#REF!</definedName>
    <definedName name="_______________________TLA95">#REF!</definedName>
    <definedName name="_______________________tz593">#REF!</definedName>
    <definedName name="_______________________VL100">#REF!</definedName>
    <definedName name="_______________________VL250">#REF!</definedName>
    <definedName name="______________________a1" localSheetId="9" hidden="1">{"'Sheet1'!$L$16"}</definedName>
    <definedName name="______________________a1" hidden="1">{"'Sheet1'!$L$16"}</definedName>
    <definedName name="______________________boi1">#REF!</definedName>
    <definedName name="______________________boi2">#REF!</definedName>
    <definedName name="______________________CON1">#REF!</definedName>
    <definedName name="______________________CON2">#REF!</definedName>
    <definedName name="______________________ddn400">#REF!</definedName>
    <definedName name="______________________ddn600">#REF!</definedName>
    <definedName name="______________________DT12" localSheetId="9" hidden="1">{"'Sheet1'!$L$16"}</definedName>
    <definedName name="______________________DT12" hidden="1">{"'Sheet1'!$L$16"}</definedName>
    <definedName name="______________________hsm2">1.1289</definedName>
    <definedName name="______________________hso2" localSheetId="9">#REF!</definedName>
    <definedName name="______________________hso2">#REF!</definedName>
    <definedName name="______________________kha1" localSheetId="9">#REF!</definedName>
    <definedName name="______________________kha1">#REF!</definedName>
    <definedName name="______________________MAC12" localSheetId="9">#REF!</definedName>
    <definedName name="______________________MAC12">#REF!</definedName>
    <definedName name="______________________MAC46">#REF!</definedName>
    <definedName name="______________________NCL100">#REF!</definedName>
    <definedName name="______________________NCL200">#REF!</definedName>
    <definedName name="______________________NCL250">#REF!</definedName>
    <definedName name="______________________NET2">#REF!</definedName>
    <definedName name="______________________nin190">#REF!</definedName>
    <definedName name="______________________PA3" localSheetId="9" hidden="1">{"'Sheet1'!$L$16"}</definedName>
    <definedName name="______________________PA3" hidden="1">{"'Sheet1'!$L$16"}</definedName>
    <definedName name="______________________sc1">#REF!</definedName>
    <definedName name="______________________SC2">#REF!</definedName>
    <definedName name="______________________sc3">#REF!</definedName>
    <definedName name="______________________SN3">#REF!</definedName>
    <definedName name="______________________TL1">#REF!</definedName>
    <definedName name="______________________TL2">#REF!</definedName>
    <definedName name="______________________TL3">#REF!</definedName>
    <definedName name="______________________TLA120">#REF!</definedName>
    <definedName name="______________________TLA35">#REF!</definedName>
    <definedName name="______________________TLA50">#REF!</definedName>
    <definedName name="______________________TLA70">#REF!</definedName>
    <definedName name="______________________TLA95">#REF!</definedName>
    <definedName name="______________________tz593">#REF!</definedName>
    <definedName name="______________________VL100">#REF!</definedName>
    <definedName name="______________________VL250">#REF!</definedName>
    <definedName name="_____________________a1" localSheetId="9" hidden="1">{"'Sheet1'!$L$16"}</definedName>
    <definedName name="_____________________a1" hidden="1">{"'Sheet1'!$L$16"}</definedName>
    <definedName name="_____________________boi1">#REF!</definedName>
    <definedName name="_____________________boi2">#REF!</definedName>
    <definedName name="_____________________CON1">#REF!</definedName>
    <definedName name="_____________________CON2">#REF!</definedName>
    <definedName name="_____________________ddn400">#REF!</definedName>
    <definedName name="_____________________ddn600">#REF!</definedName>
    <definedName name="_____________________DT12" localSheetId="9" hidden="1">{"'Sheet1'!$L$16"}</definedName>
    <definedName name="_____________________DT12" hidden="1">{"'Sheet1'!$L$16"}</definedName>
    <definedName name="_____________________hsm2">1.1289</definedName>
    <definedName name="_____________________hso2" localSheetId="9">#REF!</definedName>
    <definedName name="_____________________hso2">#REF!</definedName>
    <definedName name="_____________________kha1" localSheetId="9">#REF!</definedName>
    <definedName name="_____________________kha1">#REF!</definedName>
    <definedName name="_____________________MAC12" localSheetId="9">#REF!</definedName>
    <definedName name="_____________________MAC12">#REF!</definedName>
    <definedName name="_____________________MAC46">#REF!</definedName>
    <definedName name="_____________________NCL100">#REF!</definedName>
    <definedName name="_____________________NCL200">#REF!</definedName>
    <definedName name="_____________________NCL250">#REF!</definedName>
    <definedName name="_____________________NET2">#REF!</definedName>
    <definedName name="_____________________nin190">#REF!</definedName>
    <definedName name="_____________________PA3" localSheetId="9" hidden="1">{"'Sheet1'!$L$16"}</definedName>
    <definedName name="_____________________PA3" hidden="1">{"'Sheet1'!$L$16"}</definedName>
    <definedName name="_____________________sc1">#REF!</definedName>
    <definedName name="_____________________SC2">#REF!</definedName>
    <definedName name="_____________________sc3">#REF!</definedName>
    <definedName name="_____________________SN3">#REF!</definedName>
    <definedName name="_____________________TL1">#REF!</definedName>
    <definedName name="_____________________TL2">#REF!</definedName>
    <definedName name="_____________________TL3">#REF!</definedName>
    <definedName name="_____________________TLA120">#REF!</definedName>
    <definedName name="_____________________TLA35">#REF!</definedName>
    <definedName name="_____________________TLA50">#REF!</definedName>
    <definedName name="_____________________TLA70">#REF!</definedName>
    <definedName name="_____________________TLA95">#REF!</definedName>
    <definedName name="_____________________tz593">#REF!</definedName>
    <definedName name="_____________________VL100">#REF!</definedName>
    <definedName name="_____________________VL250">#REF!</definedName>
    <definedName name="____________________a1" localSheetId="9" hidden="1">{"'Sheet1'!$L$16"}</definedName>
    <definedName name="____________________a1" hidden="1">{"'Sheet1'!$L$16"}</definedName>
    <definedName name="____________________boi1">#REF!</definedName>
    <definedName name="____________________boi2">#REF!</definedName>
    <definedName name="____________________CON1">#REF!</definedName>
    <definedName name="____________________CON2">#REF!</definedName>
    <definedName name="____________________ddn400">#REF!</definedName>
    <definedName name="____________________ddn600">#REF!</definedName>
    <definedName name="____________________DT12" localSheetId="9" hidden="1">{"'Sheet1'!$L$16"}</definedName>
    <definedName name="____________________DT12" hidden="1">{"'Sheet1'!$L$16"}</definedName>
    <definedName name="____________________hsm2">1.1289</definedName>
    <definedName name="____________________hso2" localSheetId="9">#REF!</definedName>
    <definedName name="____________________hso2">#REF!</definedName>
    <definedName name="____________________kha1" localSheetId="9">#REF!</definedName>
    <definedName name="____________________kha1">#REF!</definedName>
    <definedName name="____________________MAC12" localSheetId="9">#REF!</definedName>
    <definedName name="____________________MAC12">#REF!</definedName>
    <definedName name="____________________MAC46">#REF!</definedName>
    <definedName name="____________________NCL100">#REF!</definedName>
    <definedName name="____________________NCL200">#REF!</definedName>
    <definedName name="____________________NCL250">#REF!</definedName>
    <definedName name="____________________NET2">#REF!</definedName>
    <definedName name="____________________nin190">#REF!</definedName>
    <definedName name="____________________PA3" localSheetId="9" hidden="1">{"'Sheet1'!$L$16"}</definedName>
    <definedName name="____________________PA3" hidden="1">{"'Sheet1'!$L$16"}</definedName>
    <definedName name="____________________sc1">#REF!</definedName>
    <definedName name="____________________SC2">#REF!</definedName>
    <definedName name="____________________sc3">#REF!</definedName>
    <definedName name="____________________SN3">#REF!</definedName>
    <definedName name="____________________TL1">#REF!</definedName>
    <definedName name="____________________TL2">#REF!</definedName>
    <definedName name="____________________TL3">#REF!</definedName>
    <definedName name="____________________TLA120">#REF!</definedName>
    <definedName name="____________________TLA35">#REF!</definedName>
    <definedName name="____________________TLA50">#REF!</definedName>
    <definedName name="____________________TLA70">#REF!</definedName>
    <definedName name="____________________TLA95">#REF!</definedName>
    <definedName name="____________________tz593">#REF!</definedName>
    <definedName name="____________________VL100">#REF!</definedName>
    <definedName name="____________________VL250">#REF!</definedName>
    <definedName name="___________________a1" localSheetId="9" hidden="1">{"'Sheet1'!$L$16"}</definedName>
    <definedName name="___________________a1" hidden="1">{"'Sheet1'!$L$16"}</definedName>
    <definedName name="___________________boi1">#REF!</definedName>
    <definedName name="___________________boi2">#REF!</definedName>
    <definedName name="___________________CON1">#REF!</definedName>
    <definedName name="___________________CON2">#REF!</definedName>
    <definedName name="___________________ddn400">#REF!</definedName>
    <definedName name="___________________ddn600">#REF!</definedName>
    <definedName name="___________________DT12" localSheetId="9" hidden="1">{"'Sheet1'!$L$16"}</definedName>
    <definedName name="___________________DT12" hidden="1">{"'Sheet1'!$L$16"}</definedName>
    <definedName name="___________________hsm2">1.1289</definedName>
    <definedName name="___________________hso2" localSheetId="9">#REF!</definedName>
    <definedName name="___________________hso2">#REF!</definedName>
    <definedName name="___________________kha1" localSheetId="9">#REF!</definedName>
    <definedName name="___________________kha1">#REF!</definedName>
    <definedName name="___________________MAC12" localSheetId="9">#REF!</definedName>
    <definedName name="___________________MAC12">#REF!</definedName>
    <definedName name="___________________MAC46">#REF!</definedName>
    <definedName name="___________________NCL100">#REF!</definedName>
    <definedName name="___________________NCL200">#REF!</definedName>
    <definedName name="___________________NCL250">#REF!</definedName>
    <definedName name="___________________NET2">#REF!</definedName>
    <definedName name="___________________nin190">#REF!</definedName>
    <definedName name="___________________PA3" localSheetId="9" hidden="1">{"'Sheet1'!$L$16"}</definedName>
    <definedName name="___________________PA3" hidden="1">{"'Sheet1'!$L$16"}</definedName>
    <definedName name="___________________sc1">#REF!</definedName>
    <definedName name="___________________SC2">#REF!</definedName>
    <definedName name="___________________sc3">#REF!</definedName>
    <definedName name="___________________SN3">#REF!</definedName>
    <definedName name="___________________TL1">#REF!</definedName>
    <definedName name="___________________TL2">#REF!</definedName>
    <definedName name="___________________TL3">#REF!</definedName>
    <definedName name="___________________TLA120">#REF!</definedName>
    <definedName name="___________________TLA35">#REF!</definedName>
    <definedName name="___________________TLA50">#REF!</definedName>
    <definedName name="___________________TLA70">#REF!</definedName>
    <definedName name="___________________TLA95">#REF!</definedName>
    <definedName name="___________________tz593">#REF!</definedName>
    <definedName name="___________________VL100">#REF!</definedName>
    <definedName name="___________________VL250">#REF!</definedName>
    <definedName name="__________________a1" localSheetId="9" hidden="1">{"'Sheet1'!$L$16"}</definedName>
    <definedName name="__________________a1" hidden="1">{"'Sheet1'!$L$16"}</definedName>
    <definedName name="__________________boi1">#REF!</definedName>
    <definedName name="__________________boi2">#REF!</definedName>
    <definedName name="__________________CON1">#REF!</definedName>
    <definedName name="__________________CON2">#REF!</definedName>
    <definedName name="__________________ddn400">#REF!</definedName>
    <definedName name="__________________ddn600">#REF!</definedName>
    <definedName name="__________________DT12" localSheetId="9" hidden="1">{"'Sheet1'!$L$16"}</definedName>
    <definedName name="__________________DT12" hidden="1">{"'Sheet1'!$L$16"}</definedName>
    <definedName name="__________________hsm2">1.1289</definedName>
    <definedName name="__________________hso2" localSheetId="9">#REF!</definedName>
    <definedName name="__________________hso2">#REF!</definedName>
    <definedName name="__________________kha1" localSheetId="9">#REF!</definedName>
    <definedName name="__________________kha1">#REF!</definedName>
    <definedName name="__________________MAC12" localSheetId="9">#REF!</definedName>
    <definedName name="__________________MAC12">#REF!</definedName>
    <definedName name="__________________MAC46">#REF!</definedName>
    <definedName name="__________________NCL100">#REF!</definedName>
    <definedName name="__________________NCL200">#REF!</definedName>
    <definedName name="__________________NCL250">#REF!</definedName>
    <definedName name="__________________NET2">#REF!</definedName>
    <definedName name="__________________nin190">#REF!</definedName>
    <definedName name="__________________PA3" localSheetId="9" hidden="1">{"'Sheet1'!$L$16"}</definedName>
    <definedName name="__________________PA3" hidden="1">{"'Sheet1'!$L$16"}</definedName>
    <definedName name="__________________sc1">#REF!</definedName>
    <definedName name="__________________SC2">#REF!</definedName>
    <definedName name="__________________sc3">#REF!</definedName>
    <definedName name="__________________SN3">#REF!</definedName>
    <definedName name="__________________TL1">#REF!</definedName>
    <definedName name="__________________TL2">#REF!</definedName>
    <definedName name="__________________TL3">#REF!</definedName>
    <definedName name="__________________TLA120">#REF!</definedName>
    <definedName name="__________________TLA35">#REF!</definedName>
    <definedName name="__________________TLA50">#REF!</definedName>
    <definedName name="__________________TLA70">#REF!</definedName>
    <definedName name="__________________TLA95">#REF!</definedName>
    <definedName name="__________________tz593">#REF!</definedName>
    <definedName name="__________________VL100">#REF!</definedName>
    <definedName name="__________________VL250">#REF!</definedName>
    <definedName name="_________________a1" localSheetId="9" hidden="1">{"'Sheet1'!$L$16"}</definedName>
    <definedName name="_________________a1" hidden="1">{"'Sheet1'!$L$16"}</definedName>
    <definedName name="_________________boi1">#REF!</definedName>
    <definedName name="_________________boi2">#REF!</definedName>
    <definedName name="_________________CON1">#REF!</definedName>
    <definedName name="_________________CON2">#REF!</definedName>
    <definedName name="_________________ddn400">#REF!</definedName>
    <definedName name="_________________ddn600">#REF!</definedName>
    <definedName name="_________________DT12" localSheetId="9" hidden="1">{"'Sheet1'!$L$16"}</definedName>
    <definedName name="_________________DT12" hidden="1">{"'Sheet1'!$L$16"}</definedName>
    <definedName name="_________________hsm2">1.1289</definedName>
    <definedName name="_________________hso2" localSheetId="9">#REF!</definedName>
    <definedName name="_________________hso2">#REF!</definedName>
    <definedName name="_________________kha1" localSheetId="9">#REF!</definedName>
    <definedName name="_________________kha1">#REF!</definedName>
    <definedName name="_________________MAC12" localSheetId="9">#REF!</definedName>
    <definedName name="_________________MAC12">#REF!</definedName>
    <definedName name="_________________MAC46">#REF!</definedName>
    <definedName name="_________________NCL100">#REF!</definedName>
    <definedName name="_________________NCL200">#REF!</definedName>
    <definedName name="_________________NCL250">#REF!</definedName>
    <definedName name="_________________NET2">#REF!</definedName>
    <definedName name="_________________nin190">#REF!</definedName>
    <definedName name="_________________PA3" localSheetId="9" hidden="1">{"'Sheet1'!$L$16"}</definedName>
    <definedName name="_________________PA3" hidden="1">{"'Sheet1'!$L$16"}</definedName>
    <definedName name="_________________sc1">#REF!</definedName>
    <definedName name="_________________SC2">#REF!</definedName>
    <definedName name="_________________sc3">#REF!</definedName>
    <definedName name="_________________SN3">#REF!</definedName>
    <definedName name="_________________TL1">#REF!</definedName>
    <definedName name="_________________TL2">#REF!</definedName>
    <definedName name="_________________TL3">#REF!</definedName>
    <definedName name="_________________TLA120">#REF!</definedName>
    <definedName name="_________________TLA35">#REF!</definedName>
    <definedName name="_________________TLA50">#REF!</definedName>
    <definedName name="_________________TLA70">#REF!</definedName>
    <definedName name="_________________TLA95">#REF!</definedName>
    <definedName name="_________________tz593">#REF!</definedName>
    <definedName name="_________________VL100">#REF!</definedName>
    <definedName name="_________________VL250">#REF!</definedName>
    <definedName name="________________a1" localSheetId="9" hidden="1">{"'Sheet1'!$L$16"}</definedName>
    <definedName name="________________a1" hidden="1">{"'Sheet1'!$L$16"}</definedName>
    <definedName name="________________boi1">#REF!</definedName>
    <definedName name="________________boi2">#REF!</definedName>
    <definedName name="________________CON1">#REF!</definedName>
    <definedName name="________________CON2">#REF!</definedName>
    <definedName name="________________ddn400">#REF!</definedName>
    <definedName name="________________ddn600">#REF!</definedName>
    <definedName name="________________DT12" localSheetId="9" hidden="1">{"'Sheet1'!$L$16"}</definedName>
    <definedName name="________________DT12" hidden="1">{"'Sheet1'!$L$16"}</definedName>
    <definedName name="________________hsm2">1.1289</definedName>
    <definedName name="________________hso2" localSheetId="9">#REF!</definedName>
    <definedName name="________________hso2">#REF!</definedName>
    <definedName name="________________kha1" localSheetId="9">#REF!</definedName>
    <definedName name="________________kha1">#REF!</definedName>
    <definedName name="________________MAC12" localSheetId="9">#REF!</definedName>
    <definedName name="________________MAC12">#REF!</definedName>
    <definedName name="________________MAC46">#REF!</definedName>
    <definedName name="________________NCL100">#REF!</definedName>
    <definedName name="________________NCL200">#REF!</definedName>
    <definedName name="________________NCL250">#REF!</definedName>
    <definedName name="________________NET2">#REF!</definedName>
    <definedName name="________________nin190">#REF!</definedName>
    <definedName name="________________PA3" localSheetId="9" hidden="1">{"'Sheet1'!$L$16"}</definedName>
    <definedName name="________________PA3" hidden="1">{"'Sheet1'!$L$16"}</definedName>
    <definedName name="________________sc1">#REF!</definedName>
    <definedName name="________________SC2">#REF!</definedName>
    <definedName name="________________sc3">#REF!</definedName>
    <definedName name="________________SN3">#REF!</definedName>
    <definedName name="________________TL1">#REF!</definedName>
    <definedName name="________________TL2">#REF!</definedName>
    <definedName name="________________TL3">#REF!</definedName>
    <definedName name="________________TLA120">#REF!</definedName>
    <definedName name="________________TLA35">#REF!</definedName>
    <definedName name="________________TLA50">#REF!</definedName>
    <definedName name="________________TLA70">#REF!</definedName>
    <definedName name="________________TLA95">#REF!</definedName>
    <definedName name="________________tz593">#REF!</definedName>
    <definedName name="________________VL100">#REF!</definedName>
    <definedName name="________________VL250">#REF!</definedName>
    <definedName name="_______________a1" localSheetId="9" hidden="1">{"'Sheet1'!$L$16"}</definedName>
    <definedName name="_______________a1" hidden="1">{"'Sheet1'!$L$16"}</definedName>
    <definedName name="_______________boi1">#REF!</definedName>
    <definedName name="_______________boi2">#REF!</definedName>
    <definedName name="_______________CON1">#REF!</definedName>
    <definedName name="_______________CON2">#REF!</definedName>
    <definedName name="_______________ddn400">#REF!</definedName>
    <definedName name="_______________ddn600">#REF!</definedName>
    <definedName name="_______________DT12" localSheetId="9" hidden="1">{"'Sheet1'!$L$16"}</definedName>
    <definedName name="_______________DT12" hidden="1">{"'Sheet1'!$L$16"}</definedName>
    <definedName name="_______________hsm2">1.1289</definedName>
    <definedName name="_______________hso2" localSheetId="9">#REF!</definedName>
    <definedName name="_______________hso2">#REF!</definedName>
    <definedName name="_______________kha1" localSheetId="9">#REF!</definedName>
    <definedName name="_______________kha1">#REF!</definedName>
    <definedName name="_______________MAC12" localSheetId="9">#REF!</definedName>
    <definedName name="_______________MAC12">#REF!</definedName>
    <definedName name="_______________MAC46">#REF!</definedName>
    <definedName name="_______________NCL100">#REF!</definedName>
    <definedName name="_______________NCL200">#REF!</definedName>
    <definedName name="_______________NCL250">#REF!</definedName>
    <definedName name="_______________NET2">#REF!</definedName>
    <definedName name="_______________nin190">#REF!</definedName>
    <definedName name="_______________PA3" localSheetId="9" hidden="1">{"'Sheet1'!$L$16"}</definedName>
    <definedName name="_______________PA3" hidden="1">{"'Sheet1'!$L$16"}</definedName>
    <definedName name="_______________sc1">#REF!</definedName>
    <definedName name="_______________SC2">#REF!</definedName>
    <definedName name="_______________sc3">#REF!</definedName>
    <definedName name="_______________SN3">#REF!</definedName>
    <definedName name="_______________TL1">#REF!</definedName>
    <definedName name="_______________TL2">#REF!</definedName>
    <definedName name="_______________TL3">#REF!</definedName>
    <definedName name="_______________TLA120">#REF!</definedName>
    <definedName name="_______________TLA35">#REF!</definedName>
    <definedName name="_______________TLA50">#REF!</definedName>
    <definedName name="_______________TLA70">#REF!</definedName>
    <definedName name="_______________TLA95">#REF!</definedName>
    <definedName name="_______________tz593">#REF!</definedName>
    <definedName name="_______________VL100">#REF!</definedName>
    <definedName name="_______________VL250">#REF!</definedName>
    <definedName name="______________a1" localSheetId="9" hidden="1">{"'Sheet1'!$L$16"}</definedName>
    <definedName name="______________a1" hidden="1">{"'Sheet1'!$L$16"}</definedName>
    <definedName name="______________boi1">#REF!</definedName>
    <definedName name="______________boi2">#REF!</definedName>
    <definedName name="______________CON1">#REF!</definedName>
    <definedName name="______________CON2">#REF!</definedName>
    <definedName name="______________ddn400">#REF!</definedName>
    <definedName name="______________ddn600">#REF!</definedName>
    <definedName name="______________DT12" localSheetId="9" hidden="1">{"'Sheet1'!$L$16"}</definedName>
    <definedName name="______________DT12" hidden="1">{"'Sheet1'!$L$16"}</definedName>
    <definedName name="______________hsm2">1.1289</definedName>
    <definedName name="______________hso2" localSheetId="9">#REF!</definedName>
    <definedName name="______________hso2">#REF!</definedName>
    <definedName name="______________kha1" localSheetId="9">#REF!</definedName>
    <definedName name="______________kha1">#REF!</definedName>
    <definedName name="______________MAC12" localSheetId="9">#REF!</definedName>
    <definedName name="______________MAC12">#REF!</definedName>
    <definedName name="______________MAC46">#REF!</definedName>
    <definedName name="______________NCL100">#REF!</definedName>
    <definedName name="______________NCL200">#REF!</definedName>
    <definedName name="______________NCL250">#REF!</definedName>
    <definedName name="______________NET2">#REF!</definedName>
    <definedName name="______________nin190">#REF!</definedName>
    <definedName name="______________PA3" localSheetId="9" hidden="1">{"'Sheet1'!$L$16"}</definedName>
    <definedName name="______________PA3" hidden="1">{"'Sheet1'!$L$16"}</definedName>
    <definedName name="______________sc1">#REF!</definedName>
    <definedName name="______________SC2">#REF!</definedName>
    <definedName name="______________sc3">#REF!</definedName>
    <definedName name="______________SN3">#REF!</definedName>
    <definedName name="______________TL1">#REF!</definedName>
    <definedName name="______________TL2">#REF!</definedName>
    <definedName name="______________TL3">#REF!</definedName>
    <definedName name="______________TLA120">#REF!</definedName>
    <definedName name="______________TLA35">#REF!</definedName>
    <definedName name="______________TLA50">#REF!</definedName>
    <definedName name="______________TLA70">#REF!</definedName>
    <definedName name="______________TLA95">#REF!</definedName>
    <definedName name="______________tz593">#REF!</definedName>
    <definedName name="______________VL100">#REF!</definedName>
    <definedName name="______________VL250">#REF!</definedName>
    <definedName name="_____________a1" localSheetId="9" hidden="1">{"'Sheet1'!$L$16"}</definedName>
    <definedName name="_____________a1" hidden="1">{"'Sheet1'!$L$16"}</definedName>
    <definedName name="_____________boi1">#REF!</definedName>
    <definedName name="_____________boi2">#REF!</definedName>
    <definedName name="_____________CON1">#REF!</definedName>
    <definedName name="_____________CON2">#REF!</definedName>
    <definedName name="_____________ddn400">#REF!</definedName>
    <definedName name="_____________ddn600">#REF!</definedName>
    <definedName name="_____________DT12" localSheetId="9" hidden="1">{"'Sheet1'!$L$16"}</definedName>
    <definedName name="_____________DT12" hidden="1">{"'Sheet1'!$L$16"}</definedName>
    <definedName name="_____________hsm2">1.1289</definedName>
    <definedName name="_____________hso2" localSheetId="9">#REF!</definedName>
    <definedName name="_____________hso2">#REF!</definedName>
    <definedName name="_____________kha1" localSheetId="9">#REF!</definedName>
    <definedName name="_____________kha1">#REF!</definedName>
    <definedName name="_____________MAC12" localSheetId="9">#REF!</definedName>
    <definedName name="_____________MAC12">#REF!</definedName>
    <definedName name="_____________MAC46">#REF!</definedName>
    <definedName name="_____________NCL100">#REF!</definedName>
    <definedName name="_____________NCL200">#REF!</definedName>
    <definedName name="_____________NCL250">#REF!</definedName>
    <definedName name="_____________NET2">#REF!</definedName>
    <definedName name="_____________nin190">#REF!</definedName>
    <definedName name="_____________PA3" localSheetId="9" hidden="1">{"'Sheet1'!$L$16"}</definedName>
    <definedName name="_____________PA3" hidden="1">{"'Sheet1'!$L$16"}</definedName>
    <definedName name="_____________sc1">#REF!</definedName>
    <definedName name="_____________SC2">#REF!</definedName>
    <definedName name="_____________sc3">#REF!</definedName>
    <definedName name="_____________SN3">#REF!</definedName>
    <definedName name="_____________TL1">#REF!</definedName>
    <definedName name="_____________TL2">#REF!</definedName>
    <definedName name="_____________TL3">#REF!</definedName>
    <definedName name="_____________TLA120">#REF!</definedName>
    <definedName name="_____________TLA35">#REF!</definedName>
    <definedName name="_____________TLA50">#REF!</definedName>
    <definedName name="_____________TLA70">#REF!</definedName>
    <definedName name="_____________TLA95">#REF!</definedName>
    <definedName name="_____________tz593">#REF!</definedName>
    <definedName name="_____________VL100">#REF!</definedName>
    <definedName name="_____________VL250">#REF!</definedName>
    <definedName name="____________a1" localSheetId="9" hidden="1">{"'Sheet1'!$L$16"}</definedName>
    <definedName name="____________a1" hidden="1">{"'Sheet1'!$L$16"}</definedName>
    <definedName name="____________boi1">#REF!</definedName>
    <definedName name="____________boi2">#REF!</definedName>
    <definedName name="____________CON1">#REF!</definedName>
    <definedName name="____________CON2">#REF!</definedName>
    <definedName name="____________ddn400">#REF!</definedName>
    <definedName name="____________ddn600">#REF!</definedName>
    <definedName name="____________DT12" localSheetId="9" hidden="1">{"'Sheet1'!$L$16"}</definedName>
    <definedName name="____________DT12" hidden="1">{"'Sheet1'!$L$16"}</definedName>
    <definedName name="____________hsm2">1.1289</definedName>
    <definedName name="____________hso2" localSheetId="9">#REF!</definedName>
    <definedName name="____________hso2">#REF!</definedName>
    <definedName name="____________kha1" localSheetId="9">#REF!</definedName>
    <definedName name="____________kha1">#REF!</definedName>
    <definedName name="____________MAC12" localSheetId="9">#REF!</definedName>
    <definedName name="____________MAC12">#REF!</definedName>
    <definedName name="____________MAC46">#REF!</definedName>
    <definedName name="____________NCL100">#REF!</definedName>
    <definedName name="____________NCL200">#REF!</definedName>
    <definedName name="____________NCL250">#REF!</definedName>
    <definedName name="____________NET2">#REF!</definedName>
    <definedName name="____________nin190">#REF!</definedName>
    <definedName name="____________PA3" localSheetId="9" hidden="1">{"'Sheet1'!$L$16"}</definedName>
    <definedName name="____________PA3" hidden="1">{"'Sheet1'!$L$16"}</definedName>
    <definedName name="____________sc1">#REF!</definedName>
    <definedName name="____________SC2">#REF!</definedName>
    <definedName name="____________sc3">#REF!</definedName>
    <definedName name="____________SN3">#REF!</definedName>
    <definedName name="____________TL1">#REF!</definedName>
    <definedName name="____________TL2">#REF!</definedName>
    <definedName name="____________TL3">#REF!</definedName>
    <definedName name="____________TLA120">#REF!</definedName>
    <definedName name="____________TLA35">#REF!</definedName>
    <definedName name="____________TLA50">#REF!</definedName>
    <definedName name="____________TLA70">#REF!</definedName>
    <definedName name="____________TLA95">#REF!</definedName>
    <definedName name="____________tz593">#REF!</definedName>
    <definedName name="____________VL100">#REF!</definedName>
    <definedName name="____________VL250">#REF!</definedName>
    <definedName name="___________a1" localSheetId="9" hidden="1">{"'Sheet1'!$L$16"}</definedName>
    <definedName name="___________a1" hidden="1">{"'Sheet1'!$L$16"}</definedName>
    <definedName name="___________boi1">#REF!</definedName>
    <definedName name="___________boi2">#REF!</definedName>
    <definedName name="___________CON1">#REF!</definedName>
    <definedName name="___________CON2">#REF!</definedName>
    <definedName name="___________ddn400">#REF!</definedName>
    <definedName name="___________ddn600">#REF!</definedName>
    <definedName name="___________DT12" localSheetId="9" hidden="1">{"'Sheet1'!$L$16"}</definedName>
    <definedName name="___________DT12" hidden="1">{"'Sheet1'!$L$16"}</definedName>
    <definedName name="___________hsm2">1.1289</definedName>
    <definedName name="___________hso2" localSheetId="9">#REF!</definedName>
    <definedName name="___________hso2">#REF!</definedName>
    <definedName name="___________kha1" localSheetId="9">#REF!</definedName>
    <definedName name="___________kha1">#REF!</definedName>
    <definedName name="___________MAC12" localSheetId="9">#REF!</definedName>
    <definedName name="___________MAC12">#REF!</definedName>
    <definedName name="___________MAC46">#REF!</definedName>
    <definedName name="___________NCL100">#REF!</definedName>
    <definedName name="___________NCL200">#REF!</definedName>
    <definedName name="___________NCL250">#REF!</definedName>
    <definedName name="___________NET2">#REF!</definedName>
    <definedName name="___________nin190">#REF!</definedName>
    <definedName name="___________PA3" localSheetId="9" hidden="1">{"'Sheet1'!$L$16"}</definedName>
    <definedName name="___________PA3" hidden="1">{"'Sheet1'!$L$16"}</definedName>
    <definedName name="___________sc1">#REF!</definedName>
    <definedName name="___________SC2">#REF!</definedName>
    <definedName name="___________sc3">#REF!</definedName>
    <definedName name="___________SN3">#REF!</definedName>
    <definedName name="___________TL1">#REF!</definedName>
    <definedName name="___________TL2">#REF!</definedName>
    <definedName name="___________TL3">#REF!</definedName>
    <definedName name="___________TLA120">#REF!</definedName>
    <definedName name="___________TLA35">#REF!</definedName>
    <definedName name="___________TLA50">#REF!</definedName>
    <definedName name="___________TLA70">#REF!</definedName>
    <definedName name="___________TLA95">#REF!</definedName>
    <definedName name="___________tz593">#REF!</definedName>
    <definedName name="___________VL100">#REF!</definedName>
    <definedName name="___________VL250">#REF!</definedName>
    <definedName name="__________a1" localSheetId="9" hidden="1">{"'Sheet1'!$L$16"}</definedName>
    <definedName name="__________a1" hidden="1">{"'Sheet1'!$L$16"}</definedName>
    <definedName name="__________boi1">#REF!</definedName>
    <definedName name="__________boi2">#REF!</definedName>
    <definedName name="__________CON1">#REF!</definedName>
    <definedName name="__________CON2">#REF!</definedName>
    <definedName name="__________ddn400">#REF!</definedName>
    <definedName name="__________ddn600">#REF!</definedName>
    <definedName name="__________DT12" localSheetId="9" hidden="1">{"'Sheet1'!$L$16"}</definedName>
    <definedName name="__________DT12" hidden="1">{"'Sheet1'!$L$16"}</definedName>
    <definedName name="__________hsm2">1.1289</definedName>
    <definedName name="__________hso2" localSheetId="9">#REF!</definedName>
    <definedName name="__________hso2">#REF!</definedName>
    <definedName name="__________kha1" localSheetId="9">#REF!</definedName>
    <definedName name="__________kha1">#REF!</definedName>
    <definedName name="__________MAC12" localSheetId="9">#REF!</definedName>
    <definedName name="__________MAC12">#REF!</definedName>
    <definedName name="__________MAC46">#REF!</definedName>
    <definedName name="__________NCL100">#REF!</definedName>
    <definedName name="__________NCL200">#REF!</definedName>
    <definedName name="__________NCL250">#REF!</definedName>
    <definedName name="__________NET2">#REF!</definedName>
    <definedName name="__________nin190">#REF!</definedName>
    <definedName name="__________PA3" localSheetId="9" hidden="1">{"'Sheet1'!$L$16"}</definedName>
    <definedName name="__________PA3" hidden="1">{"'Sheet1'!$L$16"}</definedName>
    <definedName name="__________sc1">#REF!</definedName>
    <definedName name="__________SC2">#REF!</definedName>
    <definedName name="__________sc3">#REF!</definedName>
    <definedName name="__________SN3">#REF!</definedName>
    <definedName name="__________TL1">#REF!</definedName>
    <definedName name="__________TL2">#REF!</definedName>
    <definedName name="__________TL3">#REF!</definedName>
    <definedName name="__________TLA120">#REF!</definedName>
    <definedName name="__________TLA35">#REF!</definedName>
    <definedName name="__________TLA50">#REF!</definedName>
    <definedName name="__________TLA70">#REF!</definedName>
    <definedName name="__________TLA95">#REF!</definedName>
    <definedName name="__________tz593">#REF!</definedName>
    <definedName name="__________VL100">#REF!</definedName>
    <definedName name="__________VL200">#REF!</definedName>
    <definedName name="__________VL250">#REF!</definedName>
    <definedName name="_________a1" localSheetId="9" hidden="1">{"'Sheet1'!$L$16"}</definedName>
    <definedName name="_________a1" hidden="1">{"'Sheet1'!$L$16"}</definedName>
    <definedName name="_________boi1">#REF!</definedName>
    <definedName name="_________boi2">#REF!</definedName>
    <definedName name="_________CON1">#REF!</definedName>
    <definedName name="_________CON2">#REF!</definedName>
    <definedName name="_________ddn400">#REF!</definedName>
    <definedName name="_________ddn600">#REF!</definedName>
    <definedName name="_________DT12" localSheetId="9" hidden="1">{"'Sheet1'!$L$16"}</definedName>
    <definedName name="_________DT12" hidden="1">{"'Sheet1'!$L$16"}</definedName>
    <definedName name="_________hsm2">1.1289</definedName>
    <definedName name="_________hso2" localSheetId="9">#REF!</definedName>
    <definedName name="_________hso2">#REF!</definedName>
    <definedName name="_________kha1" localSheetId="9">#REF!</definedName>
    <definedName name="_________kha1">#REF!</definedName>
    <definedName name="_________MAC12" localSheetId="9">#REF!</definedName>
    <definedName name="_________MAC12">#REF!</definedName>
    <definedName name="_________MAC46">#REF!</definedName>
    <definedName name="_________NCL100">#REF!</definedName>
    <definedName name="_________NCL200">#REF!</definedName>
    <definedName name="_________NCL250">#REF!</definedName>
    <definedName name="_________NET2">#REF!</definedName>
    <definedName name="_________nin190">#REF!</definedName>
    <definedName name="_________PA3" localSheetId="9" hidden="1">{"'Sheet1'!$L$16"}</definedName>
    <definedName name="_________PA3" hidden="1">{"'Sheet1'!$L$16"}</definedName>
    <definedName name="_________sc1">#REF!</definedName>
    <definedName name="_________SC2">#REF!</definedName>
    <definedName name="_________sc3">#REF!</definedName>
    <definedName name="_________SN3">#REF!</definedName>
    <definedName name="_________TL1">#REF!</definedName>
    <definedName name="_________TL2">#REF!</definedName>
    <definedName name="_________TL3">#REF!</definedName>
    <definedName name="_________TLA120">#REF!</definedName>
    <definedName name="_________TLA35">#REF!</definedName>
    <definedName name="_________TLA50">#REF!</definedName>
    <definedName name="_________TLA70">#REF!</definedName>
    <definedName name="_________TLA95">#REF!</definedName>
    <definedName name="_________tz593">#REF!</definedName>
    <definedName name="_________VL100">#REF!</definedName>
    <definedName name="_________VL200">#REF!</definedName>
    <definedName name="_________VL250">#REF!</definedName>
    <definedName name="________a1" localSheetId="9" hidden="1">{"'Sheet1'!$L$16"}</definedName>
    <definedName name="________a1" hidden="1">{"'Sheet1'!$L$16"}</definedName>
    <definedName name="________boi1">#REF!</definedName>
    <definedName name="________boi2">#REF!</definedName>
    <definedName name="________CON1">#REF!</definedName>
    <definedName name="________CON2">#REF!</definedName>
    <definedName name="________ddn400">#REF!</definedName>
    <definedName name="________ddn600">#REF!</definedName>
    <definedName name="________DT12" localSheetId="9" hidden="1">{"'Sheet1'!$L$16"}</definedName>
    <definedName name="________DT12" hidden="1">{"'Sheet1'!$L$16"}</definedName>
    <definedName name="________hsm2">1.1289</definedName>
    <definedName name="________hso2" localSheetId="9">#REF!</definedName>
    <definedName name="________hso2">#REF!</definedName>
    <definedName name="________kha1" localSheetId="9">#REF!</definedName>
    <definedName name="________kha1">#REF!</definedName>
    <definedName name="________MAC12" localSheetId="9">#REF!</definedName>
    <definedName name="________MAC12">#REF!</definedName>
    <definedName name="________MAC46">#REF!</definedName>
    <definedName name="________NCL100">#REF!</definedName>
    <definedName name="________NCL200">#REF!</definedName>
    <definedName name="________NCL250">#REF!</definedName>
    <definedName name="________NET2">#REF!</definedName>
    <definedName name="________nin190">#REF!</definedName>
    <definedName name="________PA3" localSheetId="9" hidden="1">{"'Sheet1'!$L$16"}</definedName>
    <definedName name="________PA3" hidden="1">{"'Sheet1'!$L$16"}</definedName>
    <definedName name="________sc1">#REF!</definedName>
    <definedName name="________SC2">#REF!</definedName>
    <definedName name="________sc3">#REF!</definedName>
    <definedName name="________SN3">#REF!</definedName>
    <definedName name="________TL1">#REF!</definedName>
    <definedName name="________TL2">#REF!</definedName>
    <definedName name="________TL3">#REF!</definedName>
    <definedName name="________TLA120">#REF!</definedName>
    <definedName name="________TLA35">#REF!</definedName>
    <definedName name="________TLA50">#REF!</definedName>
    <definedName name="________TLA70">#REF!</definedName>
    <definedName name="________TLA95">#REF!</definedName>
    <definedName name="________tz593">#REF!</definedName>
    <definedName name="________VL100">#REF!</definedName>
    <definedName name="________VL200">#REF!</definedName>
    <definedName name="________VL250">#REF!</definedName>
    <definedName name="_______a1" localSheetId="9" hidden="1">{"'Sheet1'!$L$16"}</definedName>
    <definedName name="_______a1" hidden="1">{"'Sheet1'!$L$16"}</definedName>
    <definedName name="_______boi1">#REF!</definedName>
    <definedName name="_______boi2">#REF!</definedName>
    <definedName name="_______CON1">#REF!</definedName>
    <definedName name="_______CON2">#REF!</definedName>
    <definedName name="_______ddn400">#REF!</definedName>
    <definedName name="_______ddn600">#REF!</definedName>
    <definedName name="_______DT12" localSheetId="9" hidden="1">{"'Sheet1'!$L$16"}</definedName>
    <definedName name="_______DT12" hidden="1">{"'Sheet1'!$L$16"}</definedName>
    <definedName name="_______hsm2">1.1289</definedName>
    <definedName name="_______hso2" localSheetId="9">#REF!</definedName>
    <definedName name="_______hso2">#REF!</definedName>
    <definedName name="_______kha1" localSheetId="9">#REF!</definedName>
    <definedName name="_______kha1">#REF!</definedName>
    <definedName name="_______MAC12" localSheetId="9">#REF!</definedName>
    <definedName name="_______MAC12">#REF!</definedName>
    <definedName name="_______MAC46">#REF!</definedName>
    <definedName name="_______NCL100">#REF!</definedName>
    <definedName name="_______NCL200">#REF!</definedName>
    <definedName name="_______NCL250">#REF!</definedName>
    <definedName name="_______NET2">#REF!</definedName>
    <definedName name="_______nin190">#REF!</definedName>
    <definedName name="_______PA3" localSheetId="9" hidden="1">{"'Sheet1'!$L$16"}</definedName>
    <definedName name="_______PA3" hidden="1">{"'Sheet1'!$L$16"}</definedName>
    <definedName name="_______sc1">#REF!</definedName>
    <definedName name="_______SC2">#REF!</definedName>
    <definedName name="_______sc3">#REF!</definedName>
    <definedName name="_______SN3">#REF!</definedName>
    <definedName name="_______TL1">#REF!</definedName>
    <definedName name="_______TL2">#REF!</definedName>
    <definedName name="_______TL3">#REF!</definedName>
    <definedName name="_______TLA120">#REF!</definedName>
    <definedName name="_______TLA35">#REF!</definedName>
    <definedName name="_______TLA50">#REF!</definedName>
    <definedName name="_______TLA70">#REF!</definedName>
    <definedName name="_______TLA95">#REF!</definedName>
    <definedName name="_______tz593">#REF!</definedName>
    <definedName name="_______VL100">#REF!</definedName>
    <definedName name="_______VL200">#REF!</definedName>
    <definedName name="_______VL250">#REF!</definedName>
    <definedName name="______a1" localSheetId="9" hidden="1">{"'Sheet1'!$L$16"}</definedName>
    <definedName name="______a1" hidden="1">{"'Sheet1'!$L$16"}</definedName>
    <definedName name="______boi1">#REF!</definedName>
    <definedName name="______boi2">#REF!</definedName>
    <definedName name="______CON1">#REF!</definedName>
    <definedName name="______CON2">#REF!</definedName>
    <definedName name="______ddn400">#REF!</definedName>
    <definedName name="______ddn600">#REF!</definedName>
    <definedName name="______DT12" localSheetId="9" hidden="1">{"'Sheet1'!$L$16"}</definedName>
    <definedName name="______DT12" hidden="1">{"'Sheet1'!$L$16"}</definedName>
    <definedName name="______hsm2">1.1289</definedName>
    <definedName name="______hso2" localSheetId="9">#REF!</definedName>
    <definedName name="______hso2">#REF!</definedName>
    <definedName name="______kha1" localSheetId="9">#REF!</definedName>
    <definedName name="______kha1">#REF!</definedName>
    <definedName name="______MAC12" localSheetId="9">#REF!</definedName>
    <definedName name="______MAC12">#REF!</definedName>
    <definedName name="______MAC46">#REF!</definedName>
    <definedName name="______NCL100">#REF!</definedName>
    <definedName name="______NCL200">#REF!</definedName>
    <definedName name="______NCL250">#REF!</definedName>
    <definedName name="______NET2">#REF!</definedName>
    <definedName name="______nin190">#REF!</definedName>
    <definedName name="______PA3" localSheetId="9" hidden="1">{"'Sheet1'!$L$16"}</definedName>
    <definedName name="______PA3" hidden="1">{"'Sheet1'!$L$16"}</definedName>
    <definedName name="______sc1">#REF!</definedName>
    <definedName name="______SC2">#REF!</definedName>
    <definedName name="______sc3">#REF!</definedName>
    <definedName name="______SN3">#REF!</definedName>
    <definedName name="______TL1">#REF!</definedName>
    <definedName name="______TL2">#REF!</definedName>
    <definedName name="______TL3">#REF!</definedName>
    <definedName name="______TLA120">#REF!</definedName>
    <definedName name="______TLA35">#REF!</definedName>
    <definedName name="______TLA50">#REF!</definedName>
    <definedName name="______TLA70">#REF!</definedName>
    <definedName name="______TLA95">#REF!</definedName>
    <definedName name="______tz593">#REF!</definedName>
    <definedName name="______VL100">#REF!</definedName>
    <definedName name="______VL200">#REF!</definedName>
    <definedName name="______VL250">#REF!</definedName>
    <definedName name="_____a1" localSheetId="9" hidden="1">{"'Sheet1'!$L$16"}</definedName>
    <definedName name="_____a1" hidden="1">{"'Sheet1'!$L$16"}</definedName>
    <definedName name="_____boi1">#REF!</definedName>
    <definedName name="_____boi2">#REF!</definedName>
    <definedName name="_____CON1">#REF!</definedName>
    <definedName name="_____CON2">#REF!</definedName>
    <definedName name="_____ddn400">#REF!</definedName>
    <definedName name="_____ddn600">#REF!</definedName>
    <definedName name="_____DT12" localSheetId="9" hidden="1">{"'Sheet1'!$L$16"}</definedName>
    <definedName name="_____DT12" hidden="1">{"'Sheet1'!$L$16"}</definedName>
    <definedName name="_____hsm2">1.1289</definedName>
    <definedName name="_____hso2" localSheetId="9">#REF!</definedName>
    <definedName name="_____hso2">#REF!</definedName>
    <definedName name="_____kha1" localSheetId="9">#REF!</definedName>
    <definedName name="_____kha1">#REF!</definedName>
    <definedName name="_____MAC12" localSheetId="9">#REF!</definedName>
    <definedName name="_____MAC12">#REF!</definedName>
    <definedName name="_____MAC46">#REF!</definedName>
    <definedName name="_____NCL100">#REF!</definedName>
    <definedName name="_____NCL200">#REF!</definedName>
    <definedName name="_____NCL250">#REF!</definedName>
    <definedName name="_____NET2">#REF!</definedName>
    <definedName name="_____nin190">#REF!</definedName>
    <definedName name="_____PA3" localSheetId="9" hidden="1">{"'Sheet1'!$L$16"}</definedName>
    <definedName name="_____PA3" hidden="1">{"'Sheet1'!$L$16"}</definedName>
    <definedName name="_____sc1">#REF!</definedName>
    <definedName name="_____SC2">#REF!</definedName>
    <definedName name="_____sc3">#REF!</definedName>
    <definedName name="_____SN3">#REF!</definedName>
    <definedName name="_____TL1">#REF!</definedName>
    <definedName name="_____TL2">#REF!</definedName>
    <definedName name="_____TL3">#REF!</definedName>
    <definedName name="_____TLA120">#REF!</definedName>
    <definedName name="_____TLA35">#REF!</definedName>
    <definedName name="_____TLA50">#REF!</definedName>
    <definedName name="_____TLA70">#REF!</definedName>
    <definedName name="_____TLA95">#REF!</definedName>
    <definedName name="_____tz593">#REF!</definedName>
    <definedName name="_____VL100">#REF!</definedName>
    <definedName name="_____VL200">#REF!</definedName>
    <definedName name="_____VL250">#REF!</definedName>
    <definedName name="____a1" localSheetId="9" hidden="1">{"'Sheet1'!$L$16"}</definedName>
    <definedName name="____a1" hidden="1">{"'Sheet1'!$L$16"}</definedName>
    <definedName name="____boi1">#REF!</definedName>
    <definedName name="____boi2">#REF!</definedName>
    <definedName name="____CON1">#REF!</definedName>
    <definedName name="____CON2">#REF!</definedName>
    <definedName name="____ddn400">#REF!</definedName>
    <definedName name="____ddn600">#REF!</definedName>
    <definedName name="____DT12" localSheetId="9" hidden="1">{"'Sheet1'!$L$16"}</definedName>
    <definedName name="____DT12" hidden="1">{"'Sheet1'!$L$16"}</definedName>
    <definedName name="____GID1">'[2]LKVL-CK-HT-GD1'!$A$4</definedName>
    <definedName name="____hsm2">1.1289</definedName>
    <definedName name="____hso2" localSheetId="9">#REF!</definedName>
    <definedName name="____hso2">#REF!</definedName>
    <definedName name="____kha1" localSheetId="9">#REF!</definedName>
    <definedName name="____kha1">#REF!</definedName>
    <definedName name="____MAC12" localSheetId="9">#REF!</definedName>
    <definedName name="____MAC12">#REF!</definedName>
    <definedName name="____MAC46">#REF!</definedName>
    <definedName name="____NCL100">#REF!</definedName>
    <definedName name="____NCL200">#REF!</definedName>
    <definedName name="____NCL250">#REF!</definedName>
    <definedName name="____NET2">#REF!</definedName>
    <definedName name="____nin190">#REF!</definedName>
    <definedName name="____PA3" localSheetId="9" hidden="1">{"'Sheet1'!$L$16"}</definedName>
    <definedName name="____PA3" hidden="1">{"'Sheet1'!$L$16"}</definedName>
    <definedName name="____sc1">#REF!</definedName>
    <definedName name="____SC2">#REF!</definedName>
    <definedName name="____sc3">#REF!</definedName>
    <definedName name="____SN3">#REF!</definedName>
    <definedName name="____TL1">#REF!</definedName>
    <definedName name="____TL2">#REF!</definedName>
    <definedName name="____TL3">#REF!</definedName>
    <definedName name="____TLA120">#REF!</definedName>
    <definedName name="____TLA35">#REF!</definedName>
    <definedName name="____TLA50">#REF!</definedName>
    <definedName name="____TLA70">#REF!</definedName>
    <definedName name="____TLA95">#REF!</definedName>
    <definedName name="____tz593">#REF!</definedName>
    <definedName name="____VL100">#REF!</definedName>
    <definedName name="____VL200">#REF!</definedName>
    <definedName name="____VL250">#REF!</definedName>
    <definedName name="___a1" localSheetId="9" hidden="1">{"'Sheet1'!$L$16"}</definedName>
    <definedName name="___a1" hidden="1">{"'Sheet1'!$L$16"}</definedName>
    <definedName name="___boi1">#REF!</definedName>
    <definedName name="___boi2">#REF!</definedName>
    <definedName name="___CON1">#REF!</definedName>
    <definedName name="___CON2">#REF!</definedName>
    <definedName name="___ddn400">#REF!</definedName>
    <definedName name="___ddn600">#REF!</definedName>
    <definedName name="___DT12" localSheetId="9" hidden="1">{"'Sheet1'!$L$16"}</definedName>
    <definedName name="___DT12" hidden="1">{"'Sheet1'!$L$16"}</definedName>
    <definedName name="___GID1">'[3]LKVL-CK-HT-GD1'!$A$4</definedName>
    <definedName name="___hsm2">1.1289</definedName>
    <definedName name="___hso2" localSheetId="9">#REF!</definedName>
    <definedName name="___hso2">#REF!</definedName>
    <definedName name="___kha1" localSheetId="9">#REF!</definedName>
    <definedName name="___kha1">#REF!</definedName>
    <definedName name="___MAC12" localSheetId="9">#REF!</definedName>
    <definedName name="___MAC12">#REF!</definedName>
    <definedName name="___MAC46">#REF!</definedName>
    <definedName name="___NCL100">#REF!</definedName>
    <definedName name="___NCL200">#REF!</definedName>
    <definedName name="___NCL250">#REF!</definedName>
    <definedName name="___NET2">#REF!</definedName>
    <definedName name="___nin190">#REF!</definedName>
    <definedName name="___PA3" localSheetId="9" hidden="1">{"'Sheet1'!$L$16"}</definedName>
    <definedName name="___PA3" hidden="1">{"'Sheet1'!$L$16"}</definedName>
    <definedName name="___sc1">#REF!</definedName>
    <definedName name="___SC2">#REF!</definedName>
    <definedName name="___sc3">#REF!</definedName>
    <definedName name="___SN3">#REF!</definedName>
    <definedName name="___TL1">#REF!</definedName>
    <definedName name="___TL2">#REF!</definedName>
    <definedName name="___TL3">#REF!</definedName>
    <definedName name="___TLA120">#REF!</definedName>
    <definedName name="___TLA35">#REF!</definedName>
    <definedName name="___TLA50">#REF!</definedName>
    <definedName name="___TLA70">#REF!</definedName>
    <definedName name="___TLA95">#REF!</definedName>
    <definedName name="___tz593">#REF!</definedName>
    <definedName name="___VL100">#REF!</definedName>
    <definedName name="___VL200">#REF!</definedName>
    <definedName name="___VL250">#REF!</definedName>
    <definedName name="__a1" localSheetId="9" hidden="1">{"'Sheet1'!$L$16"}</definedName>
    <definedName name="__a1" hidden="1">{"'Sheet1'!$L$16"}</definedName>
    <definedName name="__boi1">#REF!</definedName>
    <definedName name="__boi2">#REF!</definedName>
    <definedName name="__CON1">#REF!</definedName>
    <definedName name="__CON2">#REF!</definedName>
    <definedName name="__ddn400">#REF!</definedName>
    <definedName name="__ddn600">#REF!</definedName>
    <definedName name="__DT12" localSheetId="9" hidden="1">{"'Sheet1'!$L$16"}</definedName>
    <definedName name="__DT12" hidden="1">{"'Sheet1'!$L$16"}</definedName>
    <definedName name="__GID1">'[4]LKVL-CK-HT-GD1'!$A$4</definedName>
    <definedName name="__h1" localSheetId="9" hidden="1">{"'Sheet1'!$L$16"}</definedName>
    <definedName name="__h1" hidden="1">{"'Sheet1'!$L$16"}</definedName>
    <definedName name="__h10" localSheetId="9" hidden="1">{#N/A,#N/A,FALSE,"Chi tiÆt"}</definedName>
    <definedName name="__h10" hidden="1">{#N/A,#N/A,FALSE,"Chi tiÆt"}</definedName>
    <definedName name="__h2" localSheetId="9" hidden="1">{"'Sheet1'!$L$16"}</definedName>
    <definedName name="__h2" hidden="1">{"'Sheet1'!$L$16"}</definedName>
    <definedName name="__h3" localSheetId="9" hidden="1">{"'Sheet1'!$L$16"}</definedName>
    <definedName name="__h3" hidden="1">{"'Sheet1'!$L$16"}</definedName>
    <definedName name="__h5" localSheetId="9" hidden="1">{"'Sheet1'!$L$16"}</definedName>
    <definedName name="__h5" hidden="1">{"'Sheet1'!$L$16"}</definedName>
    <definedName name="__h6" localSheetId="9" hidden="1">{"'Sheet1'!$L$16"}</definedName>
    <definedName name="__h6" hidden="1">{"'Sheet1'!$L$16"}</definedName>
    <definedName name="__h7" localSheetId="9" hidden="1">{"'Sheet1'!$L$16"}</definedName>
    <definedName name="__h7" hidden="1">{"'Sheet1'!$L$16"}</definedName>
    <definedName name="__h8" localSheetId="9" hidden="1">{"'Sheet1'!$L$16"}</definedName>
    <definedName name="__h8" hidden="1">{"'Sheet1'!$L$16"}</definedName>
    <definedName name="__h9" localSheetId="9" hidden="1">{"'Sheet1'!$L$16"}</definedName>
    <definedName name="__h9" hidden="1">{"'Sheet1'!$L$16"}</definedName>
    <definedName name="__hsm2">1.1289</definedName>
    <definedName name="__hso2" localSheetId="9">#REF!</definedName>
    <definedName name="__hso2">#REF!</definedName>
    <definedName name="__IntlFixup" hidden="1">TRUE</definedName>
    <definedName name="__kha1" localSheetId="9">#REF!</definedName>
    <definedName name="__kha1">#REF!</definedName>
    <definedName name="__lap1" localSheetId="9">#REF!</definedName>
    <definedName name="__lap1">#REF!</definedName>
    <definedName name="__lap2" localSheetId="9">#REF!</definedName>
    <definedName name="__lap2">#REF!</definedName>
    <definedName name="__MAC12">#REF!</definedName>
    <definedName name="__MAC46">#REF!</definedName>
    <definedName name="__NCL100">#REF!</definedName>
    <definedName name="__NCL200">#REF!</definedName>
    <definedName name="__NCL250">#REF!</definedName>
    <definedName name="__NET2">#REF!</definedName>
    <definedName name="__nin190">#REF!</definedName>
    <definedName name="__PA3" localSheetId="9" hidden="1">{"'Sheet1'!$L$16"}</definedName>
    <definedName name="__PA3" hidden="1">{"'Sheet1'!$L$16"}</definedName>
    <definedName name="__sc1">#REF!</definedName>
    <definedName name="__SC2">#REF!</definedName>
    <definedName name="__sc3">#REF!</definedName>
    <definedName name="__SN3">#REF!</definedName>
    <definedName name="__TK155">#REF!</definedName>
    <definedName name="__TK422">#REF!</definedName>
    <definedName name="__TL1">#REF!</definedName>
    <definedName name="__TL2">#REF!</definedName>
    <definedName name="__TL3">#REF!</definedName>
    <definedName name="__TLA120">#REF!</definedName>
    <definedName name="__TLA35">#REF!</definedName>
    <definedName name="__TLA50">#REF!</definedName>
    <definedName name="__TLA70">#REF!</definedName>
    <definedName name="__TLA95">#REF!</definedName>
    <definedName name="__tz593">#REF!</definedName>
    <definedName name="__VL100">#REF!</definedName>
    <definedName name="__VL200">#REF!</definedName>
    <definedName name="__VL250">#REF!</definedName>
    <definedName name="_1">#N/A</definedName>
    <definedName name="_1000A01">#N/A</definedName>
    <definedName name="_1957CotThep" localSheetId="9">#REF!</definedName>
    <definedName name="_1957CotThep">#REF!</definedName>
    <definedName name="_1957DaoDat" localSheetId="9">#REF!</definedName>
    <definedName name="_1957DaoDat">#REF!</definedName>
    <definedName name="_1957DoBeTong" localSheetId="9">#REF!</definedName>
    <definedName name="_1957DoBeTong">#REF!</definedName>
    <definedName name="_1957Door">#REF!</definedName>
    <definedName name="_1957HoanThien">#REF!</definedName>
    <definedName name="_1957Nuoc">#REF!</definedName>
    <definedName name="_1957ThaoDo">#REF!</definedName>
    <definedName name="_1957Xay">#REF!</definedName>
    <definedName name="_1BA2500">#REF!</definedName>
    <definedName name="_1BA3250">#REF!</definedName>
    <definedName name="_1BA400P">#REF!</definedName>
    <definedName name="_1BLnhungkem">#REF!</definedName>
    <definedName name="_1CAP001">#REF!</definedName>
    <definedName name="_1CB">#REF!</definedName>
    <definedName name="_1DAU002">#REF!</definedName>
    <definedName name="_1DauNoi">#REF!</definedName>
    <definedName name="_1DayDanDien">#REF!</definedName>
    <definedName name="_1DDAY03">#REF!</definedName>
    <definedName name="_1DDTT01">#REF!</definedName>
    <definedName name="_1DeMongDeNeo">#REF!</definedName>
    <definedName name="_1FCO101">#REF!</definedName>
    <definedName name="_1GIA101">#REF!</definedName>
    <definedName name="_1HeThongNuoc">#REF!</definedName>
    <definedName name="_1LA1001">#REF!</definedName>
    <definedName name="_1LinhTinh">[5]TBVL!#REF!</definedName>
    <definedName name="_1LiTi" localSheetId="9">#REF!</definedName>
    <definedName name="_1LiTi">#REF!</definedName>
    <definedName name="_1MCCBO2" localSheetId="9">#REF!</definedName>
    <definedName name="_1MCCBO2">#REF!</definedName>
    <definedName name="_1NeoChang" localSheetId="9">#REF!</definedName>
    <definedName name="_1NeoChang">#REF!</definedName>
    <definedName name="_1PKCAP1">#REF!</definedName>
    <definedName name="_1PKTram">#REF!</definedName>
    <definedName name="_1PKTT01">#REF!</definedName>
    <definedName name="_1SuCachDien">#REF!</definedName>
    <definedName name="_1TCD101">#REF!</definedName>
    <definedName name="_1TCD201">#REF!</definedName>
    <definedName name="_1TD2001">#REF!</definedName>
    <definedName name="_1Terre">#REF!</definedName>
    <definedName name="_1ThepHinh">#REF!</definedName>
    <definedName name="_1ThepThanhPham">#REF!</definedName>
    <definedName name="_1TIHT01">#REF!</definedName>
    <definedName name="_1TRU121">#REF!</definedName>
    <definedName name="_1TruDien">#REF!</definedName>
    <definedName name="_1TuDien">#REF!</definedName>
    <definedName name="_2">#N/A</definedName>
    <definedName name="_2BLA100" localSheetId="9">#REF!</definedName>
    <definedName name="_2BLA100">#REF!</definedName>
    <definedName name="_2DAL201" localSheetId="9">#REF!</definedName>
    <definedName name="_2DAL201">#REF!</definedName>
    <definedName name="_3285BocDo" localSheetId="9">#REF!</definedName>
    <definedName name="_3285BocDo">#REF!</definedName>
    <definedName name="_3285ChatCay">#REF!</definedName>
    <definedName name="_3285DaoDapMongCot">#REF!</definedName>
    <definedName name="_3285DaoRanhTiepDia">#REF!</definedName>
    <definedName name="_3285PhatTuyen">#REF!</definedName>
    <definedName name="_3285VCcogioithucong">#REF!</definedName>
    <definedName name="_3285VCduongdai">#REF!</definedName>
    <definedName name="_3285VCthucong">#REF!</definedName>
    <definedName name="_3983Cable">#REF!</definedName>
    <definedName name="_3983Cosse">#REF!</definedName>
    <definedName name="_3983CotXa">#REF!</definedName>
    <definedName name="_3983DayDanThanhCai">#REF!</definedName>
    <definedName name="_3983MBApp">#REF!</definedName>
    <definedName name="_3983Panel">#REF!</definedName>
    <definedName name="_3983Su">#REF!</definedName>
    <definedName name="_3983Terre">#REF!</definedName>
    <definedName name="_3BLXMD">#REF!</definedName>
    <definedName name="_3TU0609">#REF!</definedName>
    <definedName name="_4CNT240">#REF!</definedName>
    <definedName name="_4CTL240">#REF!</definedName>
    <definedName name="_4FCO100">#REF!</definedName>
    <definedName name="_4HDCTT4">#REF!</definedName>
    <definedName name="_4HNCTT4">#REF!</definedName>
    <definedName name="_4LBCO01">#REF!</definedName>
    <definedName name="_7Mong">#REF!</definedName>
    <definedName name="_7Neo">#REF!</definedName>
    <definedName name="_7TiepDia">#REF!</definedName>
    <definedName name="_7Tru">#REF!</definedName>
    <definedName name="_7Xa">#REF!</definedName>
    <definedName name="_a1" localSheetId="9" hidden="1">{"'Sheet1'!$L$16"}</definedName>
    <definedName name="_a1" hidden="1">{"'Sheet1'!$L$16"}</definedName>
    <definedName name="_boi1">#REF!</definedName>
    <definedName name="_boi2">#REF!</definedName>
    <definedName name="_C_Lphi_4ab">#REF!</definedName>
    <definedName name="_CON1">#REF!</definedName>
    <definedName name="_CON2">#REF!</definedName>
    <definedName name="_CPhi_Bhiem">#REF!</definedName>
    <definedName name="_CPhi_BQLDA">#REF!</definedName>
    <definedName name="_CPhi_DBaoGT">#REF!</definedName>
    <definedName name="_CPhi_Kdinh">#REF!</definedName>
    <definedName name="_CPhi_Nthu_KThanh">#REF!</definedName>
    <definedName name="_CPhi_QToan">#REF!</definedName>
    <definedName name="_CPhiTKe_13">#REF!</definedName>
    <definedName name="_ddn400">#REF!</definedName>
    <definedName name="_ddn600">#REF!</definedName>
    <definedName name="_DT12" localSheetId="9" hidden="1">{"'Sheet1'!$L$16"}</definedName>
    <definedName name="_DT12" hidden="1">{"'Sheet1'!$L$16"}</definedName>
    <definedName name="_Fill" hidden="1">#REF!</definedName>
    <definedName name="_GID1">'[3]LKVL-CK-HT-GD1'!$A$4</definedName>
    <definedName name="_h1" localSheetId="9" hidden="1">{"'Sheet1'!$L$16"}</definedName>
    <definedName name="_h1" hidden="1">{"'Sheet1'!$L$16"}</definedName>
    <definedName name="_h10" localSheetId="9" hidden="1">{#N/A,#N/A,FALSE,"Chi tiÆt"}</definedName>
    <definedName name="_h10" hidden="1">{#N/A,#N/A,FALSE,"Chi tiÆt"}</definedName>
    <definedName name="_h2" localSheetId="9" hidden="1">{"'Sheet1'!$L$16"}</definedName>
    <definedName name="_h2" hidden="1">{"'Sheet1'!$L$16"}</definedName>
    <definedName name="_h3" localSheetId="9" hidden="1">{"'Sheet1'!$L$16"}</definedName>
    <definedName name="_h3" hidden="1">{"'Sheet1'!$L$16"}</definedName>
    <definedName name="_h5" localSheetId="9" hidden="1">{"'Sheet1'!$L$16"}</definedName>
    <definedName name="_h5" hidden="1">{"'Sheet1'!$L$16"}</definedName>
    <definedName name="_h6" localSheetId="9" hidden="1">{"'Sheet1'!$L$16"}</definedName>
    <definedName name="_h6" hidden="1">{"'Sheet1'!$L$16"}</definedName>
    <definedName name="_h7" localSheetId="9" hidden="1">{"'Sheet1'!$L$16"}</definedName>
    <definedName name="_h7" hidden="1">{"'Sheet1'!$L$16"}</definedName>
    <definedName name="_h8" localSheetId="9" hidden="1">{"'Sheet1'!$L$16"}</definedName>
    <definedName name="_h8" hidden="1">{"'Sheet1'!$L$16"}</definedName>
    <definedName name="_h9" localSheetId="9" hidden="1">{"'Sheet1'!$L$16"}</definedName>
    <definedName name="_h9" hidden="1">{"'Sheet1'!$L$16"}</definedName>
    <definedName name="_hsm2">1.1289</definedName>
    <definedName name="_hso2" localSheetId="9">#REF!</definedName>
    <definedName name="_hso2">#REF!</definedName>
    <definedName name="_Key1" localSheetId="9" hidden="1">#REF!</definedName>
    <definedName name="_Key1" hidden="1">#REF!</definedName>
    <definedName name="_Key2" localSheetId="9" hidden="1">#REF!</definedName>
    <definedName name="_Key2" hidden="1">#REF!</definedName>
    <definedName name="_kha1">#REF!</definedName>
    <definedName name="_lap1">#REF!</definedName>
    <definedName name="_lap2">#REF!</definedName>
    <definedName name="_MAC12">#REF!</definedName>
    <definedName name="_MAC46">#REF!</definedName>
    <definedName name="_NCL100">#REF!</definedName>
    <definedName name="_NCL200">#REF!</definedName>
    <definedName name="_NCL250">#REF!</definedName>
    <definedName name="_NET2">#REF!</definedName>
    <definedName name="_nin190">#REF!</definedName>
    <definedName name="_Order1" hidden="1">255</definedName>
    <definedName name="_Order2" hidden="1">255</definedName>
    <definedName name="_PA3" localSheetId="9" hidden="1">{"'Sheet1'!$L$16"}</definedName>
    <definedName name="_PA3" hidden="1">{"'Sheet1'!$L$16"}</definedName>
    <definedName name="_sc1">#REF!</definedName>
    <definedName name="_SC2">#REF!</definedName>
    <definedName name="_sc3">#REF!</definedName>
    <definedName name="_SN3">#REF!</definedName>
    <definedName name="_Sort" localSheetId="1" hidden="1">#REF!</definedName>
    <definedName name="_Sort" hidden="1">#REF!</definedName>
    <definedName name="_TK155">#REF!</definedName>
    <definedName name="_TK422">#REF!</definedName>
    <definedName name="_TL1">#REF!</definedName>
    <definedName name="_TL2">#REF!</definedName>
    <definedName name="_TL3">#REF!</definedName>
    <definedName name="_TLA120">#REF!</definedName>
    <definedName name="_TLA35">#REF!</definedName>
    <definedName name="_TLA50">#REF!</definedName>
    <definedName name="_TLA70">#REF!</definedName>
    <definedName name="_TLA95">#REF!</definedName>
    <definedName name="_tq2">#REF!</definedName>
    <definedName name="_tz593">#REF!</definedName>
    <definedName name="_VL100">#REF!</definedName>
    <definedName name="_VL200">#REF!</definedName>
    <definedName name="_VL250">#REF!</definedName>
    <definedName name="a" localSheetId="9" hidden="1">{"'Sheet1'!$L$16"}</definedName>
    <definedName name="a" localSheetId="1" hidden="1">{"'Sheet1'!$L$16"}</definedName>
    <definedName name="a" hidden="1">{"'Sheet1'!$L$16"}</definedName>
    <definedName name="A01_">#N/A</definedName>
    <definedName name="A01AC">#N/A</definedName>
    <definedName name="A01CAT">#N/A</definedName>
    <definedName name="A01CODE">#N/A</definedName>
    <definedName name="A01DATA">#N/A</definedName>
    <definedName name="A01MI">#N/A</definedName>
    <definedName name="A01TO">#N/A</definedName>
    <definedName name="a1.1" localSheetId="9">#REF!</definedName>
    <definedName name="a1.1">#REF!</definedName>
    <definedName name="A120_" localSheetId="9">#REF!</definedName>
    <definedName name="A120_">#REF!</definedName>
    <definedName name="a277Print_Titles" localSheetId="9">#REF!</definedName>
    <definedName name="a277Print_Titles">#REF!</definedName>
    <definedName name="A35_">#REF!</definedName>
    <definedName name="A50_">#REF!</definedName>
    <definedName name="A70_">#REF!</definedName>
    <definedName name="A95_">#REF!</definedName>
    <definedName name="aa" hidden="1">#REF!</definedName>
    <definedName name="aaa" localSheetId="9" hidden="1">{"'Sheet1'!$L$16"}</definedName>
    <definedName name="aaa" localSheetId="1" hidden="1">{"'Sheet1'!$L$16"}</definedName>
    <definedName name="aaa" hidden="1">{"'Sheet1'!$L$16"}</definedName>
    <definedName name="aaaa" hidden="1">#REF!</definedName>
    <definedName name="aaaaa" localSheetId="9" hidden="1">{"'Sheet1'!$L$16"}</definedName>
    <definedName name="aaaaa" localSheetId="1" hidden="1">{"'Sheet1'!$L$16"}</definedName>
    <definedName name="aaaaa" hidden="1">{"'Sheet1'!$L$16"}</definedName>
    <definedName name="aaaaaa" localSheetId="9" hidden="1">{"'Sheet1'!$L$16"}</definedName>
    <definedName name="aaaaaa" localSheetId="1" hidden="1">{"'Sheet1'!$L$16"}</definedName>
    <definedName name="aaaaaa" hidden="1">{"'Sheet1'!$L$16"}</definedName>
    <definedName name="aaaaaaa" localSheetId="9" hidden="1">{"'Sheet1'!$L$16"}</definedName>
    <definedName name="aaaaaaa" localSheetId="1" hidden="1">{"'Sheet1'!$L$16"}</definedName>
    <definedName name="aaaaaaa" hidden="1">{"'Sheet1'!$L$16"}</definedName>
    <definedName name="AB">#REF!</definedName>
    <definedName name="abc" localSheetId="9" hidden="1">{#N/A,#N/A,FALSE,"Chi tiÆt"}</definedName>
    <definedName name="abc" localSheetId="1" hidden="1">{#N/A,#N/A,FALSE,"Chi tiÆt"}</definedName>
    <definedName name="abc" hidden="1">{#N/A,#N/A,FALSE,"Chi tiÆt"}</definedName>
    <definedName name="AC120_" localSheetId="9">#REF!</definedName>
    <definedName name="AC120_">#REF!</definedName>
    <definedName name="AC35_" localSheetId="9">#REF!</definedName>
    <definedName name="AC35_">#REF!</definedName>
    <definedName name="AC50_" localSheetId="9">#REF!</definedName>
    <definedName name="AC50_">#REF!</definedName>
    <definedName name="AC70_">#REF!</definedName>
    <definedName name="AC95_">#REF!</definedName>
    <definedName name="ACCCC">#REF!</definedName>
    <definedName name="ADAY">#REF!</definedName>
    <definedName name="ADP">#REF!</definedName>
    <definedName name="ag15F80">#REF!</definedName>
    <definedName name="AKHAC">#REF!</definedName>
    <definedName name="All_Item">#REF!</definedName>
    <definedName name="ALPIN">#N/A</definedName>
    <definedName name="ALPJYOU">#N/A</definedName>
    <definedName name="ALPTOI">#N/A</definedName>
    <definedName name="ALTINH" localSheetId="9">#REF!</definedName>
    <definedName name="ALTINH">#REF!</definedName>
    <definedName name="Anguon">'[6]Dt 2001'!#REF!</definedName>
    <definedName name="ANN" localSheetId="9">#REF!</definedName>
    <definedName name="ANN">#REF!</definedName>
    <definedName name="ANQD" localSheetId="9">#REF!</definedName>
    <definedName name="ANQD">#REF!</definedName>
    <definedName name="ANQQH" localSheetId="9">'[6]Dt 2001'!#REF!</definedName>
    <definedName name="ANQQH">'[6]Dt 2001'!#REF!</definedName>
    <definedName name="anscount" hidden="1">3</definedName>
    <definedName name="ANSNN" localSheetId="9">'[6]Dt 2001'!#REF!</definedName>
    <definedName name="ANSNN">'[6]Dt 2001'!#REF!</definedName>
    <definedName name="ANSNNxnk">'[6]Dt 2001'!#REF!</definedName>
    <definedName name="APC">'[6]Dt 2001'!#REF!</definedName>
    <definedName name="ATRAM" localSheetId="9">#REF!</definedName>
    <definedName name="ATRAM">#REF!</definedName>
    <definedName name="ATW" localSheetId="9">#REF!</definedName>
    <definedName name="ATW">#REF!</definedName>
    <definedName name="B" localSheetId="9">'[1]PNT-QUOT-#3'!#REF!</definedName>
    <definedName name="B">'[1]PNT-QUOT-#3'!#REF!</definedName>
    <definedName name="b_240" localSheetId="9">#REF!</definedName>
    <definedName name="b_240">#REF!</definedName>
    <definedName name="b_280" localSheetId="9">#REF!</definedName>
    <definedName name="b_280">#REF!</definedName>
    <definedName name="b_320" localSheetId="9">#REF!</definedName>
    <definedName name="b_320">#REF!</definedName>
    <definedName name="B_Isc">#REF!</definedName>
    <definedName name="B_n_tuyÓn_than_Cöa__ng">"tco"</definedName>
    <definedName name="bang_gia" localSheetId="9">#REF!</definedName>
    <definedName name="bang_gia">#REF!</definedName>
    <definedName name="BB" localSheetId="9">#REF!</definedName>
    <definedName name="BB">#REF!</definedName>
    <definedName name="bbkt" localSheetId="9">#REF!</definedName>
    <definedName name="bbkt">#REF!</definedName>
    <definedName name="bbtc">#REF!</definedName>
    <definedName name="BCA">"BCA"</definedName>
    <definedName name="BCBo" localSheetId="9" hidden="1">{"'Sheet1'!$L$16"}</definedName>
    <definedName name="BCBo" hidden="1">{"'Sheet1'!$L$16"}</definedName>
    <definedName name="BCH">"BCH"</definedName>
    <definedName name="BCT">"BCT"</definedName>
    <definedName name="BDAY" localSheetId="9">#REF!</definedName>
    <definedName name="BDAY">#REF!</definedName>
    <definedName name="BDB">"BDB"</definedName>
    <definedName name="BDV">"BDV"</definedName>
    <definedName name="bé_giao_th_ng" localSheetId="9">#REF!</definedName>
    <definedName name="bé_giao_th_ng">#REF!</definedName>
    <definedName name="bé_x_y_dùng" localSheetId="9">#REF!</definedName>
    <definedName name="bé_x_y_dùng">#REF!</definedName>
    <definedName name="BKH">"BKH"</definedName>
    <definedName name="BL">"BL"</definedName>
    <definedName name="blkh" localSheetId="9">#REF!</definedName>
    <definedName name="blkh">#REF!</definedName>
    <definedName name="BMC">"BMC"</definedName>
    <definedName name="BNS">"BNS"</definedName>
    <definedName name="BNV">"BNV"</definedName>
    <definedName name="BOQ" localSheetId="9">#REF!</definedName>
    <definedName name="BOQ">#REF!</definedName>
    <definedName name="BPS">"BPS"</definedName>
    <definedName name="BSHKB">"BSHKB"</definedName>
    <definedName name="BSMLRepeat">"BSMLRepeat"</definedName>
    <definedName name="BT" localSheetId="9">#REF!</definedName>
    <definedName name="BT">#REF!</definedName>
    <definedName name="BTENDB">"BTENDB"</definedName>
    <definedName name="BTENDV">"BTENDV"</definedName>
    <definedName name="BTK">"BTK"</definedName>
    <definedName name="BTM">"BTM"</definedName>
    <definedName name="BTRAM" localSheetId="9">#REF!</definedName>
    <definedName name="BTRAM">#REF!</definedName>
    <definedName name="BVCISUMMARY" localSheetId="9">#REF!</definedName>
    <definedName name="BVCISUMMARY">#REF!</definedName>
    <definedName name="BVTINH" localSheetId="9" hidden="1">{"'Sheet1'!$L$16"}</definedName>
    <definedName name="BVTINH" hidden="1">{"'Sheet1'!$L$16"}</definedName>
    <definedName name="C_">#REF!</definedName>
    <definedName name="c_n">#REF!</definedName>
    <definedName name="C2.7">#REF!</definedName>
    <definedName name="C3.0">#REF!</definedName>
    <definedName name="C3.5">#REF!</definedName>
    <definedName name="C3.7">#REF!</definedName>
    <definedName name="C4.0">#REF!</definedName>
    <definedName name="Can_doi">#REF!</definedName>
    <definedName name="cap">#REF!</definedName>
    <definedName name="cap0.7">#REF!</definedName>
    <definedName name="CAPDAT">[7]phuluc1!#REF!</definedName>
    <definedName name="Category_All" localSheetId="9">#REF!</definedName>
    <definedName name="Category_All">#REF!</definedName>
    <definedName name="CATIN">#N/A</definedName>
    <definedName name="CATJYOU">#N/A</definedName>
    <definedName name="CATREC">#N/A</definedName>
    <definedName name="CATSYU">#N/A</definedName>
    <definedName name="CCS" localSheetId="9">#REF!</definedName>
    <definedName name="CCS">#REF!</definedName>
    <definedName name="CDAY" localSheetId="9">#REF!</definedName>
    <definedName name="CDAY">#REF!</definedName>
    <definedName name="CDD" localSheetId="9">#REF!</definedName>
    <definedName name="CDD">#REF!</definedName>
    <definedName name="CDDD">#REF!</definedName>
    <definedName name="CDDD1P">#REF!</definedName>
    <definedName name="CDDD1PHA">#REF!</definedName>
    <definedName name="CDDD3PHA">#REF!</definedName>
    <definedName name="cfk">#REF!</definedName>
    <definedName name="chi_tiÕt_vËt_liÖu___nh_n_c_ng___m_y_thi_c_ng">#REF!</definedName>
    <definedName name="chungloainhapthan">#REF!</definedName>
    <definedName name="chungloaiXNT">#REF!</definedName>
    <definedName name="chungloaixuatthan">#REF!</definedName>
    <definedName name="CK">#REF!</definedName>
    <definedName name="CL">#REF!</definedName>
    <definedName name="CLVC">#REF!</definedName>
    <definedName name="CLVC3">0.1</definedName>
    <definedName name="CLVC35" localSheetId="9">#REF!</definedName>
    <definedName name="CLVC35">#REF!</definedName>
    <definedName name="CLVCTB" localSheetId="9">#REF!</definedName>
    <definedName name="CLVCTB">#REF!</definedName>
    <definedName name="CLVL" localSheetId="9">#REF!</definedName>
    <definedName name="CLVL">#REF!</definedName>
    <definedName name="CLyTC">[8]ThongSo!$C$11</definedName>
    <definedName name="CN3p">'[9]TONGKE3p '!$X$295</definedName>
    <definedName name="Co" localSheetId="9">#REF!</definedName>
    <definedName name="Co">#REF!</definedName>
    <definedName name="co." localSheetId="9">#REF!</definedName>
    <definedName name="co.">#REF!</definedName>
    <definedName name="co.." localSheetId="9">#REF!</definedName>
    <definedName name="co..">#REF!</definedName>
    <definedName name="COÂNG_VIEÄC">#REF!</definedName>
    <definedName name="COAT">'[1]PNT-QUOT-#3'!#REF!</definedName>
    <definedName name="Cöï_ly_vaän_chuyeãn" localSheetId="9">#REF!</definedName>
    <definedName name="Cöï_ly_vaän_chuyeãn">#REF!</definedName>
    <definedName name="CÖÏ_LY_VAÄN_CHUYEÅN" localSheetId="9">#REF!</definedName>
    <definedName name="CÖÏ_LY_VAÄN_CHUYEÅN">#REF!</definedName>
    <definedName name="COMMON" localSheetId="9">#REF!</definedName>
    <definedName name="COMMON">#REF!</definedName>
    <definedName name="CON_EQP_COS">#REF!</definedName>
    <definedName name="CON_EQP_COST">#REF!</definedName>
    <definedName name="Cong">#REF!</definedName>
    <definedName name="Cong_HM_DTCT">#REF!</definedName>
    <definedName name="Cong_M_DTCT">#REF!</definedName>
    <definedName name="Cong_NC_DTCT">#REF!</definedName>
    <definedName name="Cong_VL_DTCT">#REF!</definedName>
    <definedName name="CongVattu">#REF!</definedName>
    <definedName name="CONST_EQ">#REF!</definedName>
    <definedName name="Cot_thep">[10]Du_lieu!$C$19</definedName>
    <definedName name="COVER" localSheetId="9">#REF!</definedName>
    <definedName name="COVER">#REF!</definedName>
    <definedName name="CPC" localSheetId="9">#REF!</definedName>
    <definedName name="CPC">#REF!</definedName>
    <definedName name="CPVC100" localSheetId="9">#REF!</definedName>
    <definedName name="CPVC100">#REF!</definedName>
    <definedName name="CPVC1KM">'[11]TH VL, NC, DDHT Thanhphuoc'!$J$19</definedName>
    <definedName name="CPVC35" localSheetId="9">#REF!</definedName>
    <definedName name="CPVC35">#REF!</definedName>
    <definedName name="CPVCDN" localSheetId="9">#REF!</definedName>
    <definedName name="CPVCDN">#REF!</definedName>
    <definedName name="CRD" localSheetId="9">#REF!</definedName>
    <definedName name="CRD">#REF!</definedName>
    <definedName name="CRITINST">#REF!</definedName>
    <definedName name="CRITPURC">#REF!</definedName>
    <definedName name="CRS">#REF!</definedName>
    <definedName name="CS">#REF!</definedName>
    <definedName name="CS_10">#REF!</definedName>
    <definedName name="CS_100">#REF!</definedName>
    <definedName name="CS_10S">#REF!</definedName>
    <definedName name="CS_120">#REF!</definedName>
    <definedName name="CS_140">#REF!</definedName>
    <definedName name="CS_160">#REF!</definedName>
    <definedName name="CS_20">#REF!</definedName>
    <definedName name="CS_30">#REF!</definedName>
    <definedName name="CS_40">#REF!</definedName>
    <definedName name="CS_40S">#REF!</definedName>
    <definedName name="CS_5S">#REF!</definedName>
    <definedName name="CS_60">#REF!</definedName>
    <definedName name="CS_80">#REF!</definedName>
    <definedName name="CS_80S">#REF!</definedName>
    <definedName name="CS_STD">#REF!</definedName>
    <definedName name="CS_XS">#REF!</definedName>
    <definedName name="CS_XXS">#REF!</definedName>
    <definedName name="csd3p">#REF!</definedName>
    <definedName name="csddg1p">#REF!</definedName>
    <definedName name="csddt1p">#REF!</definedName>
    <definedName name="csht3p">#REF!</definedName>
    <definedName name="CT_50">#REF!</definedName>
    <definedName name="CT_MCX">#REF!</definedName>
    <definedName name="CTCT1" localSheetId="9" hidden="1">{"'Sheet1'!$L$16"}</definedName>
    <definedName name="CTCT1" hidden="1">{"'Sheet1'!$L$16"}</definedName>
    <definedName name="CTCT2" localSheetId="9" hidden="1">{"'Sheet1'!$L$16"}</definedName>
    <definedName name="CTCT2" hidden="1">{"'Sheet1'!$L$16"}</definedName>
    <definedName name="ctdn9697">#REF!</definedName>
    <definedName name="ctiep">#REF!</definedName>
    <definedName name="CTRAM">#REF!</definedName>
    <definedName name="cu">#REF!</definedName>
    <definedName name="cu_ly">#REF!</definedName>
    <definedName name="CuLy">#REF!</definedName>
    <definedName name="CuLy_Q">#REF!</definedName>
    <definedName name="cuoc_vc">#REF!</definedName>
    <definedName name="CuocVC">#REF!</definedName>
    <definedName name="CURRENCY">#REF!</definedName>
    <definedName name="CVC_Q">#REF!</definedName>
    <definedName name="cx">#REF!</definedName>
    <definedName name="đ">'[6]Dt 2001'!#REF!</definedName>
    <definedName name="d_" localSheetId="9">#REF!</definedName>
    <definedName name="d_">#REF!</definedName>
    <definedName name="D_7101A_B" localSheetId="9">#REF!</definedName>
    <definedName name="D_7101A_B">#REF!</definedName>
    <definedName name="D_n" localSheetId="9">#REF!</definedName>
    <definedName name="D_n">#REF!</definedName>
    <definedName name="da">#REF!</definedName>
    <definedName name="dam_24">#REF!</definedName>
    <definedName name="DamNgang">#REF!</definedName>
    <definedName name="danhmuc">#REF!</definedName>
    <definedName name="danhmucN">#REF!</definedName>
    <definedName name="data">#REF!</definedName>
    <definedName name="DATA_DATA2_List">#REF!</definedName>
    <definedName name="data1">#REF!</definedName>
    <definedName name="Data11">#REF!</definedName>
    <definedName name="Data41">#REF!</definedName>
    <definedName name="data5">#REF!</definedName>
    <definedName name="data6">#REF!</definedName>
    <definedName name="data7">#REF!</definedName>
    <definedName name="data8">#REF!</definedName>
    <definedName name="_xlnm.Database">#REF!</definedName>
    <definedName name="DATDAO">#REF!</definedName>
    <definedName name="dd">#REF!</definedName>
    <definedName name="ddddddddddd">#REF!</definedName>
    <definedName name="den_bu">#REF!</definedName>
    <definedName name="df">#REF!</definedName>
    <definedName name="dg">#REF!</definedName>
    <definedName name="dg_5cau">#REF!</definedName>
    <definedName name="DG_M_C_X">#REF!</definedName>
    <definedName name="dgc">#REF!</definedName>
    <definedName name="DGCT_T.Quy_P.Thuy_Q">#REF!</definedName>
    <definedName name="DGCT_TRAUQUYPHUTHUY_HN">#REF!</definedName>
    <definedName name="dgd">#REF!</definedName>
    <definedName name="DGIA">#REF!</definedName>
    <definedName name="DGIA2">#REF!</definedName>
    <definedName name="DGNC">#REF!</definedName>
    <definedName name="DGTH">#REF!</definedName>
    <definedName name="dgvl">#REF!</definedName>
    <definedName name="DGVT">#REF!</definedName>
    <definedName name="dien">#REF!</definedName>
    <definedName name="dienluc" localSheetId="9" hidden="1">{#N/A,#N/A,FALSE,"Chi tiÆt"}</definedName>
    <definedName name="dienluc" hidden="1">{#N/A,#N/A,FALSE,"Chi tiÆt"}</definedName>
    <definedName name="DKTINH" localSheetId="9" hidden="1">{"'Sheet1'!$L$16"}</definedName>
    <definedName name="DKTINH" hidden="1">{"'Sheet1'!$L$16"}</definedName>
    <definedName name="DL15HT">'[3]TONGKE-HT'!#REF!</definedName>
    <definedName name="DL16HT">'[3]TONGKE-HT'!#REF!</definedName>
    <definedName name="DL19HT">'[3]TONGKE-HT'!#REF!</definedName>
    <definedName name="DL20HT">'[3]TONGKE-HT'!#REF!</definedName>
    <definedName name="DLCC" localSheetId="9">#REF!</definedName>
    <definedName name="DLCC">#REF!</definedName>
    <definedName name="dmld" localSheetId="9">#REF!</definedName>
    <definedName name="dmld">#REF!</definedName>
    <definedName name="DNNN" localSheetId="9">#REF!</definedName>
    <definedName name="DNNN">#REF!</definedName>
    <definedName name="doanh_nghiÖp_tØnh">#REF!</definedName>
    <definedName name="dobt">#REF!</definedName>
    <definedName name="Document_array" localSheetId="9">{"ÿÿÿÿÿ"}</definedName>
    <definedName name="Document_array">{"ÿÿÿÿÿ"}</definedName>
    <definedName name="dongia">[12]DG!$A$4:$I$584</definedName>
    <definedName name="dry.." localSheetId="9">#REF!</definedName>
    <definedName name="dry..">#REF!</definedName>
    <definedName name="DS1p1vc" localSheetId="9">#REF!</definedName>
    <definedName name="DS1p1vc">#REF!</definedName>
    <definedName name="ds1p2nc" localSheetId="9">#REF!</definedName>
    <definedName name="ds1p2nc">#REF!</definedName>
    <definedName name="ds1p2vc">#REF!</definedName>
    <definedName name="ds1p2vl">#REF!</definedName>
    <definedName name="ds1pnc">#REF!</definedName>
    <definedName name="ds1pvl">#REF!</definedName>
    <definedName name="ds3pctnc">#REF!</definedName>
    <definedName name="ds3pctvc">#REF!</definedName>
    <definedName name="ds3pctvl">#REF!</definedName>
    <definedName name="ds3pmnc">#REF!</definedName>
    <definedName name="ds3pmvc">#REF!</definedName>
    <definedName name="ds3pmvl">#REF!</definedName>
    <definedName name="ds3pnc">#REF!</definedName>
    <definedName name="ds3pvl">#REF!</definedName>
    <definedName name="dsađa">'[6]Dt 2001'!#REF!</definedName>
    <definedName name="dsct3pnc" localSheetId="9">#REF!</definedName>
    <definedName name="dsct3pnc">#REF!</definedName>
    <definedName name="dsct3pvl" localSheetId="9">#REF!</definedName>
    <definedName name="dsct3pvl">#REF!</definedName>
    <definedName name="DSPK1p1nc" localSheetId="9">#REF!</definedName>
    <definedName name="DSPK1p1nc">#REF!</definedName>
    <definedName name="DSPK1p1vl">#REF!</definedName>
    <definedName name="DSPK1pnc">#REF!</definedName>
    <definedName name="DSPK1pvl">#REF!</definedName>
    <definedName name="DSUMDATA">#REF!</definedName>
    <definedName name="dt10.1" localSheetId="9" hidden="1">{"'Sheet1'!$L$16"}</definedName>
    <definedName name="dt10.1" hidden="1">{"'Sheet1'!$L$16"}</definedName>
    <definedName name="DT12DienLuc" localSheetId="9">{"ÿÿÿÿÿ"}</definedName>
    <definedName name="DT12DienLuc">{"ÿÿÿÿÿ"}</definedName>
    <definedName name="DT12Dluc" localSheetId="9" hidden="1">{"'Sheet1'!$L$16"}</definedName>
    <definedName name="DT12Dluc" hidden="1">{"'Sheet1'!$L$16"}</definedName>
    <definedName name="DT12HoangThach" localSheetId="9" hidden="1">{"'Sheet1'!$L$16"}</definedName>
    <definedName name="DT12HoangThach" hidden="1">{"'Sheet1'!$L$16"}</definedName>
    <definedName name="DT8.1" localSheetId="9" hidden="1">{"'Sheet1'!$L$16"}</definedName>
    <definedName name="DT8.1" hidden="1">{"'Sheet1'!$L$16"}</definedName>
    <definedName name="DT8.2" localSheetId="9" hidden="1">{"'Sheet1'!$L$16"}</definedName>
    <definedName name="DT8.2" hidden="1">{"'Sheet1'!$L$16"}</definedName>
    <definedName name="dt9.1" localSheetId="9" hidden="1">{#N/A,#N/A,FALSE,"Chi tiÆt"}</definedName>
    <definedName name="dt9.1" hidden="1">{#N/A,#N/A,FALSE,"Chi tiÆt"}</definedName>
    <definedName name="dtoan" localSheetId="9" hidden="1">{#N/A,#N/A,FALSE,"Chi tiÆt"}</definedName>
    <definedName name="dtoan" hidden="1">{#N/A,#N/A,FALSE,"Chi tiÆt"}</definedName>
    <definedName name="dtru" localSheetId="9">#REF!</definedName>
    <definedName name="dtru">#REF!</definedName>
    <definedName name="duaån" localSheetId="9">#REF!</definedName>
    <definedName name="duaån">#REF!</definedName>
    <definedName name="duan" localSheetId="9">#REF!</definedName>
    <definedName name="duan">#REF!</definedName>
    <definedName name="DUCANH" localSheetId="9" hidden="1">{"'Sheet1'!$L$16"}</definedName>
    <definedName name="DUCANH" hidden="1">{"'Sheet1'!$L$16"}</definedName>
    <definedName name="dung">#REF!</definedName>
    <definedName name="dung1">#REF!</definedName>
    <definedName name="dungkh" localSheetId="9" hidden="1">{"'Sheet1'!$L$16"}</definedName>
    <definedName name="dungkh" hidden="1">{"'Sheet1'!$L$16"}</definedName>
    <definedName name="Ea">#REF!</definedName>
    <definedName name="end">#REF!</definedName>
    <definedName name="End_1">#REF!</definedName>
    <definedName name="End_10">#REF!</definedName>
    <definedName name="End_11">#REF!</definedName>
    <definedName name="End_12">#REF!</definedName>
    <definedName name="End_13">#REF!</definedName>
    <definedName name="End_2">#REF!</definedName>
    <definedName name="End_3">#REF!</definedName>
    <definedName name="End_4">#REF!</definedName>
    <definedName name="End_5">#REF!</definedName>
    <definedName name="End_6">#REF!</definedName>
    <definedName name="End_7">#REF!</definedName>
    <definedName name="End_8">#REF!</definedName>
    <definedName name="End_9">#REF!</definedName>
    <definedName name="er">#REF!</definedName>
    <definedName name="es">#REF!</definedName>
    <definedName name="EX">#REF!</definedName>
    <definedName name="EXC">#REF!</definedName>
    <definedName name="EXCH">#REF!</definedName>
    <definedName name="_xlnm.Extract">#REF!</definedName>
    <definedName name="f82E46">#REF!</definedName>
    <definedName name="f92F56">#REF!</definedName>
    <definedName name="FACTOR">#REF!</definedName>
    <definedName name="Fax">#REF!</definedName>
    <definedName name="Fay">#REF!</definedName>
    <definedName name="fc">#REF!</definedName>
    <definedName name="fc_">#REF!</definedName>
    <definedName name="FC5_total">#REF!</definedName>
    <definedName name="FC6_total">#REF!</definedName>
    <definedName name="Fdaymong">#REF!</definedName>
    <definedName name="Fg">#REF!</definedName>
    <definedName name="FP">'[1]COAT&amp;WRAP-QIOT-#3'!#REF!</definedName>
    <definedName name="FS" localSheetId="9">#REF!</definedName>
    <definedName name="FS">#REF!</definedName>
    <definedName name="fsfsf" localSheetId="9">#REF!</definedName>
    <definedName name="fsfsf">#REF!</definedName>
    <definedName name="fuji" localSheetId="9">#REF!</definedName>
    <definedName name="fuji">#REF!</definedName>
    <definedName name="fv">#REF!</definedName>
    <definedName name="fy">#REF!</definedName>
    <definedName name="Fy_">#REF!</definedName>
    <definedName name="g_">#REF!</definedName>
    <definedName name="gas">#REF!</definedName>
    <definedName name="gchi">#REF!</definedName>
    <definedName name="gd">#REF!</definedName>
    <definedName name="geff">#REF!</definedName>
    <definedName name="gffh" localSheetId="9" hidden="1">{"'Sheet1'!$L$16"}</definedName>
    <definedName name="gffh" hidden="1">{"'Sheet1'!$L$16"}</definedName>
    <definedName name="gia_tien">#REF!</definedName>
    <definedName name="gia_tien_BTN">#REF!</definedName>
    <definedName name="giatrinhap">#REF!</definedName>
    <definedName name="GIAVL_TRALY">#REF!</definedName>
    <definedName name="gkGTGT">#REF!</definedName>
    <definedName name="gl3p">#REF!</definedName>
    <definedName name="gld">#REF!</definedName>
    <definedName name="GO.110">#REF!</definedName>
    <definedName name="GO.25">#REF!</definedName>
    <definedName name="GO.39">#REF!</definedName>
    <definedName name="GO.52">#REF!</definedName>
    <definedName name="GO.65">#REF!</definedName>
    <definedName name="GO.81">#REF!</definedName>
    <definedName name="GO.9">#REF!</definedName>
    <definedName name="gs">#REF!</definedName>
    <definedName name="gse">#REF!</definedName>
    <definedName name="gtc">#REF!</definedName>
    <definedName name="GTRI">#REF!</definedName>
    <definedName name="GTXL">#REF!</definedName>
    <definedName name="GVL_LDT">#REF!</definedName>
    <definedName name="gxm">#REF!</definedName>
    <definedName name="h" localSheetId="9" hidden="1">{"'Sheet1'!$L$16"}</definedName>
    <definedName name="h" localSheetId="1" hidden="1">{"'Sheet1'!$L$16"}</definedName>
    <definedName name="h" hidden="1">{"'Sheet1'!$L$16"}</definedName>
    <definedName name="h_">#REF!</definedName>
    <definedName name="h__">#REF!</definedName>
    <definedName name="h_0">#REF!</definedName>
    <definedName name="H_1">#REF!</definedName>
    <definedName name="H_2">#REF!</definedName>
    <definedName name="H_3">#REF!</definedName>
    <definedName name="H_30">#REF!</definedName>
    <definedName name="HAGIANG">#REF!</definedName>
    <definedName name="HANG" localSheetId="9" hidden="1">{#N/A,#N/A,FALSE,"Chi tiÆt"}</definedName>
    <definedName name="HANG" hidden="1">{#N/A,#N/A,FALSE,"Chi tiÆt"}</definedName>
    <definedName name="HapCKVA" localSheetId="9">#REF!</definedName>
    <definedName name="HapCKVA">#REF!</definedName>
    <definedName name="HapCKvar" localSheetId="9">#REF!</definedName>
    <definedName name="HapCKvar">#REF!</definedName>
    <definedName name="HapCKW" localSheetId="9">#REF!</definedName>
    <definedName name="HapCKW">#REF!</definedName>
    <definedName name="HapIKVA">#REF!</definedName>
    <definedName name="HapIKvar">#REF!</definedName>
    <definedName name="HapIKW">#REF!</definedName>
    <definedName name="HapKVA">#REF!</definedName>
    <definedName name="HapSKVA">#REF!</definedName>
    <definedName name="HapSKW">#REF!</definedName>
    <definedName name="hcm" localSheetId="9" hidden="1">{"'Sheet1'!$L$16"}</definedName>
    <definedName name="hcm" localSheetId="1" hidden="1">{"'Sheet1'!$L$16"}</definedName>
    <definedName name="hcm" hidden="1">{"'Sheet1'!$L$16"}</definedName>
    <definedName name="Heä_soá_laép_xaø_H">1.7</definedName>
    <definedName name="heä_soá_sình_laày" localSheetId="9">#REF!</definedName>
    <definedName name="heä_soá_sình_laày">#REF!</definedName>
    <definedName name="Hg" localSheetId="9">#REF!</definedName>
    <definedName name="Hg">#REF!</definedName>
    <definedName name="hgf" localSheetId="9">#REF!</definedName>
    <definedName name="hgf">#REF!</definedName>
    <definedName name="hh" localSheetId="9" hidden="1">{"'Sheet1'!$L$16"}</definedName>
    <definedName name="hh" localSheetId="1" hidden="1">{"'Sheet1'!$L$16"}</definedName>
    <definedName name="hh" hidden="1">{"'Sheet1'!$L$16"}</definedName>
    <definedName name="HH15HT">'[3]TONGKE-HT'!#REF!</definedName>
    <definedName name="HH16HT">'[3]TONGKE-HT'!#REF!</definedName>
    <definedName name="HH19HT">'[3]TONGKE-HT'!#REF!</definedName>
    <definedName name="HH20HT">'[3]TONGKE-HT'!#REF!</definedName>
    <definedName name="hhhhh" localSheetId="9" hidden="1">{"'Sheet1'!$L$16"}</definedName>
    <definedName name="hhhhh" hidden="1">{"'Sheet1'!$L$16"}</definedName>
    <definedName name="hhhhhh">#REF!</definedName>
    <definedName name="hien">#REF!</definedName>
    <definedName name="HIHIHIHOI" localSheetId="9" hidden="1">{"'Sheet1'!$L$16"}</definedName>
    <definedName name="HIHIHIHOI" hidden="1">{"'Sheet1'!$L$16"}</definedName>
    <definedName name="hj" localSheetId="9" hidden="1">{"'Sheet1'!$L$16"}</definedName>
    <definedName name="hj" hidden="1">{"'Sheet1'!$L$16"}</definedName>
    <definedName name="HJKL" localSheetId="9" hidden="1">{"'Sheet1'!$L$16"}</definedName>
    <definedName name="HJKL" hidden="1">{"'Sheet1'!$L$16"}</definedName>
    <definedName name="Ho">#REF!</definedName>
    <definedName name="HOME_MANP">#REF!</definedName>
    <definedName name="HOMEOFFICE_COST">#REF!</definedName>
    <definedName name="HSCT3">0.1</definedName>
    <definedName name="HSDC" localSheetId="9">#REF!</definedName>
    <definedName name="HSDC">#REF!</definedName>
    <definedName name="hsdc1" localSheetId="9">#REF!</definedName>
    <definedName name="hsdc1">#REF!</definedName>
    <definedName name="HSDD" localSheetId="9">[7]phuluc1!#REF!</definedName>
    <definedName name="HSDD">[7]phuluc1!#REF!</definedName>
    <definedName name="HSDN">2.5</definedName>
    <definedName name="HSGG">#REF!</definedName>
    <definedName name="HSHH">#REF!</definedName>
    <definedName name="HSHHUT">#REF!</definedName>
    <definedName name="HSKD">#REF!</definedName>
    <definedName name="HSKK">#REF!</definedName>
    <definedName name="HSKK35">#REF!</definedName>
    <definedName name="HSLX">#REF!</definedName>
    <definedName name="HSLXH">#REF!</definedName>
    <definedName name="HSLXP">#REF!</definedName>
    <definedName name="hsm">1.1289</definedName>
    <definedName name="HSNC">[10]Du_lieu!$C$6</definedName>
    <definedName name="hsnc_cau2">1.626</definedName>
    <definedName name="hsnc_d">1.6356</definedName>
    <definedName name="hsnc_d2">1.6356</definedName>
    <definedName name="hso" localSheetId="9">#REF!</definedName>
    <definedName name="hso">#REF!</definedName>
    <definedName name="HSSL" localSheetId="9">#REF!</definedName>
    <definedName name="HSSL">#REF!</definedName>
    <definedName name="HSVC1" localSheetId="9">#REF!</definedName>
    <definedName name="HSVC1">#REF!</definedName>
    <definedName name="HSVC2">#REF!</definedName>
    <definedName name="HSVC3">#REF!</definedName>
    <definedName name="hsvl">1</definedName>
    <definedName name="HTML_CodePage" hidden="1">950</definedName>
    <definedName name="HTML_Control" localSheetId="9" hidden="1">{"'Sheet1'!$L$16"}</definedName>
    <definedName name="HTML_Control" localSheetId="1"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TNC" localSheetId="9">#REF!</definedName>
    <definedName name="HTNC">#REF!</definedName>
    <definedName name="HTVL" localSheetId="9">#REF!</definedName>
    <definedName name="HTVL">#REF!</definedName>
    <definedName name="huy" localSheetId="9" hidden="1">{"'Sheet1'!$L$16"}</definedName>
    <definedName name="huy" localSheetId="1" hidden="1">{"'Sheet1'!$L$16"}</definedName>
    <definedName name="huy" hidden="1">{"'Sheet1'!$L$16"}</definedName>
    <definedName name="i">#REF!</definedName>
    <definedName name="I_A">#REF!</definedName>
    <definedName name="I_B">#REF!</definedName>
    <definedName name="I_c">#REF!</definedName>
    <definedName name="IDLAB_COST">#REF!</definedName>
    <definedName name="II_A">#REF!</definedName>
    <definedName name="II_B">#REF!</definedName>
    <definedName name="II_c">#REF!</definedName>
    <definedName name="III_a">#REF!</definedName>
    <definedName name="III_B">#REF!</definedName>
    <definedName name="III_c">#REF!</definedName>
    <definedName name="IND_LAB">#REF!</definedName>
    <definedName name="INDMANP">#REF!</definedName>
    <definedName name="IO">'[1]COAT&amp;WRAP-QIOT-#3'!#REF!</definedName>
    <definedName name="iÖn_lùc_Qu_ng_ninh" localSheetId="9">#REF!</definedName>
    <definedName name="iÖn_lùc_Qu_ng_ninh">#REF!</definedName>
    <definedName name="J" localSheetId="9">#REF!</definedName>
    <definedName name="J">#REF!</definedName>
    <definedName name="j356C8" localSheetId="9">#REF!</definedName>
    <definedName name="j356C8">#REF!</definedName>
    <definedName name="k">#REF!</definedName>
    <definedName name="K.löôïng">#REF!</definedName>
    <definedName name="k2b">#REF!</definedName>
    <definedName name="kcong">#REF!</definedName>
    <definedName name="kdien">#REF!</definedName>
    <definedName name="kh">#REF!</definedName>
    <definedName name="kha">#REF!</definedName>
    <definedName name="Khac">#REF!</definedName>
    <definedName name="KHOILUONGTL">[13]TienLuong!$Q$7:$Q$2175</definedName>
    <definedName name="Khong_can_doi" localSheetId="9">#REF!</definedName>
    <definedName name="Khong_can_doi">#REF!</definedName>
    <definedName name="KhuyenmaiUPS">"AutoShape 264"</definedName>
    <definedName name="kiem" localSheetId="9">#REF!</definedName>
    <definedName name="kiem">#REF!</definedName>
    <definedName name="Kiem_tra_trung_ten" localSheetId="9">#REF!</definedName>
    <definedName name="Kiem_tra_trung_ten">#REF!</definedName>
    <definedName name="kkkkkkkkkkkk" localSheetId="9">#REF!</definedName>
    <definedName name="kkkkkkkkkkkk">#REF!</definedName>
    <definedName name="kkkkkkkkkkkkkkk">#REF!</definedName>
    <definedName name="KLVLD">[14]ChiTietDZ!$I$8:$I$1296</definedName>
    <definedName name="KLVLD1">[14]VuaBT!$H$7:$H$63</definedName>
    <definedName name="kp1ph" localSheetId="9">#REF!</definedName>
    <definedName name="kp1ph">#REF!</definedName>
    <definedName name="KQ_Truong" localSheetId="9">#REF!</definedName>
    <definedName name="KQ_Truong">#REF!</definedName>
    <definedName name="Ks" localSheetId="9">#REF!</definedName>
    <definedName name="Ks">#REF!</definedName>
    <definedName name="KVC">#REF!</definedName>
    <definedName name="l_1">#REF!</definedName>
    <definedName name="Laivay">#REF!</definedName>
    <definedName name="lan" localSheetId="9" hidden="1">{"'Sheet1'!$L$16"}</definedName>
    <definedName name="lan" hidden="1">{"'Sheet1'!$L$16"}</definedName>
    <definedName name="Lb">#REF!</definedName>
    <definedName name="LC5_total">#REF!</definedName>
    <definedName name="LC6_total">#REF!</definedName>
    <definedName name="lk">#REF!</definedName>
    <definedName name="llllllllll">#REF!</definedName>
    <definedName name="Lmk">#REF!</definedName>
    <definedName name="LN">#REF!</definedName>
    <definedName name="Lnsc">#REF!</definedName>
    <definedName name="lo">#REF!</definedName>
    <definedName name="LOAI_DUONG">#REF!</definedName>
    <definedName name="LÖÔÏNG">#REF!</definedName>
    <definedName name="ltre">#REF!</definedName>
    <definedName name="lv..">#REF!</definedName>
    <definedName name="lVC">#REF!</definedName>
    <definedName name="lvr..">#REF!</definedName>
    <definedName name="M102bnnc">#REF!</definedName>
    <definedName name="M102bnvl">#REF!</definedName>
    <definedName name="m10aamtc">[15]HT!#REF!</definedName>
    <definedName name="M10aanc" localSheetId="9">#REF!</definedName>
    <definedName name="M10aanc">#REF!</definedName>
    <definedName name="M10aavc" localSheetId="9">#REF!</definedName>
    <definedName name="M10aavc">#REF!</definedName>
    <definedName name="M10aavl" localSheetId="9">#REF!</definedName>
    <definedName name="M10aavl">#REF!</definedName>
    <definedName name="M10banc">#REF!</definedName>
    <definedName name="M10bavl">#REF!</definedName>
    <definedName name="M122bnnc">'[16]CHITIET VL-NC'!$G$141</definedName>
    <definedName name="M122bnvl">'[16]CHITIET VL-NC'!$G$136</definedName>
    <definedName name="M12aavl" localSheetId="9">#REF!</definedName>
    <definedName name="M12aavl">#REF!</definedName>
    <definedName name="M12ba3p" localSheetId="9">#REF!</definedName>
    <definedName name="M12ba3p">#REF!</definedName>
    <definedName name="M12banc" localSheetId="9">#REF!</definedName>
    <definedName name="M12banc">#REF!</definedName>
    <definedName name="M12bavl">#REF!</definedName>
    <definedName name="M12bb1p">#REF!</definedName>
    <definedName name="M12bbnc">#REF!</definedName>
    <definedName name="M12bbvl">#REF!</definedName>
    <definedName name="M12bnnc">#REF!</definedName>
    <definedName name="M12bnvl">#REF!</definedName>
    <definedName name="M12cbnc">#REF!</definedName>
    <definedName name="M12cbvl">#REF!</definedName>
    <definedName name="M142bnnc">'[16]CHITIET VL-NC'!$G$162</definedName>
    <definedName name="M142bnvl">'[16]CHITIET VL-NC'!$G$157</definedName>
    <definedName name="M14bb1p" localSheetId="9">#REF!</definedName>
    <definedName name="M14bb1p">#REF!</definedName>
    <definedName name="M14bbnc" localSheetId="9">#REF!</definedName>
    <definedName name="M14bbnc">#REF!</definedName>
    <definedName name="M14bbvc" localSheetId="9">#REF!</definedName>
    <definedName name="M14bbvc">#REF!</definedName>
    <definedName name="M14bbvl">#REF!</definedName>
    <definedName name="M8a">#REF!</definedName>
    <definedName name="M8aa">#REF!</definedName>
    <definedName name="m8aanc">#REF!</definedName>
    <definedName name="m8aavl">#REF!</definedName>
    <definedName name="m8amtc">[15]HT!#REF!</definedName>
    <definedName name="Ma3pnc" localSheetId="9">#REF!</definedName>
    <definedName name="Ma3pnc">#REF!</definedName>
    <definedName name="Ma3pvl" localSheetId="9">#REF!</definedName>
    <definedName name="Ma3pvl">#REF!</definedName>
    <definedName name="Maa3pnc" localSheetId="9">#REF!</definedName>
    <definedName name="Maa3pnc">#REF!</definedName>
    <definedName name="Maa3pvl">#REF!</definedName>
    <definedName name="MADONGIA">[13]TienLuong!$F$6:$F$2175</definedName>
    <definedName name="mahang" localSheetId="9">#REF!</definedName>
    <definedName name="mahang">#REF!</definedName>
    <definedName name="MaHaRangNam" localSheetId="9">#REF!</definedName>
    <definedName name="MaHaRangNam">#REF!</definedName>
    <definedName name="MaHaRangTuan" localSheetId="9">#REF!</definedName>
    <definedName name="MaHaRangTuan">#REF!</definedName>
    <definedName name="MAJ_CON_EQP">#REF!</definedName>
    <definedName name="MaMay_Q">#REF!</definedName>
    <definedName name="mangay">#REF!</definedName>
    <definedName name="MAT">'[1]COAT&amp;WRAP-QIOT-#3'!#REF!</definedName>
    <definedName name="mathang" localSheetId="9">#REF!</definedName>
    <definedName name="mathang">#REF!</definedName>
    <definedName name="MaThanhToanNB" localSheetId="9">#REF!</definedName>
    <definedName name="MaThanhToanNB">#REF!</definedName>
    <definedName name="MaTuan" localSheetId="9">#REF!</definedName>
    <definedName name="MaTuan">#REF!</definedName>
    <definedName name="MAVLD">[14]ChiTietDZ!$D$8:$D$1296</definedName>
    <definedName name="MAVLD1">[14]VuaBT!$B$7:$B$63</definedName>
    <definedName name="Mba1p" localSheetId="9">#REF!</definedName>
    <definedName name="Mba1p">#REF!</definedName>
    <definedName name="Mba3p" localSheetId="9">#REF!</definedName>
    <definedName name="Mba3p">#REF!</definedName>
    <definedName name="Mbb3p" localSheetId="9">#REF!</definedName>
    <definedName name="Mbb3p">#REF!</definedName>
    <definedName name="Mbn1p">#REF!</definedName>
    <definedName name="MBnc">#REF!</definedName>
    <definedName name="MBvl">#REF!</definedName>
    <definedName name="mc">#REF!</definedName>
    <definedName name="me">#REF!</definedName>
    <definedName name="MF">'[1]COAT&amp;WRAP-QIOT-#3'!#REF!</definedName>
    <definedName name="MG_A" localSheetId="9">#REF!</definedName>
    <definedName name="MG_A">#REF!</definedName>
    <definedName name="MHVT" localSheetId="9">#REF!</definedName>
    <definedName name="MHVT">#REF!</definedName>
    <definedName name="ml" localSheetId="9">#REF!</definedName>
    <definedName name="ml">#REF!</definedName>
    <definedName name="Mn">#REF!</definedName>
    <definedName name="Morong">#REF!</definedName>
    <definedName name="Morong4054_85">#REF!</definedName>
    <definedName name="morong4054_98">#REF!</definedName>
    <definedName name="MSCT">#REF!</definedName>
    <definedName name="MTC1P">#REF!</definedName>
    <definedName name="MTC3P">#REF!</definedName>
    <definedName name="MTCHC">[17]TNHCHINH!$K$38</definedName>
    <definedName name="MTCMB" localSheetId="9">#REF!</definedName>
    <definedName name="MTCMB">#REF!</definedName>
    <definedName name="MTMAC12" localSheetId="9">#REF!</definedName>
    <definedName name="MTMAC12">#REF!</definedName>
    <definedName name="mtram" localSheetId="9">#REF!</definedName>
    <definedName name="mtram">#REF!</definedName>
    <definedName name="Mu">#REF!</definedName>
    <definedName name="Mu_">#REF!</definedName>
    <definedName name="n">#REF!</definedName>
    <definedName name="N1IN">'[9]TONGKE3p '!$U$295</definedName>
    <definedName name="n1pig" localSheetId="9">#REF!</definedName>
    <definedName name="n1pig">#REF!</definedName>
    <definedName name="N1pIGnc" localSheetId="9">#REF!</definedName>
    <definedName name="N1pIGnc">#REF!</definedName>
    <definedName name="N1pIGvc" localSheetId="9">#REF!</definedName>
    <definedName name="N1pIGvc">#REF!</definedName>
    <definedName name="N1pIGvl">#REF!</definedName>
    <definedName name="n1pind">#REF!</definedName>
    <definedName name="N1pINDnc">#REF!</definedName>
    <definedName name="N1pINDvc">#REF!</definedName>
    <definedName name="N1pINDvl">#REF!</definedName>
    <definedName name="n1ping">#REF!</definedName>
    <definedName name="N1pINGnc">#REF!</definedName>
    <definedName name="N1pINGvc">#REF!</definedName>
    <definedName name="N1pINGvl">#REF!</definedName>
    <definedName name="n1pint">#REF!</definedName>
    <definedName name="N1pINTnc">#REF!</definedName>
    <definedName name="N1pINTvc">#REF!</definedName>
    <definedName name="N1pINTvl">#REF!</definedName>
    <definedName name="N1pNLnc">#REF!</definedName>
    <definedName name="N1pNLvc">#REF!</definedName>
    <definedName name="N1pNLvl">#REF!</definedName>
    <definedName name="nc1p">#REF!</definedName>
    <definedName name="nc3p">#REF!</definedName>
    <definedName name="NCBD100">#REF!</definedName>
    <definedName name="NCBD200">#REF!</definedName>
    <definedName name="NCBD250">#REF!</definedName>
    <definedName name="NCcap0.7">#REF!</definedName>
    <definedName name="NCcap1">#REF!</definedName>
    <definedName name="NCCT3p">#REF!</definedName>
    <definedName name="NCHC">[17]TNHCHINH!$J$38</definedName>
    <definedName name="nctram" localSheetId="9">#REF!</definedName>
    <definedName name="nctram">#REF!</definedName>
    <definedName name="NCVC100" localSheetId="9">#REF!</definedName>
    <definedName name="NCVC100">#REF!</definedName>
    <definedName name="NCVC200" localSheetId="9">#REF!</definedName>
    <definedName name="NCVC200">#REF!</definedName>
    <definedName name="NCVC250">#REF!</definedName>
    <definedName name="NCVC3P">#REF!</definedName>
    <definedName name="NET">#REF!</definedName>
    <definedName name="NET_1">#REF!</definedName>
    <definedName name="NET_ANA">#REF!</definedName>
    <definedName name="NET_ANA_1">#REF!</definedName>
    <definedName name="NET_ANA_2">#REF!</definedName>
    <definedName name="ng">#REF!</definedName>
    <definedName name="Ngay">#REF!</definedName>
    <definedName name="nght">#REF!</definedName>
    <definedName name="NH">#REF!</definedName>
    <definedName name="NHAÂN_COÂNG" localSheetId="9">'2a tinh'!BTRAM</definedName>
    <definedName name="NHAÂN_COÂNG">BTRAM</definedName>
    <definedName name="nhan" localSheetId="9">#REF!</definedName>
    <definedName name="nhan">#REF!</definedName>
    <definedName name="nhapthan" localSheetId="9">#REF!</definedName>
    <definedName name="nhapthan">#REF!</definedName>
    <definedName name="nhn" localSheetId="9">#REF!</definedName>
    <definedName name="nhn">#REF!</definedName>
    <definedName name="NHot">#REF!</definedName>
    <definedName name="nig">#REF!</definedName>
    <definedName name="NIG13p">'[9]TONGKE3p '!$T$295</definedName>
    <definedName name="nig1p" localSheetId="9">#REF!</definedName>
    <definedName name="nig1p">#REF!</definedName>
    <definedName name="nig3p" localSheetId="9">#REF!</definedName>
    <definedName name="nig3p">#REF!</definedName>
    <definedName name="NIGnc" localSheetId="9">#REF!</definedName>
    <definedName name="NIGnc">#REF!</definedName>
    <definedName name="nignc1p">#REF!</definedName>
    <definedName name="nignc3p">[18]BETON!#REF!</definedName>
    <definedName name="NIGvc" localSheetId="9">#REF!</definedName>
    <definedName name="NIGvc">#REF!</definedName>
    <definedName name="NIGvl" localSheetId="9">#REF!</definedName>
    <definedName name="NIGvl">#REF!</definedName>
    <definedName name="nigvl1p" localSheetId="9">#REF!</definedName>
    <definedName name="nigvl1p">#REF!</definedName>
    <definedName name="nigvl3p" localSheetId="9">[18]BETON!#REF!</definedName>
    <definedName name="nigvl3p">[18]BETON!#REF!</definedName>
    <definedName name="nin" localSheetId="9">#REF!</definedName>
    <definedName name="nin">#REF!</definedName>
    <definedName name="nin14nc3p" localSheetId="9">#REF!</definedName>
    <definedName name="nin14nc3p">#REF!</definedName>
    <definedName name="nin14vl3p" localSheetId="9">#REF!</definedName>
    <definedName name="nin14vl3p">#REF!</definedName>
    <definedName name="nin1903p">#REF!</definedName>
    <definedName name="NIN190nc">#REF!</definedName>
    <definedName name="nin190nc3p">#REF!</definedName>
    <definedName name="NIN190vl">#REF!</definedName>
    <definedName name="nin190vl3p">#REF!</definedName>
    <definedName name="nin2903p">#REF!</definedName>
    <definedName name="nin290nc3p">#REF!</definedName>
    <definedName name="nin290vl3p">#REF!</definedName>
    <definedName name="nin3p">#REF!</definedName>
    <definedName name="nind">#REF!</definedName>
    <definedName name="nind1p">#REF!</definedName>
    <definedName name="nind3p">#REF!</definedName>
    <definedName name="NINDnc">#REF!</definedName>
    <definedName name="nindnc1p">#REF!</definedName>
    <definedName name="nindnc3p">#REF!</definedName>
    <definedName name="NINDvc">#REF!</definedName>
    <definedName name="NINDvl">#REF!</definedName>
    <definedName name="nindvl1p">#REF!</definedName>
    <definedName name="nindvl3p">#REF!</definedName>
    <definedName name="ning1p">#REF!</definedName>
    <definedName name="ningnc1p">#REF!</definedName>
    <definedName name="ningvl1p">#REF!</definedName>
    <definedName name="NINnc">#REF!</definedName>
    <definedName name="ninnc3p">#REF!</definedName>
    <definedName name="nint1p">#REF!</definedName>
    <definedName name="nintnc1p">#REF!</definedName>
    <definedName name="nintvl1p">#REF!</definedName>
    <definedName name="NINvc">#REF!</definedName>
    <definedName name="NINvl">#REF!</definedName>
    <definedName name="ninvl3p">#REF!</definedName>
    <definedName name="nl">#REF!</definedName>
    <definedName name="NL12nc">#REF!</definedName>
    <definedName name="NL12vl">#REF!</definedName>
    <definedName name="nl1p">#REF!</definedName>
    <definedName name="nl3p">#REF!</definedName>
    <definedName name="nlht">#REF!</definedName>
    <definedName name="nlmtc">'[19]CHITIET VL-NCHT1 (2)'!#REF!</definedName>
    <definedName name="nlnc3p" localSheetId="9">#REF!</definedName>
    <definedName name="nlnc3p">#REF!</definedName>
    <definedName name="nlnc3pha" localSheetId="9">#REF!</definedName>
    <definedName name="nlnc3pha">#REF!</definedName>
    <definedName name="NLTK1p" localSheetId="9">#REF!</definedName>
    <definedName name="NLTK1p">#REF!</definedName>
    <definedName name="nlvl3p">#REF!</definedName>
    <definedName name="ÑM">#REF!</definedName>
    <definedName name="Nms">#REF!</definedName>
    <definedName name="ÑMVT">#REF!</definedName>
    <definedName name="nn">#REF!</definedName>
    <definedName name="nn1p">#REF!</definedName>
    <definedName name="nn3p">#REF!</definedName>
    <definedName name="nnnc3p">#REF!</definedName>
    <definedName name="nnvl3p">#REF!</definedName>
    <definedName name="No">#REF!</definedName>
    <definedName name="Nq">#REF!</definedName>
    <definedName name="NQD">#REF!</definedName>
    <definedName name="NQQH">'[6]Dt 2001'!#REF!</definedName>
    <definedName name="NSNN">'[6]Dt 2001'!#REF!</definedName>
    <definedName name="Ñv_tính" localSheetId="9">#REF!</definedName>
    <definedName name="Ñv_tính">#REF!</definedName>
    <definedName name="ÑVT" localSheetId="9">#REF!</definedName>
    <definedName name="ÑVT">#REF!</definedName>
    <definedName name="nx" localSheetId="9">#REF!</definedName>
    <definedName name="nx">#REF!</definedName>
    <definedName name="nxmtc" localSheetId="9">'[19]CHITIET VL-NCHT1 (2)'!#REF!</definedName>
    <definedName name="nxmtc">'[19]CHITIET VL-NCHT1 (2)'!#REF!</definedName>
    <definedName name="ol" localSheetId="9">#REF!</definedName>
    <definedName name="ol">#REF!</definedName>
    <definedName name="osc" localSheetId="9">#REF!</definedName>
    <definedName name="osc">#REF!</definedName>
    <definedName name="oxy" localSheetId="9">#REF!</definedName>
    <definedName name="oxy">#REF!</definedName>
    <definedName name="P" localSheetId="9">'[1]PNT-QUOT-#3'!#REF!</definedName>
    <definedName name="P">'[1]PNT-QUOT-#3'!#REF!</definedName>
    <definedName name="PA" localSheetId="9">#REF!</definedName>
    <definedName name="PA">#REF!</definedName>
    <definedName name="PA3.1" localSheetId="9" hidden="1">{"'Sheet1'!$L$16"}</definedName>
    <definedName name="PA3.1" hidden="1">{"'Sheet1'!$L$16"}</definedName>
    <definedName name="PC">'[6]Dt 2001'!#REF!</definedName>
    <definedName name="Pd" localSheetId="9">#REF!</definedName>
    <definedName name="Pd">#REF!</definedName>
    <definedName name="PEJM">'[1]COAT&amp;WRAP-QIOT-#3'!#REF!</definedName>
    <definedName name="PF">'[1]PNT-QUOT-#3'!#REF!</definedName>
    <definedName name="pgia" localSheetId="9">#REF!</definedName>
    <definedName name="pgia">#REF!</definedName>
    <definedName name="Phamcap" localSheetId="9">#REF!</definedName>
    <definedName name="Phamcap">#REF!</definedName>
    <definedName name="Phan_cap" localSheetId="9">#REF!</definedName>
    <definedName name="Phan_cap">#REF!</definedName>
    <definedName name="phi_inertial">#REF!</definedName>
    <definedName name="Phi_le_phi">#REF!</definedName>
    <definedName name="phu_luc_vua">#REF!</definedName>
    <definedName name="PileSize">#REF!</definedName>
    <definedName name="PileType">#REF!</definedName>
    <definedName name="PM">[20]IBASE!$AH$16:$AV$110</definedName>
    <definedName name="pm.." localSheetId="9">#REF!</definedName>
    <definedName name="pm..">#REF!</definedName>
    <definedName name="PPPPPPPPPPP" localSheetId="9">#REF!</definedName>
    <definedName name="PPPPPPPPPPP">#REF!</definedName>
    <definedName name="pppppppppppp" localSheetId="9">#REF!</definedName>
    <definedName name="pppppppppppp">#REF!</definedName>
    <definedName name="PRICE">#REF!</definedName>
    <definedName name="PRICE1">#REF!</definedName>
    <definedName name="print">#REF!</definedName>
    <definedName name="_xlnm.Print_Area" localSheetId="10">'2a'!$A$1:$T$52</definedName>
    <definedName name="_xlnm.Print_Area" localSheetId="9">#REF!</definedName>
    <definedName name="_xlnm.Print_Area" localSheetId="11">'2b'!$A$1:$T$52</definedName>
    <definedName name="_xlnm.Print_Area" localSheetId="12">'2c'!$A$1:$T$52</definedName>
    <definedName name="_xlnm.Print_Area" localSheetId="14">'2c-Tinh'!$A$1:$AS$358</definedName>
    <definedName name="_xlnm.Print_Area" localSheetId="13">'2C-TinhR'!$A$1:$AP$545</definedName>
    <definedName name="_xlnm.Print_Area" localSheetId="0">'4a (2)'!$A$1:$C$73</definedName>
    <definedName name="_xlnm.Print_Area" localSheetId="3">'4B (Đủ nguồn)'!$A$1:$K$49</definedName>
    <definedName name="_xlnm.Print_Area" localSheetId="21">'Bieu 3-CB khong chuyen trach xa'!$A$1:$Q$17</definedName>
    <definedName name="_xlnm.Print_Area" localSheetId="2">'Giam chi TGBC cap huyen'!$A$1:$AJ$474</definedName>
    <definedName name="_xlnm.Print_Area" localSheetId="1">Tangthu2019!$A$1:$N$58</definedName>
    <definedName name="_xlnm.Print_Area">#REF!</definedName>
    <definedName name="PRINT_AREA_MI" localSheetId="9">#REF!</definedName>
    <definedName name="PRINT_AREA_MI">#REF!</definedName>
    <definedName name="_xlnm.Print_Titles" localSheetId="9">'2a tinh'!$6:$11</definedName>
    <definedName name="_xlnm.Print_Titles" localSheetId="14">'2c-Tinh'!$7:$10</definedName>
    <definedName name="_xlnm.Print_Titles" localSheetId="13">'2C-TinhR'!$7:$10</definedName>
    <definedName name="_xlnm.Print_Titles" localSheetId="15">'2g-TINH'!$7:$10</definedName>
    <definedName name="_xlnm.Print_Titles" localSheetId="18">'2k-Chi tiet'!$7:$9</definedName>
    <definedName name="_xlnm.Print_Titles" localSheetId="3">'4B (Đủ nguồn)'!$7:$9</definedName>
    <definedName name="_xlnm.Print_Titles" localSheetId="4">'Giam bien che 108'!$3:$5</definedName>
    <definedName name="_xlnm.Print_Titles" localSheetId="2">'Giam chi TGBC cap huyen'!$4:$5</definedName>
    <definedName name="_xlnm.Print_Titles" localSheetId="22">'Phan loai xa'!$5:$6</definedName>
    <definedName name="_xlnm.Print_Titles" localSheetId="1">Tangthu2019!$5:$6</definedName>
    <definedName name="_xlnm.Print_Titles">#N/A</definedName>
    <definedName name="PRINT_TITLES_MI" localSheetId="9">#REF!</definedName>
    <definedName name="PRINT_TITLES_MI">#REF!</definedName>
    <definedName name="PRINTA" localSheetId="9">#REF!</definedName>
    <definedName name="PRINTA">#REF!</definedName>
    <definedName name="PRINTB" localSheetId="9">#REF!</definedName>
    <definedName name="PRINTB">#REF!</definedName>
    <definedName name="PRINTC">#REF!</definedName>
    <definedName name="prjName">#REF!</definedName>
    <definedName name="prjNo">#REF!</definedName>
    <definedName name="PROPOSAL">#REF!</definedName>
    <definedName name="pt">#REF!</definedName>
    <definedName name="PT_Duong">#REF!</definedName>
    <definedName name="ptdg">#REF!</definedName>
    <definedName name="PTDG_cau">#REF!</definedName>
    <definedName name="ptdg_cong">#REF!</definedName>
    <definedName name="PTDG_DCV">#REF!</definedName>
    <definedName name="ptdg_duong">#REF!</definedName>
    <definedName name="ptdg_ke">#REF!</definedName>
    <definedName name="PTNC">#REF!</definedName>
    <definedName name="Pu">#REF!</definedName>
    <definedName name="pw">#REF!</definedName>
    <definedName name="qa">#REF!</definedName>
    <definedName name="Qc">#REF!</definedName>
    <definedName name="qqq">#REF!</definedName>
    <definedName name="qu">#REF!</definedName>
    <definedName name="qua">#REF!</definedName>
    <definedName name="R_mong">#REF!</definedName>
    <definedName name="Ra_">#REF!</definedName>
    <definedName name="ra11p">#REF!</definedName>
    <definedName name="ra13p">#REF!</definedName>
    <definedName name="rack1">#REF!</definedName>
    <definedName name="rack2">#REF!</definedName>
    <definedName name="rack3">#REF!</definedName>
    <definedName name="rack4">#REF!</definedName>
    <definedName name="rain..">#REF!</definedName>
    <definedName name="Rc_">#REF!</definedName>
    <definedName name="_xlnm.Recorder">#REF!</definedName>
    <definedName name="RECOUT">#N/A</definedName>
    <definedName name="RFP003A" localSheetId="9">#REF!</definedName>
    <definedName name="RFP003A">#REF!</definedName>
    <definedName name="RFP003B" localSheetId="9">#REF!</definedName>
    <definedName name="RFP003B">#REF!</definedName>
    <definedName name="RFP003C" localSheetId="9">#REF!</definedName>
    <definedName name="RFP003C">#REF!</definedName>
    <definedName name="RFP003D">#REF!</definedName>
    <definedName name="RFP003E">#REF!</definedName>
    <definedName name="RFP003F">#REF!</definedName>
    <definedName name="RGHGSD" localSheetId="9" hidden="1">{"'Sheet1'!$L$16"}</definedName>
    <definedName name="RGHGSD" hidden="1">{"'Sheet1'!$L$16"}</definedName>
    <definedName name="Rrpo">#REF!</definedName>
    <definedName name="rrrrrrrrrrrr">#REF!</definedName>
    <definedName name="RT">'[1]COAT&amp;WRAP-QIOT-#3'!#REF!</definedName>
    <definedName name="s" localSheetId="9">#REF!</definedName>
    <definedName name="s">#REF!</definedName>
    <definedName name="s." localSheetId="9">#REF!</definedName>
    <definedName name="s.">#REF!</definedName>
    <definedName name="sâ" localSheetId="9" hidden="1">#REF!</definedName>
    <definedName name="sâ" hidden="1">#REF!</definedName>
    <definedName name="sanluongnhap">#REF!</definedName>
    <definedName name="SB">[20]IBASE!$AH$7:$AL$14</definedName>
    <definedName name="scao98" localSheetId="9">#REF!</definedName>
    <definedName name="scao98">#REF!</definedName>
    <definedName name="SCH" localSheetId="9">#REF!</definedName>
    <definedName name="SCH">#REF!</definedName>
    <definedName name="SCT" localSheetId="9">#REF!</definedName>
    <definedName name="SCT">#REF!</definedName>
    <definedName name="sd1p">#REF!</definedName>
    <definedName name="sd3p">#REF!</definedName>
    <definedName name="sdfsd">#REF!</definedName>
    <definedName name="SDMONG">#REF!</definedName>
    <definedName name="së_giao_th_ng">#REF!</definedName>
    <definedName name="së_n_ng_nghiÖp_v__pt_n_ng_th_n">#REF!</definedName>
    <definedName name="së_thuû_s_n">#REF!</definedName>
    <definedName name="së_x_y_dùng">#REF!</definedName>
    <definedName name="sfddd" localSheetId="9" hidden="1">{"'Sheet1'!$L$16"}</definedName>
    <definedName name="sfddd" hidden="1">{"'Sheet1'!$L$16"}</definedName>
    <definedName name="sfdsfsd" localSheetId="9" hidden="1">{"'Sheet1'!$L$16"}</definedName>
    <definedName name="sfdsfsd" localSheetId="1" hidden="1">{"'Sheet1'!$L$16"}</definedName>
    <definedName name="sfdsfsd" hidden="1">{"'Sheet1'!$L$16"}</definedName>
    <definedName name="Sheet1">#REF!</definedName>
    <definedName name="sht">#REF!</definedName>
    <definedName name="sht1p">#REF!</definedName>
    <definedName name="sht3p">#REF!</definedName>
    <definedName name="sieucao">#REF!</definedName>
    <definedName name="SIZE">#REF!</definedName>
    <definedName name="SL">#REF!</definedName>
    <definedName name="SL_CRD">#REF!</definedName>
    <definedName name="SL_CRS">#REF!</definedName>
    <definedName name="SL_CS">#REF!</definedName>
    <definedName name="SL_DD">#REF!</definedName>
    <definedName name="smax">#REF!</definedName>
    <definedName name="smax1">#REF!</definedName>
    <definedName name="sn">#REF!</definedName>
    <definedName name="SOÁ">#REF!</definedName>
    <definedName name="soc3p">#REF!</definedName>
    <definedName name="SoilType">#REF!</definedName>
    <definedName name="soluongnhap">#REF!</definedName>
    <definedName name="SORT">#REF!</definedName>
    <definedName name="SORT_AREA">'[21]DI-ESTI'!$A$8:$R$489</definedName>
    <definedName name="SP" localSheetId="9">'[1]PNT-QUOT-#3'!#REF!</definedName>
    <definedName name="SP">'[1]PNT-QUOT-#3'!#REF!</definedName>
    <definedName name="Spanner_Auto_File">"C:\My Documents\tinh cdo.x2a"</definedName>
    <definedName name="SPEC" localSheetId="9">#REF!</definedName>
    <definedName name="SPEC">#REF!</definedName>
    <definedName name="SPECSUMMARY" localSheetId="9">#REF!</definedName>
    <definedName name="SPECSUMMARY">#REF!</definedName>
    <definedName name="ssssssssssssssssssss" localSheetId="9">#REF!</definedName>
    <definedName name="ssssssssssssssssssss">#REF!</definedName>
    <definedName name="ST">#REF!</definedName>
    <definedName name="st1p">#REF!</definedName>
    <definedName name="st3p">#REF!</definedName>
    <definedName name="start">#REF!</definedName>
    <definedName name="Start_1">#REF!</definedName>
    <definedName name="Start_10">#REF!</definedName>
    <definedName name="Start_11">#REF!</definedName>
    <definedName name="Start_12">#REF!</definedName>
    <definedName name="Start_13">#REF!</definedName>
    <definedName name="Start_2">#REF!</definedName>
    <definedName name="Start_3">#REF!</definedName>
    <definedName name="Start_4">#REF!</definedName>
    <definedName name="Start_5">#REF!</definedName>
    <definedName name="Start_6">#REF!</definedName>
    <definedName name="Start_7">#REF!</definedName>
    <definedName name="Start_8">#REF!</definedName>
    <definedName name="Start_9">#REF!</definedName>
    <definedName name="sum" localSheetId="9">#REF!,#REF!</definedName>
    <definedName name="sum">#REF!,#REF!</definedName>
    <definedName name="SUMMARY" localSheetId="9">#REF!</definedName>
    <definedName name="SUMMARY">#REF!</definedName>
    <definedName name="T" localSheetId="9">[22]MAIN_PROGRAM!#REF!</definedName>
    <definedName name="T">[22]MAIN_PROGRAM!#REF!</definedName>
    <definedName name="t." localSheetId="9">#REF!</definedName>
    <definedName name="t.">#REF!</definedName>
    <definedName name="t.." localSheetId="9">#REF!</definedName>
    <definedName name="t..">#REF!</definedName>
    <definedName name="T.TBA" localSheetId="9">#REF!</definedName>
    <definedName name="T.TBA">#REF!</definedName>
    <definedName name="T0.4">#REF!</definedName>
    <definedName name="t101p">#REF!</definedName>
    <definedName name="t103p">#REF!</definedName>
    <definedName name="t10m">#REF!</definedName>
    <definedName name="T10nc">#REF!</definedName>
    <definedName name="t10nc1p">#REF!</definedName>
    <definedName name="T10vc">#REF!</definedName>
    <definedName name="T10vl">#REF!</definedName>
    <definedName name="t10vl1p">#REF!</definedName>
    <definedName name="t121p">#REF!</definedName>
    <definedName name="t123p">#REF!</definedName>
    <definedName name="T12nc">#REF!</definedName>
    <definedName name="t12nc3p">#REF!</definedName>
    <definedName name="T12vc">#REF!</definedName>
    <definedName name="T12vl">#REF!</definedName>
    <definedName name="t12vl3p">'[23]CHITIET VL-NC-TT1p'!$G$112</definedName>
    <definedName name="t141p" localSheetId="9">#REF!</definedName>
    <definedName name="t141p">#REF!</definedName>
    <definedName name="t143p" localSheetId="9">#REF!</definedName>
    <definedName name="t143p">#REF!</definedName>
    <definedName name="T14nc" localSheetId="9">#REF!</definedName>
    <definedName name="T14nc">#REF!</definedName>
    <definedName name="t14nc3p">#REF!</definedName>
    <definedName name="T14vc">#REF!</definedName>
    <definedName name="T14vl">#REF!</definedName>
    <definedName name="t14vl3p">#REF!</definedName>
    <definedName name="t7m">#REF!</definedName>
    <definedName name="t8m">#REF!</definedName>
    <definedName name="tadao">#REF!</definedName>
    <definedName name="Tæng_Cty_c__khÝ_NL_v__má">#REF!</definedName>
    <definedName name="TaxTV">10%</definedName>
    <definedName name="TaxXL">5%</definedName>
    <definedName name="TBA" localSheetId="9">#REF!</definedName>
    <definedName name="TBA">#REF!</definedName>
    <definedName name="tbtram" localSheetId="9">#REF!</definedName>
    <definedName name="tbtram">#REF!</definedName>
    <definedName name="TC" localSheetId="9">#REF!</definedName>
    <definedName name="TC">#REF!</definedName>
    <definedName name="TC_NHANH1">#REF!</definedName>
    <definedName name="Tchuan">#REF!</definedName>
    <definedName name="td">#REF!</definedName>
    <definedName name="td10vl">#REF!</definedName>
    <definedName name="td12nc">#REF!</definedName>
    <definedName name="TD12vl">#REF!</definedName>
    <definedName name="td1p">#REF!</definedName>
    <definedName name="TD1p1nc">#REF!</definedName>
    <definedName name="td1p1vc">#REF!</definedName>
    <definedName name="TD1p1vl">#REF!</definedName>
    <definedName name="TD1p2nc">#REF!</definedName>
    <definedName name="TD1p2vc">#REF!</definedName>
    <definedName name="TD1p2vl">#REF!</definedName>
    <definedName name="TD1pnc">#REF!</definedName>
    <definedName name="TD1pvl">#REF!</definedName>
    <definedName name="td3p">#REF!</definedName>
    <definedName name="TDctnc">#REF!</definedName>
    <definedName name="TDctvc">#REF!</definedName>
    <definedName name="TDctvl">#REF!</definedName>
    <definedName name="TDmnc">#REF!</definedName>
    <definedName name="TDmvc">#REF!</definedName>
    <definedName name="TDmvl">#REF!</definedName>
    <definedName name="tdnc1p">#REF!</definedName>
    <definedName name="tdnc3p">'[24]CHITIET VL-NC-TT1p'!#REF!</definedName>
    <definedName name="tdo" localSheetId="9">#REF!</definedName>
    <definedName name="tdo">#REF!</definedName>
    <definedName name="tdtr2cnc" localSheetId="9">#REF!</definedName>
    <definedName name="tdtr2cnc">#REF!</definedName>
    <definedName name="tdtr2cvl" localSheetId="9">#REF!</definedName>
    <definedName name="tdtr2cvl">#REF!</definedName>
    <definedName name="tdvl1p">#REF!</definedName>
    <definedName name="tdvl3p">'[24]CHITIET VL-NC-TT1p'!#REF!</definedName>
    <definedName name="TEÂN_COÂNG_VIEÄC" localSheetId="9">#REF!</definedName>
    <definedName name="TEÂN_COÂNG_VIEÄC">#REF!</definedName>
    <definedName name="TeâN_vaät_tö" localSheetId="9">#REF!</definedName>
    <definedName name="TeâN_vaät_tö">#REF!</definedName>
    <definedName name="ten" localSheetId="9">#REF!</definedName>
    <definedName name="ten">#REF!</definedName>
    <definedName name="test">#REF!</definedName>
    <definedName name="TH.BM">#REF!</definedName>
    <definedName name="TH.DVKD">#REF!</definedName>
    <definedName name="TH.HB">#REF!</definedName>
    <definedName name="TH.HR">#REF!</definedName>
    <definedName name="TH.KT">#REF!</definedName>
    <definedName name="TH.NK">#REF!</definedName>
    <definedName name="TH.SL">#REF!</definedName>
    <definedName name="TH.TBDM">#REF!</definedName>
    <definedName name="TH.TC">#REF!</definedName>
    <definedName name="thanhtien">#REF!</definedName>
    <definedName name="ThanhXuan110">'[25]KH-Q1,Q2,01'!#REF!</definedName>
    <definedName name="THGO1pnc" localSheetId="9">#REF!</definedName>
    <definedName name="THGO1pnc">#REF!</definedName>
    <definedName name="thht" localSheetId="9">#REF!</definedName>
    <definedName name="thht">#REF!</definedName>
    <definedName name="THI" localSheetId="9">#REF!</definedName>
    <definedName name="THI">#REF!</definedName>
    <definedName name="thinh">#REF!</definedName>
    <definedName name="THK">'[1]COAT&amp;WRAP-QIOT-#3'!#REF!</definedName>
    <definedName name="thkp3" localSheetId="9">#REF!</definedName>
    <definedName name="thkp3">#REF!</definedName>
    <definedName name="thtt" localSheetId="9">#REF!</definedName>
    <definedName name="thtt">#REF!</definedName>
    <definedName name="Tien" localSheetId="9">#REF!</definedName>
    <definedName name="Tien">#REF!</definedName>
    <definedName name="tienluong">#REF!</definedName>
    <definedName name="TienThanhToan">#REF!</definedName>
    <definedName name="TienThanhToanNB">#REF!</definedName>
    <definedName name="Tim_cong">#REF!</definedName>
    <definedName name="tim_xuat_hien">#REF!</definedName>
    <definedName name="TITAN">#REF!</definedName>
    <definedName name="TLAC120">#REF!</definedName>
    <definedName name="TLAC35">#REF!</definedName>
    <definedName name="TLAC50">#REF!</definedName>
    <definedName name="TLAC70">#REF!</definedName>
    <definedName name="TLAC95">#REF!</definedName>
    <definedName name="Tle">#REF!</definedName>
    <definedName name="TNCM">#REF!</definedName>
    <definedName name="TOÅNG_SOÁ">#REF!</definedName>
    <definedName name="ton">#REF!</definedName>
    <definedName name="Tong_co">#REF!</definedName>
    <definedName name="Tong_no">#REF!</definedName>
    <definedName name="TONGDUTOAN">#REF!</definedName>
    <definedName name="TOTAL">#REF!</definedName>
    <definedName name="tp" localSheetId="9" hidden="1">{"'Sheet1'!$L$16"}</definedName>
    <definedName name="tp" localSheetId="1" hidden="1">{"'Sheet1'!$L$16"}</definedName>
    <definedName name="tp" hidden="1">{"'Sheet1'!$L$16"}</definedName>
    <definedName name="TPLRP">#REF!</definedName>
    <definedName name="TR15HT">'[3]TONGKE-HT'!#REF!</definedName>
    <definedName name="TR16HT">'[3]TONGKE-HT'!#REF!</definedName>
    <definedName name="TR19HT">'[3]TONGKE-HT'!#REF!</definedName>
    <definedName name="TR20HT">'[3]TONGKE-HT'!#REF!</definedName>
    <definedName name="Tra_Cot" localSheetId="9">#REF!</definedName>
    <definedName name="Tra_Cot">#REF!</definedName>
    <definedName name="Tra_DM_su_dung" localSheetId="9">#REF!</definedName>
    <definedName name="Tra_DM_su_dung">#REF!</definedName>
    <definedName name="Tra_don_gia_KS" localSheetId="9">#REF!</definedName>
    <definedName name="Tra_don_gia_KS">#REF!</definedName>
    <definedName name="Tra_DTCT">#REF!</definedName>
    <definedName name="Tra_gtxl_cong">#REF!</definedName>
    <definedName name="Tra_ten_cong">#REF!</definedName>
    <definedName name="Tra_tim_hang_mucPT_trung">#REF!</definedName>
    <definedName name="Tra_TL">#REF!</definedName>
    <definedName name="Tra_ty_le2">#REF!</definedName>
    <definedName name="Tra_ty_le3">#REF!</definedName>
    <definedName name="Tra_ty_le4">#REF!</definedName>
    <definedName name="Tra_ty_le5">#REF!</definedName>
    <definedName name="TRA_VAT_LIEU">#REF!</definedName>
    <definedName name="TRA_VL">#REF!</definedName>
    <definedName name="TRADE2">#REF!</definedName>
    <definedName name="TRAM">#REF!</definedName>
    <definedName name="TRAvH">#REF!</definedName>
    <definedName name="TRAVL">#REF!</definedName>
    <definedName name="trigianhapthan">#REF!</definedName>
    <definedName name="trigiaxuatthan">#REF!</definedName>
    <definedName name="tru10mtc">[15]HT!#REF!</definedName>
    <definedName name="tru8mtc">[15]HT!#REF!</definedName>
    <definedName name="TT" localSheetId="9">#REF!</definedName>
    <definedName name="TT">#REF!</definedName>
    <definedName name="TT_1P" localSheetId="9">#REF!</definedName>
    <definedName name="TT_1P">#REF!</definedName>
    <definedName name="TT_3p" localSheetId="9">#REF!</definedName>
    <definedName name="TT_3p">#REF!</definedName>
    <definedName name="ttao">#REF!</definedName>
    <definedName name="ttbt">#REF!</definedName>
    <definedName name="TTDD">#REF!</definedName>
    <definedName name="TTDD1P">#REF!</definedName>
    <definedName name="TTDD3P">#REF!</definedName>
    <definedName name="ttdd3pct">[26]TDTKP!$E$46</definedName>
    <definedName name="TTDDCT3p" localSheetId="9">#REF!</definedName>
    <definedName name="TTDDCT3p">#REF!</definedName>
    <definedName name="TTDKKH" localSheetId="9">#REF!</definedName>
    <definedName name="TTDKKH">#REF!</definedName>
    <definedName name="tthi" localSheetId="9">#REF!</definedName>
    <definedName name="tthi">#REF!</definedName>
    <definedName name="ttinh">#REF!</definedName>
    <definedName name="TTK3p">'[9]TONGKE3p '!$C$295</definedName>
    <definedName name="ttronmk" localSheetId="9">#REF!</definedName>
    <definedName name="ttronmk">#REF!</definedName>
    <definedName name="TTTR" localSheetId="9">#REF!</definedName>
    <definedName name="TTTR">#REF!</definedName>
    <definedName name="ttttttttttttttttt" localSheetId="9">#REF!</definedName>
    <definedName name="ttttttttttttttttt">#REF!</definedName>
    <definedName name="tv75nc">#REF!</definedName>
    <definedName name="tv75vl">#REF!</definedName>
    <definedName name="TW">#REF!</definedName>
    <definedName name="ty_le">#REF!</definedName>
    <definedName name="Ty_Le_1">#REF!</definedName>
    <definedName name="ty_le_BTN">#REF!</definedName>
    <definedName name="Ty_le1">#REF!</definedName>
    <definedName name="tyyyy" localSheetId="9" hidden="1">{"'Sheet1'!$L$16"}</definedName>
    <definedName name="tyyyy" hidden="1">{"'Sheet1'!$L$16"}</definedName>
    <definedName name="UP" localSheetId="9">#REF!,#REF!,#REF!,#REF!,#REF!,#REF!,#REF!,#REF!,#REF!,#REF!,#REF!</definedName>
    <definedName name="UP">#REF!,#REF!,#REF!,#REF!,#REF!,#REF!,#REF!,#REF!,#REF!,#REF!,#REF!</definedName>
    <definedName name="VAÄT_LIEÄU">"ATRAM"</definedName>
    <definedName name="VAÄT_TÖ" localSheetId="9">#REF!</definedName>
    <definedName name="VAÄT_TÖ">#REF!</definedName>
    <definedName name="vanchuyen" localSheetId="9">#REF!</definedName>
    <definedName name="vanchuyen">#REF!</definedName>
    <definedName name="VARIINST" localSheetId="9">#REF!</definedName>
    <definedName name="VARIINST">#REF!</definedName>
    <definedName name="VARIPURC">#REF!</definedName>
    <definedName name="vat_lieu_KVIII">#REF!</definedName>
    <definedName name="Vattu">#REF!</definedName>
    <definedName name="VC">#REF!</definedName>
    <definedName name="vccot">#REF!</definedName>
    <definedName name="VCDD1P">#REF!</definedName>
    <definedName name="VCDD3p">#REF!</definedName>
    <definedName name="VCDDCT3p">#REF!</definedName>
    <definedName name="VCDDMBA">#REF!</definedName>
    <definedName name="VCHT">#REF!</definedName>
    <definedName name="vctb">#REF!</definedName>
    <definedName name="VCTT">#REF!</definedName>
    <definedName name="VCVBT1">#REF!</definedName>
    <definedName name="VCVBT2">#REF!</definedName>
    <definedName name="vd">#REF!</definedName>
    <definedName name="vd3p">#REF!</definedName>
    <definedName name="vinhlong" localSheetId="9" hidden="1">{"'Sheet1'!$L$16"}</definedName>
    <definedName name="vinhlong" localSheetId="1" hidden="1">{"'Sheet1'!$L$16"}</definedName>
    <definedName name="vinhlong" hidden="1">{"'Sheet1'!$L$16"}</definedName>
    <definedName name="vl1p">#REF!</definedName>
    <definedName name="vl3p">#REF!</definedName>
    <definedName name="VLBS">#N/A</definedName>
    <definedName name="Vlcap0.7" localSheetId="9">#REF!</definedName>
    <definedName name="Vlcap0.7">#REF!</definedName>
    <definedName name="VLcap1" localSheetId="9">#REF!</definedName>
    <definedName name="VLcap1">#REF!</definedName>
    <definedName name="vlct" localSheetId="9" hidden="1">{"'Sheet1'!$L$16"}</definedName>
    <definedName name="vlct" hidden="1">{"'Sheet1'!$L$16"}</definedName>
    <definedName name="VLCT3p">#REF!</definedName>
    <definedName name="vldn400">#REF!</definedName>
    <definedName name="vldn600">#REF!</definedName>
    <definedName name="VLHC">[17]TNHCHINH!$I$38</definedName>
    <definedName name="VLM" localSheetId="9">#REF!</definedName>
    <definedName name="VLM">#REF!</definedName>
    <definedName name="vltram" localSheetId="9">#REF!</definedName>
    <definedName name="vltram">#REF!</definedName>
    <definedName name="vr3p" localSheetId="9">#REF!</definedName>
    <definedName name="vr3p">#REF!</definedName>
    <definedName name="VT">#REF!</definedName>
    <definedName name="Vu">#REF!</definedName>
    <definedName name="Vu_">#REF!</definedName>
    <definedName name="Vua">#REF!</definedName>
    <definedName name="W">#REF!</definedName>
    <definedName name="Wdaymong">#REF!</definedName>
    <definedName name="wl">#REF!</definedName>
    <definedName name="wrn.chi._.tiÆt." localSheetId="9" hidden="1">{#N/A,#N/A,FALSE,"Chi tiÆt"}</definedName>
    <definedName name="wrn.chi._.tiÆt." localSheetId="1" hidden="1">{#N/A,#N/A,FALSE,"Chi tiÆt"}</definedName>
    <definedName name="wrn.chi._.tiÆt." hidden="1">{#N/A,#N/A,FALSE,"Chi tiÆt"}</definedName>
    <definedName name="Ws" localSheetId="9">#REF!</definedName>
    <definedName name="Ws">#REF!</definedName>
    <definedName name="Wss" localSheetId="9">#REF!</definedName>
    <definedName name="Wss">#REF!</definedName>
    <definedName name="Wst" localSheetId="9">#REF!</definedName>
    <definedName name="Wst">#REF!</definedName>
    <definedName name="wt">#REF!</definedName>
    <definedName name="wwwwwwwwwwwwwwwwwwwwư">#REF!</definedName>
    <definedName name="X">#REF!</definedName>
    <definedName name="X1pFCOnc">#REF!</definedName>
    <definedName name="X1pFCOvc">#REF!</definedName>
    <definedName name="X1pFCOvl">#REF!</definedName>
    <definedName name="X1pIGnc">#REF!</definedName>
    <definedName name="X1pIGvc">#REF!</definedName>
    <definedName name="X1pIGvl">#REF!</definedName>
    <definedName name="x1pind">#REF!</definedName>
    <definedName name="X1pINDnc">#REF!</definedName>
    <definedName name="X1pINDvc">#REF!</definedName>
    <definedName name="X1pINDvl">#REF!</definedName>
    <definedName name="x1ping">#REF!</definedName>
    <definedName name="X1pINGnc">#REF!</definedName>
    <definedName name="X1pINGvc">#REF!</definedName>
    <definedName name="X1pINGvl">#REF!</definedName>
    <definedName name="x1pint">#REF!</definedName>
    <definedName name="X1pINTnc">#REF!</definedName>
    <definedName name="X1pINTvc">#REF!</definedName>
    <definedName name="X1pINTvl">#REF!</definedName>
    <definedName name="X1pITnc">#REF!</definedName>
    <definedName name="X1pITvc">#REF!</definedName>
    <definedName name="X1pITvl">#REF!</definedName>
    <definedName name="XB_80">#REF!</definedName>
    <definedName name="XCCT">0.5</definedName>
    <definedName name="xfco">#REF!</definedName>
    <definedName name="xfco3p">#REF!</definedName>
    <definedName name="XFCOnc">#REF!</definedName>
    <definedName name="xfconc3p">'[24]CHITIET VL-NC-TT1p'!#REF!</definedName>
    <definedName name="xfcotnc" localSheetId="9">#REF!</definedName>
    <definedName name="xfcotnc">#REF!</definedName>
    <definedName name="xfcotvl" localSheetId="9">#REF!</definedName>
    <definedName name="xfcotvl">#REF!</definedName>
    <definedName name="XFCOvc" localSheetId="9">#REF!</definedName>
    <definedName name="XFCOvc">#REF!</definedName>
    <definedName name="XFCOvl">#REF!</definedName>
    <definedName name="xfcovl3p">'[24]CHITIET VL-NC-TT1p'!#REF!</definedName>
    <definedName name="xh" localSheetId="9">#REF!</definedName>
    <definedName name="xh">#REF!</definedName>
    <definedName name="xhn" localSheetId="9">#REF!</definedName>
    <definedName name="xhn">#REF!</definedName>
    <definedName name="xig" localSheetId="9">#REF!</definedName>
    <definedName name="xig">#REF!</definedName>
    <definedName name="xig1">#REF!</definedName>
    <definedName name="XIG1nc">#REF!</definedName>
    <definedName name="xig1p">#REF!</definedName>
    <definedName name="XIG1vl">#REF!</definedName>
    <definedName name="xig3p">#REF!</definedName>
    <definedName name="XIGnc">#REF!</definedName>
    <definedName name="xignc3p">#REF!</definedName>
    <definedName name="XIGvc">#REF!</definedName>
    <definedName name="XIGvl">#REF!</definedName>
    <definedName name="xigvl3p">#REF!</definedName>
    <definedName name="xin">#REF!</definedName>
    <definedName name="xin190">#REF!</definedName>
    <definedName name="xin1903p">#REF!</definedName>
    <definedName name="XIN190nc">#REF!</definedName>
    <definedName name="xin190nc3p">'[24]CHITIET VL-NC-TT1p'!#REF!</definedName>
    <definedName name="XIN190vc" localSheetId="9">#REF!</definedName>
    <definedName name="XIN190vc">#REF!</definedName>
    <definedName name="XIN190vl" localSheetId="9">#REF!</definedName>
    <definedName name="XIN190vl">#REF!</definedName>
    <definedName name="xin190vl3p" localSheetId="9">'[24]CHITIET VL-NC-TT1p'!#REF!</definedName>
    <definedName name="xin190vl3p">'[24]CHITIET VL-NC-TT1p'!#REF!</definedName>
    <definedName name="xin2903p" localSheetId="9">#REF!</definedName>
    <definedName name="xin2903p">#REF!</definedName>
    <definedName name="xin290nc3p" localSheetId="9">#REF!</definedName>
    <definedName name="xin290nc3p">#REF!</definedName>
    <definedName name="xin290vl3p" localSheetId="9">#REF!</definedName>
    <definedName name="xin290vl3p">#REF!</definedName>
    <definedName name="xin3p">#REF!</definedName>
    <definedName name="xind">#REF!</definedName>
    <definedName name="xind1p">#REF!</definedName>
    <definedName name="xind3p">#REF!</definedName>
    <definedName name="XINDnc">#REF!</definedName>
    <definedName name="xindnc1p">#REF!</definedName>
    <definedName name="xindnc3p">'[24]CHITIET VL-NC-TT1p'!#REF!</definedName>
    <definedName name="XINDvc" localSheetId="9">#REF!</definedName>
    <definedName name="XINDvc">#REF!</definedName>
    <definedName name="XINDvl" localSheetId="9">#REF!</definedName>
    <definedName name="XINDvl">#REF!</definedName>
    <definedName name="xindvl1p" localSheetId="9">#REF!</definedName>
    <definedName name="xindvl1p">#REF!</definedName>
    <definedName name="xindvl3p" localSheetId="9">'[24]CHITIET VL-NC-TT1p'!#REF!</definedName>
    <definedName name="xindvl3p">'[24]CHITIET VL-NC-TT1p'!#REF!</definedName>
    <definedName name="xing1p" localSheetId="9">#REF!</definedName>
    <definedName name="xing1p">#REF!</definedName>
    <definedName name="xingnc1p" localSheetId="9">#REF!</definedName>
    <definedName name="xingnc1p">#REF!</definedName>
    <definedName name="xingvl1p" localSheetId="9">#REF!</definedName>
    <definedName name="xingvl1p">#REF!</definedName>
    <definedName name="XINnc">#REF!</definedName>
    <definedName name="xinnc3p">#REF!</definedName>
    <definedName name="xint1p">#REF!</definedName>
    <definedName name="XINvc">#REF!</definedName>
    <definedName name="XINvl">#REF!</definedName>
    <definedName name="xinvl3p">#REF!</definedName>
    <definedName name="xit">#REF!</definedName>
    <definedName name="xit1">#REF!</definedName>
    <definedName name="XIT1nc">#REF!</definedName>
    <definedName name="xit1p">#REF!</definedName>
    <definedName name="XIT1vl">#REF!</definedName>
    <definedName name="xit2nc3p">#REF!</definedName>
    <definedName name="xit2vl3p">#REF!</definedName>
    <definedName name="xit3p">#REF!</definedName>
    <definedName name="XITnc">#REF!</definedName>
    <definedName name="xitnc3p">#REF!</definedName>
    <definedName name="XITvc">#REF!</definedName>
    <definedName name="XITvl">#REF!</definedName>
    <definedName name="xitvl3p">#REF!</definedName>
    <definedName name="xl">#REF!</definedName>
    <definedName name="xlc">#REF!</definedName>
    <definedName name="xlk">#REF!</definedName>
    <definedName name="xn">#REF!</definedName>
    <definedName name="xuatthan">#REF!</definedName>
    <definedName name="y">#REF!</definedName>
    <definedName name="YYYY">#REF!</definedName>
    <definedName name="yyyyyyyyyyyyyyyy">#REF!</definedName>
    <definedName name="z">#REF!</definedName>
    <definedName name="zl">#REF!</definedName>
    <definedName name="Zw">#REF!</definedName>
    <definedName name="ZYX">#REF!</definedName>
    <definedName name="ZZZ">#REF!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123" i="55" l="1"/>
  <c r="S122" i="55"/>
  <c r="S121" i="55"/>
  <c r="S120" i="55"/>
  <c r="S119" i="55"/>
  <c r="S118" i="55"/>
  <c r="S117" i="55"/>
  <c r="V116" i="55"/>
  <c r="U116" i="55"/>
  <c r="T116" i="55"/>
  <c r="S116" i="55"/>
  <c r="R116" i="55"/>
  <c r="P116" i="55"/>
  <c r="O116" i="55"/>
  <c r="N116" i="55"/>
  <c r="M116" i="55"/>
  <c r="J116" i="55"/>
  <c r="I116" i="55"/>
  <c r="H116" i="55"/>
  <c r="G116" i="55"/>
  <c r="V107" i="55" l="1"/>
  <c r="U107" i="55"/>
  <c r="T107" i="55"/>
  <c r="S107" i="55"/>
  <c r="P107" i="55"/>
  <c r="N107" i="55"/>
  <c r="I107" i="55"/>
  <c r="V106" i="55"/>
  <c r="S106" i="55" s="1"/>
  <c r="U106" i="55"/>
  <c r="T106" i="55"/>
  <c r="P106" i="55"/>
  <c r="I106" i="55"/>
  <c r="V105" i="55"/>
  <c r="U105" i="55"/>
  <c r="T105" i="55"/>
  <c r="S105" i="55" s="1"/>
  <c r="P105" i="55"/>
  <c r="I105" i="55"/>
  <c r="V104" i="55"/>
  <c r="S104" i="55" s="1"/>
  <c r="U104" i="55"/>
  <c r="T104" i="55"/>
  <c r="P104" i="55"/>
  <c r="N104" i="55"/>
  <c r="I104" i="55"/>
  <c r="V103" i="55"/>
  <c r="U103" i="55"/>
  <c r="T103" i="55"/>
  <c r="S103" i="55" s="1"/>
  <c r="N103" i="55"/>
  <c r="P103" i="55" s="1"/>
  <c r="I103" i="55"/>
  <c r="V102" i="55"/>
  <c r="U102" i="55"/>
  <c r="T102" i="55"/>
  <c r="S102" i="55" s="1"/>
  <c r="P102" i="55"/>
  <c r="I102" i="55"/>
  <c r="V101" i="55"/>
  <c r="S101" i="55" s="1"/>
  <c r="U101" i="55"/>
  <c r="T101" i="55"/>
  <c r="P101" i="55"/>
  <c r="I101" i="55"/>
  <c r="V100" i="55"/>
  <c r="U100" i="55"/>
  <c r="T100" i="55"/>
  <c r="S100" i="55" s="1"/>
  <c r="N100" i="55"/>
  <c r="P100" i="55" s="1"/>
  <c r="I100" i="55"/>
  <c r="V99" i="55"/>
  <c r="U99" i="55"/>
  <c r="T99" i="55"/>
  <c r="S99" i="55"/>
  <c r="P99" i="55"/>
  <c r="N99" i="55"/>
  <c r="I99" i="55"/>
  <c r="V98" i="55"/>
  <c r="S98" i="55" s="1"/>
  <c r="U98" i="55"/>
  <c r="T98" i="55"/>
  <c r="P98" i="55"/>
  <c r="N98" i="55"/>
  <c r="I98" i="55"/>
  <c r="V97" i="55"/>
  <c r="U97" i="55"/>
  <c r="T97" i="55"/>
  <c r="S97" i="55" s="1"/>
  <c r="N97" i="55"/>
  <c r="P97" i="55" s="1"/>
  <c r="I97" i="55"/>
  <c r="V96" i="55"/>
  <c r="U96" i="55"/>
  <c r="T96" i="55"/>
  <c r="S96" i="55" s="1"/>
  <c r="N96" i="55"/>
  <c r="P96" i="55" s="1"/>
  <c r="I96" i="55"/>
  <c r="V95" i="55"/>
  <c r="U95" i="55"/>
  <c r="T95" i="55"/>
  <c r="S95" i="55"/>
  <c r="N95" i="55"/>
  <c r="P95" i="55" s="1"/>
  <c r="I95" i="55"/>
  <c r="V94" i="55"/>
  <c r="S94" i="55" s="1"/>
  <c r="U94" i="55"/>
  <c r="T94" i="55"/>
  <c r="P94" i="55"/>
  <c r="N94" i="55"/>
  <c r="I94" i="55"/>
  <c r="V93" i="55"/>
  <c r="U93" i="55"/>
  <c r="S93" i="55" s="1"/>
  <c r="T93" i="55"/>
  <c r="N93" i="55"/>
  <c r="P93" i="55" s="1"/>
  <c r="I93" i="55"/>
  <c r="V92" i="55"/>
  <c r="V90" i="55" s="1"/>
  <c r="U92" i="55"/>
  <c r="U90" i="55" s="1"/>
  <c r="T92" i="55"/>
  <c r="S92" i="55" s="1"/>
  <c r="N92" i="55"/>
  <c r="P92" i="55" s="1"/>
  <c r="I92" i="55"/>
  <c r="V91" i="55"/>
  <c r="U91" i="55"/>
  <c r="T91" i="55"/>
  <c r="T90" i="55" s="1"/>
  <c r="S91" i="55"/>
  <c r="N91" i="55"/>
  <c r="P91" i="55" s="1"/>
  <c r="I91" i="55"/>
  <c r="I90" i="55" s="1"/>
  <c r="W90" i="55"/>
  <c r="Q90" i="55"/>
  <c r="O90" i="55"/>
  <c r="N90" i="55"/>
  <c r="M90" i="55"/>
  <c r="L90" i="55"/>
  <c r="K90" i="55"/>
  <c r="J90" i="55"/>
  <c r="H90" i="55"/>
  <c r="G90" i="55"/>
  <c r="F90" i="55"/>
  <c r="E90" i="55"/>
  <c r="D90" i="55"/>
  <c r="C90" i="55"/>
  <c r="S90" i="55" l="1"/>
  <c r="P90" i="55"/>
  <c r="G289" i="53" l="1"/>
  <c r="F289" i="53"/>
  <c r="E289" i="53"/>
  <c r="C289" i="53"/>
  <c r="E300" i="53"/>
  <c r="G300" i="53" s="1"/>
  <c r="F300" i="53"/>
  <c r="W20" i="55" l="1"/>
  <c r="V20" i="55"/>
  <c r="U20" i="55"/>
  <c r="T20" i="55"/>
  <c r="S20" i="55"/>
  <c r="R20" i="55"/>
  <c r="S34" i="55"/>
  <c r="S33" i="55"/>
  <c r="S32" i="55"/>
  <c r="S31" i="55"/>
  <c r="S30" i="55"/>
  <c r="S29" i="55"/>
  <c r="S28" i="55"/>
  <c r="S27" i="55"/>
  <c r="S26" i="55"/>
  <c r="S25" i="55"/>
  <c r="S24" i="55"/>
  <c r="S23" i="55"/>
  <c r="S22" i="55"/>
  <c r="S21" i="55"/>
  <c r="V34" i="55"/>
  <c r="U34" i="55"/>
  <c r="T34" i="55"/>
  <c r="V33" i="55"/>
  <c r="U33" i="55"/>
  <c r="T33" i="55"/>
  <c r="V32" i="55"/>
  <c r="U32" i="55"/>
  <c r="T32" i="55"/>
  <c r="V31" i="55"/>
  <c r="U31" i="55"/>
  <c r="T31" i="55"/>
  <c r="V30" i="55"/>
  <c r="U30" i="55"/>
  <c r="T30" i="55"/>
  <c r="V29" i="55"/>
  <c r="U29" i="55"/>
  <c r="T29" i="55"/>
  <c r="V28" i="55"/>
  <c r="U28" i="55"/>
  <c r="T28" i="55"/>
  <c r="V27" i="55"/>
  <c r="U27" i="55"/>
  <c r="T27" i="55"/>
  <c r="V26" i="55"/>
  <c r="U26" i="55"/>
  <c r="T26" i="55"/>
  <c r="V25" i="55"/>
  <c r="U25" i="55"/>
  <c r="T25" i="55"/>
  <c r="V24" i="55"/>
  <c r="U24" i="55"/>
  <c r="T24" i="55"/>
  <c r="V23" i="55"/>
  <c r="U23" i="55"/>
  <c r="T23" i="55"/>
  <c r="V22" i="55"/>
  <c r="U22" i="55"/>
  <c r="T22" i="55"/>
  <c r="V21" i="55"/>
  <c r="U21" i="55"/>
  <c r="T21" i="55"/>
  <c r="F59" i="53" l="1"/>
  <c r="G59" i="53" s="1"/>
  <c r="E59" i="53"/>
  <c r="F58" i="53"/>
  <c r="G58" i="53" s="1"/>
  <c r="E58" i="53"/>
  <c r="D56" i="53"/>
  <c r="C59" i="53"/>
  <c r="C58" i="53"/>
  <c r="D260" i="53"/>
  <c r="C260" i="53"/>
  <c r="F263" i="53"/>
  <c r="E263" i="53"/>
  <c r="F262" i="53"/>
  <c r="E262" i="53"/>
  <c r="C257" i="53"/>
  <c r="D251" i="53"/>
  <c r="E251" i="53" s="1"/>
  <c r="D250" i="53"/>
  <c r="F250" i="53" s="1"/>
  <c r="G262" i="53" l="1"/>
  <c r="E250" i="53"/>
  <c r="E249" i="53" s="1"/>
  <c r="G263" i="53"/>
  <c r="F251" i="53"/>
  <c r="F249" i="53" s="1"/>
  <c r="G122" i="51" l="1"/>
  <c r="F122" i="51"/>
  <c r="E122" i="51"/>
  <c r="D122" i="51"/>
  <c r="C122" i="51"/>
  <c r="E124" i="51"/>
  <c r="G124" i="51" s="1"/>
  <c r="F124" i="51"/>
  <c r="F519" i="53" l="1"/>
  <c r="E519" i="53"/>
  <c r="D507" i="53"/>
  <c r="E507" i="53" s="1"/>
  <c r="D506" i="53"/>
  <c r="E506" i="53" s="1"/>
  <c r="E505" i="53" s="1"/>
  <c r="C493" i="53"/>
  <c r="C492" i="53"/>
  <c r="C491" i="53"/>
  <c r="C490" i="53"/>
  <c r="C489" i="53"/>
  <c r="C488" i="53"/>
  <c r="C487" i="53"/>
  <c r="C486" i="53"/>
  <c r="E245" i="51"/>
  <c r="G245" i="51" s="1"/>
  <c r="F245" i="51"/>
  <c r="G519" i="53" l="1"/>
  <c r="W47" i="55"/>
  <c r="V47" i="55"/>
  <c r="U47" i="55"/>
  <c r="T47" i="55"/>
  <c r="S47" i="55"/>
  <c r="R47" i="55"/>
  <c r="Q47" i="55"/>
  <c r="P47" i="55"/>
  <c r="O47" i="55"/>
  <c r="N47" i="55"/>
  <c r="M47" i="55"/>
  <c r="L47" i="55"/>
  <c r="K47" i="55"/>
  <c r="J47" i="55"/>
  <c r="I47" i="55"/>
  <c r="H47" i="55"/>
  <c r="G47" i="55"/>
  <c r="F47" i="55"/>
  <c r="E47" i="55"/>
  <c r="D47" i="55"/>
  <c r="C47" i="55"/>
  <c r="U58" i="55"/>
  <c r="U57" i="55"/>
  <c r="U56" i="55"/>
  <c r="U55" i="55"/>
  <c r="U54" i="55"/>
  <c r="U53" i="55"/>
  <c r="U52" i="55"/>
  <c r="U51" i="55"/>
  <c r="U50" i="55"/>
  <c r="U49" i="55"/>
  <c r="U48" i="55"/>
  <c r="T58" i="55"/>
  <c r="S58" i="55" s="1"/>
  <c r="P58" i="55"/>
  <c r="T57" i="55"/>
  <c r="S57" i="55" s="1"/>
  <c r="P57" i="55"/>
  <c r="T56" i="55"/>
  <c r="P56" i="55"/>
  <c r="T55" i="55"/>
  <c r="P55" i="55"/>
  <c r="T54" i="55"/>
  <c r="S54" i="55" s="1"/>
  <c r="P54" i="55"/>
  <c r="T53" i="55"/>
  <c r="S53" i="55" s="1"/>
  <c r="P53" i="55"/>
  <c r="T52" i="55"/>
  <c r="P52" i="55"/>
  <c r="T51" i="55"/>
  <c r="P51" i="55"/>
  <c r="T50" i="55"/>
  <c r="S50" i="55" s="1"/>
  <c r="P50" i="55"/>
  <c r="T49" i="55"/>
  <c r="S49" i="55" s="1"/>
  <c r="P49" i="55"/>
  <c r="T48" i="55"/>
  <c r="S48" i="55" s="1"/>
  <c r="P48" i="55"/>
  <c r="S52" i="55" l="1"/>
  <c r="S56" i="55"/>
  <c r="S51" i="55"/>
  <c r="S55" i="55"/>
  <c r="V19" i="55" l="1"/>
  <c r="U19" i="55"/>
  <c r="T19" i="55"/>
  <c r="S19" i="55" s="1"/>
  <c r="R19" i="55"/>
  <c r="P19" i="55"/>
  <c r="V18" i="55"/>
  <c r="U18" i="55"/>
  <c r="T18" i="55"/>
  <c r="S18" i="55" s="1"/>
  <c r="R18" i="55"/>
  <c r="P18" i="55"/>
  <c r="V17" i="55"/>
  <c r="U17" i="55"/>
  <c r="S17" i="55" s="1"/>
  <c r="T17" i="55"/>
  <c r="R17" i="55"/>
  <c r="P17" i="55"/>
  <c r="V16" i="55"/>
  <c r="U16" i="55"/>
  <c r="T16" i="55"/>
  <c r="S16" i="55" s="1"/>
  <c r="R16" i="55"/>
  <c r="P16" i="55"/>
  <c r="V15" i="55"/>
  <c r="U15" i="55"/>
  <c r="S15" i="55" s="1"/>
  <c r="T15" i="55"/>
  <c r="R15" i="55"/>
  <c r="P15" i="55"/>
  <c r="W14" i="55"/>
  <c r="V14" i="55"/>
  <c r="U14" i="55"/>
  <c r="T14" i="55"/>
  <c r="S14" i="55" s="1"/>
  <c r="R14" i="55"/>
  <c r="P14" i="55"/>
  <c r="V13" i="55"/>
  <c r="U13" i="55"/>
  <c r="T13" i="55"/>
  <c r="S13" i="55"/>
  <c r="R13" i="55"/>
  <c r="P13" i="55"/>
  <c r="V12" i="55"/>
  <c r="U12" i="55"/>
  <c r="T12" i="55"/>
  <c r="S12" i="55" s="1"/>
  <c r="R12" i="55"/>
  <c r="P12" i="55"/>
  <c r="P9" i="55" s="1"/>
  <c r="W11" i="55"/>
  <c r="W9" i="55" s="1"/>
  <c r="V11" i="55"/>
  <c r="U11" i="55"/>
  <c r="T11" i="55"/>
  <c r="S11" i="55" s="1"/>
  <c r="R11" i="55"/>
  <c r="P11" i="55"/>
  <c r="V10" i="55"/>
  <c r="V9" i="55" s="1"/>
  <c r="U10" i="55"/>
  <c r="S10" i="55" s="1"/>
  <c r="T10" i="55"/>
  <c r="R10" i="55"/>
  <c r="R9" i="55" s="1"/>
  <c r="P10" i="55"/>
  <c r="U9" i="55"/>
  <c r="Q9" i="55"/>
  <c r="O9" i="55"/>
  <c r="N9" i="55"/>
  <c r="M9" i="55"/>
  <c r="L9" i="55"/>
  <c r="K9" i="55"/>
  <c r="J9" i="55"/>
  <c r="I9" i="55"/>
  <c r="H9" i="55"/>
  <c r="G9" i="55"/>
  <c r="F9" i="55"/>
  <c r="E9" i="55"/>
  <c r="D9" i="55"/>
  <c r="C9" i="55"/>
  <c r="S9" i="55" l="1"/>
  <c r="T9" i="55"/>
  <c r="S905" i="56" l="1"/>
  <c r="W904" i="56"/>
  <c r="U904" i="56" s="1"/>
  <c r="S904" i="56"/>
  <c r="AG904" i="56" s="1"/>
  <c r="S903" i="56"/>
  <c r="AG903" i="56" s="1"/>
  <c r="W903" i="56" s="1"/>
  <c r="I903" i="56"/>
  <c r="AH902" i="56"/>
  <c r="AF902" i="56"/>
  <c r="AE902" i="56"/>
  <c r="AD902" i="56"/>
  <c r="AC902" i="56"/>
  <c r="AB902" i="56"/>
  <c r="AA902" i="56"/>
  <c r="Z902" i="56"/>
  <c r="Y902" i="56"/>
  <c r="X902" i="56"/>
  <c r="V902" i="56"/>
  <c r="T902" i="56"/>
  <c r="R902" i="56"/>
  <c r="Q902" i="56"/>
  <c r="P902" i="56"/>
  <c r="O902" i="56"/>
  <c r="N902" i="56"/>
  <c r="M902" i="56"/>
  <c r="L902" i="56"/>
  <c r="K902" i="56"/>
  <c r="J902" i="56"/>
  <c r="H902" i="56"/>
  <c r="F902" i="56"/>
  <c r="C902" i="56"/>
  <c r="AG901" i="56"/>
  <c r="W901" i="56" s="1"/>
  <c r="U901" i="56" s="1"/>
  <c r="S901" i="56"/>
  <c r="I901" i="56" s="1"/>
  <c r="G901" i="56"/>
  <c r="S900" i="56"/>
  <c r="S899" i="56"/>
  <c r="AG899" i="56" s="1"/>
  <c r="I899" i="56"/>
  <c r="G899" i="56" s="1"/>
  <c r="AH898" i="56"/>
  <c r="AF898" i="56"/>
  <c r="AE898" i="56"/>
  <c r="AD898" i="56"/>
  <c r="AC898" i="56"/>
  <c r="AB898" i="56"/>
  <c r="AA898" i="56"/>
  <c r="Z898" i="56"/>
  <c r="Y898" i="56"/>
  <c r="X898" i="56"/>
  <c r="V898" i="56"/>
  <c r="T898" i="56"/>
  <c r="R898" i="56"/>
  <c r="Q898" i="56"/>
  <c r="P898" i="56"/>
  <c r="O898" i="56"/>
  <c r="N898" i="56"/>
  <c r="M898" i="56"/>
  <c r="L898" i="56"/>
  <c r="K898" i="56"/>
  <c r="J898" i="56"/>
  <c r="H898" i="56"/>
  <c r="F898" i="56"/>
  <c r="C898" i="56"/>
  <c r="AG897" i="56"/>
  <c r="AF897" i="56"/>
  <c r="AE897" i="56"/>
  <c r="AD897" i="56"/>
  <c r="AC897" i="56"/>
  <c r="AB897" i="56"/>
  <c r="AA897" i="56"/>
  <c r="Z897" i="56"/>
  <c r="Y897" i="56"/>
  <c r="X897" i="56"/>
  <c r="W897" i="56" s="1"/>
  <c r="V897" i="56"/>
  <c r="T897" i="56"/>
  <c r="G897" i="56" s="1"/>
  <c r="I897" i="56"/>
  <c r="AG896" i="56"/>
  <c r="AF896" i="56"/>
  <c r="AE896" i="56"/>
  <c r="AD896" i="56"/>
  <c r="AC896" i="56"/>
  <c r="AB896" i="56"/>
  <c r="AA896" i="56"/>
  <c r="Z896" i="56"/>
  <c r="Y896" i="56"/>
  <c r="X896" i="56"/>
  <c r="V896" i="56"/>
  <c r="T896" i="56"/>
  <c r="I896" i="56"/>
  <c r="G896" i="56" s="1"/>
  <c r="AG895" i="56"/>
  <c r="AF895" i="56"/>
  <c r="AE895" i="56"/>
  <c r="AD895" i="56"/>
  <c r="AC895" i="56"/>
  <c r="AB895" i="56"/>
  <c r="AA895" i="56"/>
  <c r="Z895" i="56"/>
  <c r="W895" i="56" s="1"/>
  <c r="Y895" i="56"/>
  <c r="X895" i="56"/>
  <c r="V895" i="56"/>
  <c r="T895" i="56"/>
  <c r="T893" i="56" s="1"/>
  <c r="I895" i="56"/>
  <c r="AG894" i="56"/>
  <c r="AF894" i="56"/>
  <c r="AE894" i="56"/>
  <c r="AD894" i="56"/>
  <c r="AC894" i="56"/>
  <c r="AB894" i="56"/>
  <c r="AA894" i="56"/>
  <c r="Z894" i="56"/>
  <c r="Y894" i="56"/>
  <c r="X894" i="56"/>
  <c r="V894" i="56"/>
  <c r="T894" i="56"/>
  <c r="I894" i="56"/>
  <c r="G894" i="56" s="1"/>
  <c r="AG893" i="56"/>
  <c r="AC893" i="56"/>
  <c r="Y893" i="56"/>
  <c r="S893" i="56"/>
  <c r="R893" i="56"/>
  <c r="AF893" i="56" s="1"/>
  <c r="Q893" i="56"/>
  <c r="AE893" i="56" s="1"/>
  <c r="P893" i="56"/>
  <c r="O893" i="56"/>
  <c r="N893" i="56"/>
  <c r="M893" i="56"/>
  <c r="AA893" i="56" s="1"/>
  <c r="L893" i="56"/>
  <c r="Z893" i="56" s="1"/>
  <c r="K893" i="56"/>
  <c r="J893" i="56"/>
  <c r="X893" i="56" s="1"/>
  <c r="H893" i="56"/>
  <c r="F893" i="56"/>
  <c r="C893" i="56"/>
  <c r="AG892" i="56"/>
  <c r="AF892" i="56"/>
  <c r="AE892" i="56"/>
  <c r="AD892" i="56"/>
  <c r="AC892" i="56"/>
  <c r="AB892" i="56"/>
  <c r="AA892" i="56"/>
  <c r="Z892" i="56"/>
  <c r="Y892" i="56"/>
  <c r="X892" i="56"/>
  <c r="V892" i="56"/>
  <c r="T892" i="56"/>
  <c r="I892" i="56"/>
  <c r="AG891" i="56"/>
  <c r="AF891" i="56"/>
  <c r="AE891" i="56"/>
  <c r="AD891" i="56"/>
  <c r="AC891" i="56"/>
  <c r="AB891" i="56"/>
  <c r="AA891" i="56"/>
  <c r="Z891" i="56"/>
  <c r="Y891" i="56"/>
  <c r="X891" i="56"/>
  <c r="W891" i="56" s="1"/>
  <c r="V891" i="56"/>
  <c r="T891" i="56"/>
  <c r="I891" i="56"/>
  <c r="AG890" i="56"/>
  <c r="AF890" i="56"/>
  <c r="AE890" i="56"/>
  <c r="AD890" i="56"/>
  <c r="AC890" i="56"/>
  <c r="AB890" i="56"/>
  <c r="AA890" i="56"/>
  <c r="Z890" i="56"/>
  <c r="Y890" i="56"/>
  <c r="X890" i="56"/>
  <c r="W890" i="56" s="1"/>
  <c r="V890" i="56"/>
  <c r="T890" i="56"/>
  <c r="I890" i="56"/>
  <c r="G890" i="56" s="1"/>
  <c r="AG889" i="56"/>
  <c r="AF889" i="56"/>
  <c r="AE889" i="56"/>
  <c r="AD889" i="56"/>
  <c r="AC889" i="56"/>
  <c r="AB889" i="56"/>
  <c r="AA889" i="56"/>
  <c r="Z889" i="56"/>
  <c r="Y889" i="56"/>
  <c r="X889" i="56"/>
  <c r="V889" i="56"/>
  <c r="T889" i="56"/>
  <c r="I889" i="56"/>
  <c r="G889" i="56" s="1"/>
  <c r="AG888" i="56"/>
  <c r="AF888" i="56"/>
  <c r="AE888" i="56"/>
  <c r="AD888" i="56"/>
  <c r="AC888" i="56"/>
  <c r="AB888" i="56"/>
  <c r="AA888" i="56"/>
  <c r="Z888" i="56"/>
  <c r="Y888" i="56"/>
  <c r="X888" i="56"/>
  <c r="V888" i="56"/>
  <c r="T888" i="56"/>
  <c r="I888" i="56"/>
  <c r="AG887" i="56"/>
  <c r="AF887" i="56"/>
  <c r="AE887" i="56"/>
  <c r="AD887" i="56"/>
  <c r="AC887" i="56"/>
  <c r="AB887" i="56"/>
  <c r="AA887" i="56"/>
  <c r="Z887" i="56"/>
  <c r="Y887" i="56"/>
  <c r="X887" i="56"/>
  <c r="W887" i="56" s="1"/>
  <c r="V887" i="56"/>
  <c r="T887" i="56"/>
  <c r="I887" i="56"/>
  <c r="AG886" i="56"/>
  <c r="AF886" i="56"/>
  <c r="AE886" i="56"/>
  <c r="AD886" i="56"/>
  <c r="AC886" i="56"/>
  <c r="AB886" i="56"/>
  <c r="AA886" i="56"/>
  <c r="Z886" i="56"/>
  <c r="Y886" i="56"/>
  <c r="X886" i="56"/>
  <c r="W886" i="56" s="1"/>
  <c r="V886" i="56"/>
  <c r="T886" i="56"/>
  <c r="I886" i="56"/>
  <c r="G886" i="56" s="1"/>
  <c r="AG885" i="56"/>
  <c r="AF885" i="56"/>
  <c r="AE885" i="56"/>
  <c r="AD885" i="56"/>
  <c r="AB885" i="56"/>
  <c r="AA885" i="56"/>
  <c r="Z885" i="56"/>
  <c r="Y885" i="56"/>
  <c r="X885" i="56"/>
  <c r="V885" i="56"/>
  <c r="T885" i="56"/>
  <c r="AG884" i="56"/>
  <c r="AF884" i="56"/>
  <c r="AE884" i="56"/>
  <c r="AD884" i="56"/>
  <c r="AC884" i="56"/>
  <c r="AB884" i="56"/>
  <c r="AA884" i="56"/>
  <c r="Z884" i="56"/>
  <c r="AH884" i="56" s="1"/>
  <c r="Y884" i="56"/>
  <c r="X884" i="56"/>
  <c r="V884" i="56"/>
  <c r="T884" i="56"/>
  <c r="G884" i="56" s="1"/>
  <c r="I884" i="56"/>
  <c r="AG883" i="56"/>
  <c r="AF883" i="56"/>
  <c r="AE883" i="56"/>
  <c r="AD883" i="56"/>
  <c r="AC883" i="56"/>
  <c r="AB883" i="56"/>
  <c r="AA883" i="56"/>
  <c r="Z883" i="56"/>
  <c r="Y883" i="56"/>
  <c r="X883" i="56"/>
  <c r="W883" i="56" s="1"/>
  <c r="V883" i="56"/>
  <c r="T883" i="56"/>
  <c r="AG882" i="56"/>
  <c r="AF882" i="56"/>
  <c r="AE882" i="56"/>
  <c r="AD882" i="56"/>
  <c r="AC882" i="56"/>
  <c r="AB882" i="56"/>
  <c r="AA882" i="56"/>
  <c r="Z882" i="56"/>
  <c r="Y882" i="56"/>
  <c r="X882" i="56"/>
  <c r="V882" i="56"/>
  <c r="T882" i="56"/>
  <c r="I882" i="56"/>
  <c r="G882" i="56"/>
  <c r="AG881" i="56"/>
  <c r="AF881" i="56"/>
  <c r="AE881" i="56"/>
  <c r="AD881" i="56"/>
  <c r="AC881" i="56"/>
  <c r="AB881" i="56"/>
  <c r="AA881" i="56"/>
  <c r="Z881" i="56"/>
  <c r="Y881" i="56"/>
  <c r="X881" i="56"/>
  <c r="V881" i="56"/>
  <c r="T881" i="56"/>
  <c r="AG880" i="56"/>
  <c r="AF880" i="56"/>
  <c r="AE880" i="56"/>
  <c r="AE879" i="56" s="1"/>
  <c r="AD880" i="56"/>
  <c r="AD879" i="56" s="1"/>
  <c r="AC880" i="56"/>
  <c r="AC879" i="56" s="1"/>
  <c r="AB880" i="56"/>
  <c r="AB879" i="56" s="1"/>
  <c r="AA880" i="56"/>
  <c r="AA879" i="56" s="1"/>
  <c r="Z880" i="56"/>
  <c r="Z879" i="56" s="1"/>
  <c r="Y880" i="56"/>
  <c r="X880" i="56"/>
  <c r="X879" i="56" s="1"/>
  <c r="X877" i="56" s="1"/>
  <c r="X876" i="56" s="1"/>
  <c r="V880" i="56"/>
  <c r="T880" i="56"/>
  <c r="G880" i="56" s="1"/>
  <c r="I880" i="56"/>
  <c r="AG879" i="56"/>
  <c r="AF879" i="56"/>
  <c r="AF877" i="56" s="1"/>
  <c r="AF876" i="56" s="1"/>
  <c r="Y879" i="56"/>
  <c r="T879" i="56"/>
  <c r="S879" i="56"/>
  <c r="R879" i="56"/>
  <c r="Q879" i="56"/>
  <c r="Q877" i="56" s="1"/>
  <c r="P879" i="56"/>
  <c r="O879" i="56"/>
  <c r="N879" i="56"/>
  <c r="M879" i="56"/>
  <c r="M877" i="56" s="1"/>
  <c r="L879" i="56"/>
  <c r="K879" i="56"/>
  <c r="J879" i="56"/>
  <c r="I879" i="56"/>
  <c r="H879" i="56"/>
  <c r="F879" i="56"/>
  <c r="E879" i="56"/>
  <c r="D879" i="56"/>
  <c r="C879" i="56"/>
  <c r="S877" i="56"/>
  <c r="R877" i="56"/>
  <c r="R876" i="56" s="1"/>
  <c r="O877" i="56"/>
  <c r="O876" i="56" s="1"/>
  <c r="K877" i="56"/>
  <c r="K876" i="56" s="1"/>
  <c r="F877" i="56"/>
  <c r="F876" i="56" s="1"/>
  <c r="AI875" i="56"/>
  <c r="AJ875" i="56" s="1"/>
  <c r="S875" i="56"/>
  <c r="AG875" i="56" s="1"/>
  <c r="W875" i="56" s="1"/>
  <c r="U875" i="56" s="1"/>
  <c r="I875" i="56"/>
  <c r="G875" i="56" s="1"/>
  <c r="U874" i="56"/>
  <c r="S874" i="56"/>
  <c r="AG874" i="56" s="1"/>
  <c r="W874" i="56" s="1"/>
  <c r="I874" i="56"/>
  <c r="G874" i="56" s="1"/>
  <c r="S873" i="56"/>
  <c r="AH872" i="56"/>
  <c r="AF872" i="56"/>
  <c r="AE872" i="56"/>
  <c r="AD872" i="56"/>
  <c r="AC872" i="56"/>
  <c r="AB872" i="56"/>
  <c r="AA872" i="56"/>
  <c r="Z872" i="56"/>
  <c r="Y872" i="56"/>
  <c r="X872" i="56"/>
  <c r="V872" i="56"/>
  <c r="T872" i="56"/>
  <c r="S872" i="56"/>
  <c r="R872" i="56"/>
  <c r="Q872" i="56"/>
  <c r="P872" i="56"/>
  <c r="O872" i="56"/>
  <c r="N872" i="56"/>
  <c r="M872" i="56"/>
  <c r="L872" i="56"/>
  <c r="K872" i="56"/>
  <c r="J872" i="56"/>
  <c r="H872" i="56"/>
  <c r="F872" i="56"/>
  <c r="C872" i="56"/>
  <c r="S871" i="56"/>
  <c r="S870" i="56"/>
  <c r="S869" i="56"/>
  <c r="AG869" i="56" s="1"/>
  <c r="AH868" i="56"/>
  <c r="AF868" i="56"/>
  <c r="AE868" i="56"/>
  <c r="AD868" i="56"/>
  <c r="AC868" i="56"/>
  <c r="AB868" i="56"/>
  <c r="AA868" i="56"/>
  <c r="Z868" i="56"/>
  <c r="Y868" i="56"/>
  <c r="X868" i="56"/>
  <c r="V868" i="56"/>
  <c r="T868" i="56"/>
  <c r="R868" i="56"/>
  <c r="Q868" i="56"/>
  <c r="P868" i="56"/>
  <c r="O868" i="56"/>
  <c r="N868" i="56"/>
  <c r="M868" i="56"/>
  <c r="L868" i="56"/>
  <c r="K868" i="56"/>
  <c r="J868" i="56"/>
  <c r="H868" i="56"/>
  <c r="F868" i="56"/>
  <c r="C868" i="56"/>
  <c r="AG867" i="56"/>
  <c r="AF867" i="56"/>
  <c r="AE867" i="56"/>
  <c r="AD867" i="56"/>
  <c r="AC867" i="56"/>
  <c r="AB867" i="56"/>
  <c r="AA867" i="56"/>
  <c r="Z867" i="56"/>
  <c r="Y867" i="56"/>
  <c r="W867" i="56" s="1"/>
  <c r="X867" i="56"/>
  <c r="V867" i="56"/>
  <c r="T867" i="56"/>
  <c r="G867" i="56" s="1"/>
  <c r="I867" i="56"/>
  <c r="AG866" i="56"/>
  <c r="AF866" i="56"/>
  <c r="AE866" i="56"/>
  <c r="AD866" i="56"/>
  <c r="AC866" i="56"/>
  <c r="AB866" i="56"/>
  <c r="AA866" i="56"/>
  <c r="Z866" i="56"/>
  <c r="Y866" i="56"/>
  <c r="X866" i="56"/>
  <c r="W866" i="56" s="1"/>
  <c r="V866" i="56"/>
  <c r="T866" i="56"/>
  <c r="I866" i="56"/>
  <c r="G866" i="56" s="1"/>
  <c r="AG865" i="56"/>
  <c r="AF865" i="56"/>
  <c r="AE865" i="56"/>
  <c r="AD865" i="56"/>
  <c r="AC865" i="56"/>
  <c r="AB865" i="56"/>
  <c r="AA865" i="56"/>
  <c r="Z865" i="56"/>
  <c r="Y865" i="56"/>
  <c r="X865" i="56"/>
  <c r="V865" i="56"/>
  <c r="T865" i="56"/>
  <c r="I865" i="56"/>
  <c r="G865" i="56" s="1"/>
  <c r="AG864" i="56"/>
  <c r="AF864" i="56"/>
  <c r="AE864" i="56"/>
  <c r="AD864" i="56"/>
  <c r="AC864" i="56"/>
  <c r="AB864" i="56"/>
  <c r="AA864" i="56"/>
  <c r="Z864" i="56"/>
  <c r="Y864" i="56"/>
  <c r="X864" i="56"/>
  <c r="V864" i="56"/>
  <c r="T864" i="56"/>
  <c r="T863" i="56" s="1"/>
  <c r="I864" i="56"/>
  <c r="AD863" i="56"/>
  <c r="S863" i="56"/>
  <c r="R863" i="56"/>
  <c r="AF863" i="56" s="1"/>
  <c r="Q863" i="56"/>
  <c r="AE863" i="56" s="1"/>
  <c r="P863" i="56"/>
  <c r="O863" i="56"/>
  <c r="N863" i="56"/>
  <c r="AB863" i="56" s="1"/>
  <c r="M863" i="56"/>
  <c r="AA863" i="56" s="1"/>
  <c r="L863" i="56"/>
  <c r="Z863" i="56" s="1"/>
  <c r="K863" i="56"/>
  <c r="J863" i="56"/>
  <c r="X863" i="56" s="1"/>
  <c r="H863" i="56"/>
  <c r="V863" i="56" s="1"/>
  <c r="F863" i="56"/>
  <c r="C863" i="56"/>
  <c r="C847" i="56" s="1"/>
  <c r="AG862" i="56"/>
  <c r="AF862" i="56"/>
  <c r="AE862" i="56"/>
  <c r="AD862" i="56"/>
  <c r="AC862" i="56"/>
  <c r="AB862" i="56"/>
  <c r="AA862" i="56"/>
  <c r="Z862" i="56"/>
  <c r="Y862" i="56"/>
  <c r="X862" i="56"/>
  <c r="V862" i="56"/>
  <c r="T862" i="56"/>
  <c r="I862" i="56"/>
  <c r="AG861" i="56"/>
  <c r="AF861" i="56"/>
  <c r="AE861" i="56"/>
  <c r="AD861" i="56"/>
  <c r="AC861" i="56"/>
  <c r="AB861" i="56"/>
  <c r="AA861" i="56"/>
  <c r="Z861" i="56"/>
  <c r="Y861" i="56"/>
  <c r="X861" i="56"/>
  <c r="V861" i="56"/>
  <c r="T861" i="56"/>
  <c r="I861" i="56"/>
  <c r="G861" i="56" s="1"/>
  <c r="AG860" i="56"/>
  <c r="AF860" i="56"/>
  <c r="AE860" i="56"/>
  <c r="AD860" i="56"/>
  <c r="AC860" i="56"/>
  <c r="AB860" i="56"/>
  <c r="AA860" i="56"/>
  <c r="Z860" i="56"/>
  <c r="Y860" i="56"/>
  <c r="X860" i="56"/>
  <c r="V860" i="56"/>
  <c r="T860" i="56"/>
  <c r="I860" i="56"/>
  <c r="AG859" i="56"/>
  <c r="AF859" i="56"/>
  <c r="AE859" i="56"/>
  <c r="AD859" i="56"/>
  <c r="AC859" i="56"/>
  <c r="AB859" i="56"/>
  <c r="AA859" i="56"/>
  <c r="Z859" i="56"/>
  <c r="Y859" i="56"/>
  <c r="X859" i="56"/>
  <c r="V859" i="56"/>
  <c r="T859" i="56"/>
  <c r="I859" i="56"/>
  <c r="AG858" i="56"/>
  <c r="AF858" i="56"/>
  <c r="AE858" i="56"/>
  <c r="AD858" i="56"/>
  <c r="AC858" i="56"/>
  <c r="AB858" i="56"/>
  <c r="AA858" i="56"/>
  <c r="Z858" i="56"/>
  <c r="Y858" i="56"/>
  <c r="X858" i="56"/>
  <c r="W858" i="56"/>
  <c r="V858" i="56"/>
  <c r="T858" i="56"/>
  <c r="I858" i="56"/>
  <c r="G858" i="56"/>
  <c r="AG857" i="56"/>
  <c r="AF857" i="56"/>
  <c r="AE857" i="56"/>
  <c r="AD857" i="56"/>
  <c r="AC857" i="56"/>
  <c r="AB857" i="56"/>
  <c r="AA857" i="56"/>
  <c r="Z857" i="56"/>
  <c r="Y857" i="56"/>
  <c r="X857" i="56"/>
  <c r="V857" i="56"/>
  <c r="T857" i="56"/>
  <c r="I857" i="56"/>
  <c r="AG856" i="56"/>
  <c r="AF856" i="56"/>
  <c r="AE856" i="56"/>
  <c r="AD856" i="56"/>
  <c r="AC856" i="56"/>
  <c r="AB856" i="56"/>
  <c r="AA856" i="56"/>
  <c r="Z856" i="56"/>
  <c r="Y856" i="56"/>
  <c r="X856" i="56"/>
  <c r="V856" i="56"/>
  <c r="T856" i="56"/>
  <c r="I856" i="56"/>
  <c r="G856" i="56" s="1"/>
  <c r="AG855" i="56"/>
  <c r="AF855" i="56"/>
  <c r="AE855" i="56"/>
  <c r="AD855" i="56"/>
  <c r="AB855" i="56"/>
  <c r="AA855" i="56"/>
  <c r="Z855" i="56"/>
  <c r="Y855" i="56"/>
  <c r="X855" i="56"/>
  <c r="V855" i="56"/>
  <c r="T855" i="56"/>
  <c r="AG854" i="56"/>
  <c r="AF854" i="56"/>
  <c r="AF847" i="56" s="1"/>
  <c r="AF846" i="56" s="1"/>
  <c r="AE854" i="56"/>
  <c r="AD854" i="56"/>
  <c r="AC854" i="56"/>
  <c r="AB854" i="56"/>
  <c r="AA854" i="56"/>
  <c r="Z854" i="56"/>
  <c r="Y854" i="56"/>
  <c r="X854" i="56"/>
  <c r="W854" i="56" s="1"/>
  <c r="V854" i="56"/>
  <c r="T854" i="56"/>
  <c r="I854" i="56"/>
  <c r="AG853" i="56"/>
  <c r="AF853" i="56"/>
  <c r="AE853" i="56"/>
  <c r="AD853" i="56"/>
  <c r="AC853" i="56"/>
  <c r="AB853" i="56"/>
  <c r="AA853" i="56"/>
  <c r="Z853" i="56"/>
  <c r="Y853" i="56"/>
  <c r="X853" i="56"/>
  <c r="W853" i="56" s="1"/>
  <c r="V853" i="56"/>
  <c r="T853" i="56"/>
  <c r="AG852" i="56"/>
  <c r="AF852" i="56"/>
  <c r="AE852" i="56"/>
  <c r="AD852" i="56"/>
  <c r="AC852" i="56"/>
  <c r="AB852" i="56"/>
  <c r="AA852" i="56"/>
  <c r="Z852" i="56"/>
  <c r="Y852" i="56"/>
  <c r="X852" i="56"/>
  <c r="V852" i="56"/>
  <c r="T852" i="56"/>
  <c r="I852" i="56"/>
  <c r="G852" i="56" s="1"/>
  <c r="AG851" i="56"/>
  <c r="AF851" i="56"/>
  <c r="AE851" i="56"/>
  <c r="AD851" i="56"/>
  <c r="AC851" i="56"/>
  <c r="AB851" i="56"/>
  <c r="AA851" i="56"/>
  <c r="Z851" i="56"/>
  <c r="Y851" i="56"/>
  <c r="X851" i="56"/>
  <c r="V851" i="56"/>
  <c r="T851" i="56"/>
  <c r="AG850" i="56"/>
  <c r="AG849" i="56" s="1"/>
  <c r="AF850" i="56"/>
  <c r="AE850" i="56"/>
  <c r="AD850" i="56"/>
  <c r="AC850" i="56"/>
  <c r="AC849" i="56" s="1"/>
  <c r="AB850" i="56"/>
  <c r="AA850" i="56"/>
  <c r="Z850" i="56"/>
  <c r="Y850" i="56"/>
  <c r="X850" i="56"/>
  <c r="V850" i="56"/>
  <c r="T850" i="56"/>
  <c r="T849" i="56" s="1"/>
  <c r="I850" i="56"/>
  <c r="AF849" i="56"/>
  <c r="AB849" i="56"/>
  <c r="Z849" i="56"/>
  <c r="X849" i="56"/>
  <c r="X847" i="56" s="1"/>
  <c r="X846" i="56" s="1"/>
  <c r="S849" i="56"/>
  <c r="R849" i="56"/>
  <c r="R847" i="56" s="1"/>
  <c r="Q849" i="56"/>
  <c r="Q847" i="56" s="1"/>
  <c r="Q846" i="56" s="1"/>
  <c r="P849" i="56"/>
  <c r="O849" i="56"/>
  <c r="N849" i="56"/>
  <c r="N847" i="56" s="1"/>
  <c r="M849" i="56"/>
  <c r="M847" i="56" s="1"/>
  <c r="M846" i="56" s="1"/>
  <c r="L849" i="56"/>
  <c r="K849" i="56"/>
  <c r="J849" i="56"/>
  <c r="J847" i="56" s="1"/>
  <c r="I849" i="56"/>
  <c r="H849" i="56"/>
  <c r="F849" i="56"/>
  <c r="F847" i="56" s="1"/>
  <c r="F846" i="56" s="1"/>
  <c r="E849" i="56"/>
  <c r="D849" i="56"/>
  <c r="C849" i="56"/>
  <c r="P847" i="56"/>
  <c r="P846" i="56" s="1"/>
  <c r="L847" i="56"/>
  <c r="L846" i="56" s="1"/>
  <c r="H847" i="56"/>
  <c r="H846" i="56" s="1"/>
  <c r="S845" i="56"/>
  <c r="S844" i="56"/>
  <c r="S843" i="56"/>
  <c r="AH842" i="56"/>
  <c r="AF842" i="56"/>
  <c r="AE842" i="56"/>
  <c r="AD842" i="56"/>
  <c r="AC842" i="56"/>
  <c r="AB842" i="56"/>
  <c r="AA842" i="56"/>
  <c r="Z842" i="56"/>
  <c r="Y842" i="56"/>
  <c r="X842" i="56"/>
  <c r="V842" i="56"/>
  <c r="T842" i="56"/>
  <c r="R842" i="56"/>
  <c r="Q842" i="56"/>
  <c r="P842" i="56"/>
  <c r="O842" i="56"/>
  <c r="N842" i="56"/>
  <c r="M842" i="56"/>
  <c r="L842" i="56"/>
  <c r="K842" i="56"/>
  <c r="J842" i="56"/>
  <c r="H842" i="56"/>
  <c r="F842" i="56"/>
  <c r="C842" i="56"/>
  <c r="S841" i="56"/>
  <c r="S840" i="56"/>
  <c r="S839" i="56"/>
  <c r="AH838" i="56"/>
  <c r="AF838" i="56"/>
  <c r="AE838" i="56"/>
  <c r="AD838" i="56"/>
  <c r="AC838" i="56"/>
  <c r="AB838" i="56"/>
  <c r="AA838" i="56"/>
  <c r="Z838" i="56"/>
  <c r="Y838" i="56"/>
  <c r="X838" i="56"/>
  <c r="V838" i="56"/>
  <c r="T838" i="56"/>
  <c r="R838" i="56"/>
  <c r="Q838" i="56"/>
  <c r="P838" i="56"/>
  <c r="O838" i="56"/>
  <c r="N838" i="56"/>
  <c r="M838" i="56"/>
  <c r="L838" i="56"/>
  <c r="K838" i="56"/>
  <c r="J838" i="56"/>
  <c r="H838" i="56"/>
  <c r="F838" i="56"/>
  <c r="C838" i="56"/>
  <c r="AG837" i="56"/>
  <c r="AF837" i="56"/>
  <c r="AE837" i="56"/>
  <c r="AD837" i="56"/>
  <c r="AC837" i="56"/>
  <c r="AB837" i="56"/>
  <c r="AA837" i="56"/>
  <c r="Z837" i="56"/>
  <c r="Y837" i="56"/>
  <c r="X837" i="56"/>
  <c r="V837" i="56"/>
  <c r="AH837" i="56" s="1"/>
  <c r="T837" i="56"/>
  <c r="I837" i="56"/>
  <c r="AG836" i="56"/>
  <c r="AF836" i="56"/>
  <c r="AE836" i="56"/>
  <c r="AD836" i="56"/>
  <c r="AC836" i="56"/>
  <c r="AB836" i="56"/>
  <c r="AA836" i="56"/>
  <c r="Z836" i="56"/>
  <c r="Y836" i="56"/>
  <c r="X836" i="56"/>
  <c r="V836" i="56"/>
  <c r="T836" i="56"/>
  <c r="I836" i="56"/>
  <c r="AG835" i="56"/>
  <c r="AF835" i="56"/>
  <c r="AE835" i="56"/>
  <c r="AD835" i="56"/>
  <c r="AC835" i="56"/>
  <c r="AB835" i="56"/>
  <c r="AA835" i="56"/>
  <c r="Z835" i="56"/>
  <c r="Y835" i="56"/>
  <c r="X835" i="56"/>
  <c r="V835" i="56"/>
  <c r="T835" i="56"/>
  <c r="I835" i="56"/>
  <c r="G835" i="56" s="1"/>
  <c r="AG834" i="56"/>
  <c r="AF834" i="56"/>
  <c r="AE834" i="56"/>
  <c r="AD834" i="56"/>
  <c r="AC834" i="56"/>
  <c r="AB834" i="56"/>
  <c r="AA834" i="56"/>
  <c r="Z834" i="56"/>
  <c r="Y834" i="56"/>
  <c r="X834" i="56"/>
  <c r="V834" i="56"/>
  <c r="T834" i="56"/>
  <c r="I834" i="56"/>
  <c r="AE833" i="56"/>
  <c r="S833" i="56"/>
  <c r="AG833" i="56" s="1"/>
  <c r="R833" i="56"/>
  <c r="AF833" i="56" s="1"/>
  <c r="Q833" i="56"/>
  <c r="P833" i="56"/>
  <c r="AD833" i="56" s="1"/>
  <c r="O833" i="56"/>
  <c r="AC833" i="56" s="1"/>
  <c r="N833" i="56"/>
  <c r="AB833" i="56" s="1"/>
  <c r="M833" i="56"/>
  <c r="AA833" i="56" s="1"/>
  <c r="L833" i="56"/>
  <c r="Z833" i="56" s="1"/>
  <c r="K833" i="56"/>
  <c r="Y833" i="56" s="1"/>
  <c r="J833" i="56"/>
  <c r="X833" i="56" s="1"/>
  <c r="H833" i="56"/>
  <c r="V833" i="56" s="1"/>
  <c r="F833" i="56"/>
  <c r="C833" i="56"/>
  <c r="AG832" i="56"/>
  <c r="AF832" i="56"/>
  <c r="AE832" i="56"/>
  <c r="AD832" i="56"/>
  <c r="AC832" i="56"/>
  <c r="AB832" i="56"/>
  <c r="AA832" i="56"/>
  <c r="Z832" i="56"/>
  <c r="Y832" i="56"/>
  <c r="X832" i="56"/>
  <c r="V832" i="56"/>
  <c r="T832" i="56"/>
  <c r="I832" i="56"/>
  <c r="AG831" i="56"/>
  <c r="AF831" i="56"/>
  <c r="AE831" i="56"/>
  <c r="AD831" i="56"/>
  <c r="AC831" i="56"/>
  <c r="AB831" i="56"/>
  <c r="AA831" i="56"/>
  <c r="Z831" i="56"/>
  <c r="Y831" i="56"/>
  <c r="X831" i="56"/>
  <c r="V831" i="56"/>
  <c r="T831" i="56"/>
  <c r="I831" i="56"/>
  <c r="G831" i="56" s="1"/>
  <c r="AG830" i="56"/>
  <c r="AF830" i="56"/>
  <c r="AE830" i="56"/>
  <c r="AD830" i="56"/>
  <c r="AC830" i="56"/>
  <c r="AB830" i="56"/>
  <c r="AA830" i="56"/>
  <c r="Z830" i="56"/>
  <c r="Y830" i="56"/>
  <c r="X830" i="56"/>
  <c r="V830" i="56"/>
  <c r="T830" i="56"/>
  <c r="I830" i="56"/>
  <c r="G830" i="56" s="1"/>
  <c r="AG829" i="56"/>
  <c r="AF829" i="56"/>
  <c r="AE829" i="56"/>
  <c r="AD829" i="56"/>
  <c r="AC829" i="56"/>
  <c r="AB829" i="56"/>
  <c r="AA829" i="56"/>
  <c r="Z829" i="56"/>
  <c r="Y829" i="56"/>
  <c r="X829" i="56"/>
  <c r="V829" i="56"/>
  <c r="T829" i="56"/>
  <c r="I829" i="56"/>
  <c r="AG828" i="56"/>
  <c r="AF828" i="56"/>
  <c r="AE828" i="56"/>
  <c r="AD828" i="56"/>
  <c r="AC828" i="56"/>
  <c r="AB828" i="56"/>
  <c r="AA828" i="56"/>
  <c r="Z828" i="56"/>
  <c r="Y828" i="56"/>
  <c r="X828" i="56"/>
  <c r="V828" i="56"/>
  <c r="T828" i="56"/>
  <c r="I828" i="56"/>
  <c r="G828" i="56"/>
  <c r="AG827" i="56"/>
  <c r="AF827" i="56"/>
  <c r="AE827" i="56"/>
  <c r="AD827" i="56"/>
  <c r="AC827" i="56"/>
  <c r="AB827" i="56"/>
  <c r="AA827" i="56"/>
  <c r="Z827" i="56"/>
  <c r="Y827" i="56"/>
  <c r="X827" i="56"/>
  <c r="V827" i="56"/>
  <c r="T827" i="56"/>
  <c r="I827" i="56"/>
  <c r="G827" i="56" s="1"/>
  <c r="AG826" i="56"/>
  <c r="AF826" i="56"/>
  <c r="AE826" i="56"/>
  <c r="AD826" i="56"/>
  <c r="AC826" i="56"/>
  <c r="AB826" i="56"/>
  <c r="AA826" i="56"/>
  <c r="Z826" i="56"/>
  <c r="Y826" i="56"/>
  <c r="X826" i="56"/>
  <c r="V826" i="56"/>
  <c r="T826" i="56"/>
  <c r="G826" i="56" s="1"/>
  <c r="I826" i="56"/>
  <c r="AG825" i="56"/>
  <c r="AF825" i="56"/>
  <c r="AE825" i="56"/>
  <c r="AD825" i="56"/>
  <c r="AB825" i="56"/>
  <c r="AA825" i="56"/>
  <c r="Z825" i="56"/>
  <c r="Y825" i="56"/>
  <c r="X825" i="56"/>
  <c r="W825" i="56" s="1"/>
  <c r="V825" i="56"/>
  <c r="T825" i="56"/>
  <c r="AG824" i="56"/>
  <c r="AF824" i="56"/>
  <c r="AE824" i="56"/>
  <c r="AD824" i="56"/>
  <c r="AC824" i="56"/>
  <c r="AB824" i="56"/>
  <c r="AA824" i="56"/>
  <c r="Z824" i="56"/>
  <c r="Y824" i="56"/>
  <c r="X824" i="56"/>
  <c r="W824" i="56" s="1"/>
  <c r="V824" i="56"/>
  <c r="T824" i="56"/>
  <c r="I824" i="56"/>
  <c r="AG823" i="56"/>
  <c r="AF823" i="56"/>
  <c r="AE823" i="56"/>
  <c r="AD823" i="56"/>
  <c r="AC823" i="56"/>
  <c r="AB823" i="56"/>
  <c r="AA823" i="56"/>
  <c r="Z823" i="56"/>
  <c r="Y823" i="56"/>
  <c r="X823" i="56"/>
  <c r="V823" i="56"/>
  <c r="T823" i="56"/>
  <c r="AG822" i="56"/>
  <c r="AF822" i="56"/>
  <c r="AE822" i="56"/>
  <c r="AD822" i="56"/>
  <c r="AC822" i="56"/>
  <c r="AB822" i="56"/>
  <c r="AA822" i="56"/>
  <c r="Z822" i="56"/>
  <c r="Y822" i="56"/>
  <c r="X822" i="56"/>
  <c r="V822" i="56"/>
  <c r="T822" i="56"/>
  <c r="I822" i="56"/>
  <c r="AG821" i="56"/>
  <c r="AF821" i="56"/>
  <c r="AE821" i="56"/>
  <c r="AD821" i="56"/>
  <c r="AC821" i="56"/>
  <c r="AB821" i="56"/>
  <c r="AA821" i="56"/>
  <c r="Z821" i="56"/>
  <c r="Y821" i="56"/>
  <c r="X821" i="56"/>
  <c r="W821" i="56"/>
  <c r="V821" i="56"/>
  <c r="T821" i="56"/>
  <c r="AG820" i="56"/>
  <c r="AF820" i="56"/>
  <c r="AF819" i="56" s="1"/>
  <c r="AE820" i="56"/>
  <c r="AD820" i="56"/>
  <c r="AD819" i="56" s="1"/>
  <c r="AC820" i="56"/>
  <c r="AB820" i="56"/>
  <c r="AA820" i="56"/>
  <c r="Z820" i="56"/>
  <c r="Z819" i="56" s="1"/>
  <c r="Y820" i="56"/>
  <c r="X820" i="56"/>
  <c r="V820" i="56"/>
  <c r="V819" i="56" s="1"/>
  <c r="T820" i="56"/>
  <c r="I820" i="56"/>
  <c r="AE819" i="56"/>
  <c r="AA819" i="56"/>
  <c r="T819" i="56"/>
  <c r="S819" i="56"/>
  <c r="R819" i="56"/>
  <c r="Q819" i="56"/>
  <c r="P819" i="56"/>
  <c r="P817" i="56" s="1"/>
  <c r="O819" i="56"/>
  <c r="N819" i="56"/>
  <c r="M819" i="56"/>
  <c r="L819" i="56"/>
  <c r="L817" i="56" s="1"/>
  <c r="K819" i="56"/>
  <c r="J819" i="56"/>
  <c r="H819" i="56"/>
  <c r="H817" i="56" s="1"/>
  <c r="F819" i="56"/>
  <c r="F817" i="56" s="1"/>
  <c r="F816" i="56" s="1"/>
  <c r="E819" i="56"/>
  <c r="D819" i="56"/>
  <c r="C819" i="56"/>
  <c r="R817" i="56"/>
  <c r="R816" i="56" s="1"/>
  <c r="Q817" i="56"/>
  <c r="N817" i="56"/>
  <c r="N816" i="56" s="1"/>
  <c r="M817" i="56"/>
  <c r="M816" i="56" s="1"/>
  <c r="J817" i="56"/>
  <c r="J816" i="56" s="1"/>
  <c r="AG815" i="56"/>
  <c r="W815" i="56" s="1"/>
  <c r="U815" i="56" s="1"/>
  <c r="S815" i="56"/>
  <c r="I815" i="56"/>
  <c r="G815" i="56" s="1"/>
  <c r="AG814" i="56"/>
  <c r="W814" i="56" s="1"/>
  <c r="U814" i="56" s="1"/>
  <c r="S814" i="56"/>
  <c r="I814" i="56"/>
  <c r="G814" i="56" s="1"/>
  <c r="S813" i="56"/>
  <c r="AG813" i="56" s="1"/>
  <c r="AH812" i="56"/>
  <c r="AF812" i="56"/>
  <c r="AE812" i="56"/>
  <c r="AD812" i="56"/>
  <c r="AC812" i="56"/>
  <c r="AB812" i="56"/>
  <c r="AA812" i="56"/>
  <c r="Z812" i="56"/>
  <c r="Y812" i="56"/>
  <c r="X812" i="56"/>
  <c r="V812" i="56"/>
  <c r="T812" i="56"/>
  <c r="R812" i="56"/>
  <c r="Q812" i="56"/>
  <c r="P812" i="56"/>
  <c r="O812" i="56"/>
  <c r="N812" i="56"/>
  <c r="M812" i="56"/>
  <c r="L812" i="56"/>
  <c r="K812" i="56"/>
  <c r="J812" i="56"/>
  <c r="H812" i="56"/>
  <c r="F812" i="56"/>
  <c r="C812" i="56"/>
  <c r="S811" i="56"/>
  <c r="AG810" i="56"/>
  <c r="S810" i="56"/>
  <c r="I810" i="56"/>
  <c r="G810" i="56" s="1"/>
  <c r="S809" i="56"/>
  <c r="AG809" i="56" s="1"/>
  <c r="W809" i="56" s="1"/>
  <c r="AH808" i="56"/>
  <c r="AF808" i="56"/>
  <c r="AE808" i="56"/>
  <c r="AD808" i="56"/>
  <c r="AC808" i="56"/>
  <c r="AB808" i="56"/>
  <c r="AA808" i="56"/>
  <c r="Z808" i="56"/>
  <c r="Y808" i="56"/>
  <c r="X808" i="56"/>
  <c r="V808" i="56"/>
  <c r="T808" i="56"/>
  <c r="R808" i="56"/>
  <c r="Q808" i="56"/>
  <c r="P808" i="56"/>
  <c r="O808" i="56"/>
  <c r="N808" i="56"/>
  <c r="M808" i="56"/>
  <c r="L808" i="56"/>
  <c r="K808" i="56"/>
  <c r="J808" i="56"/>
  <c r="H808" i="56"/>
  <c r="F808" i="56"/>
  <c r="C808" i="56"/>
  <c r="AG807" i="56"/>
  <c r="AF807" i="56"/>
  <c r="AE807" i="56"/>
  <c r="AD807" i="56"/>
  <c r="AC807" i="56"/>
  <c r="AB807" i="56"/>
  <c r="AA807" i="56"/>
  <c r="Z807" i="56"/>
  <c r="Y807" i="56"/>
  <c r="X807" i="56"/>
  <c r="V807" i="56"/>
  <c r="T807" i="56"/>
  <c r="I807" i="56"/>
  <c r="G807" i="56" s="1"/>
  <c r="AG806" i="56"/>
  <c r="AF806" i="56"/>
  <c r="AE806" i="56"/>
  <c r="AD806" i="56"/>
  <c r="AC806" i="56"/>
  <c r="AB806" i="56"/>
  <c r="AA806" i="56"/>
  <c r="Z806" i="56"/>
  <c r="Y806" i="56"/>
  <c r="X806" i="56"/>
  <c r="V806" i="56"/>
  <c r="T806" i="56"/>
  <c r="T803" i="56" s="1"/>
  <c r="I806" i="56"/>
  <c r="AG805" i="56"/>
  <c r="AF805" i="56"/>
  <c r="AE805" i="56"/>
  <c r="AD805" i="56"/>
  <c r="AC805" i="56"/>
  <c r="AB805" i="56"/>
  <c r="AA805" i="56"/>
  <c r="Z805" i="56"/>
  <c r="Y805" i="56"/>
  <c r="X805" i="56"/>
  <c r="V805" i="56"/>
  <c r="T805" i="56"/>
  <c r="I805" i="56"/>
  <c r="AG804" i="56"/>
  <c r="AF804" i="56"/>
  <c r="AE804" i="56"/>
  <c r="AD804" i="56"/>
  <c r="AC804" i="56"/>
  <c r="AB804" i="56"/>
  <c r="AA804" i="56"/>
  <c r="Z804" i="56"/>
  <c r="Y804" i="56"/>
  <c r="X804" i="56"/>
  <c r="W804" i="56" s="1"/>
  <c r="V804" i="56"/>
  <c r="T804" i="56"/>
  <c r="I804" i="56"/>
  <c r="G804" i="56"/>
  <c r="AG803" i="56"/>
  <c r="AB803" i="56"/>
  <c r="AB787" i="56" s="1"/>
  <c r="AB786" i="56" s="1"/>
  <c r="Y803" i="56"/>
  <c r="S803" i="56"/>
  <c r="R803" i="56"/>
  <c r="AF803" i="56" s="1"/>
  <c r="Q803" i="56"/>
  <c r="AE803" i="56" s="1"/>
  <c r="P803" i="56"/>
  <c r="AD803" i="56" s="1"/>
  <c r="O803" i="56"/>
  <c r="AC803" i="56" s="1"/>
  <c r="N803" i="56"/>
  <c r="M803" i="56"/>
  <c r="AA803" i="56" s="1"/>
  <c r="L803" i="56"/>
  <c r="Z803" i="56" s="1"/>
  <c r="K803" i="56"/>
  <c r="J803" i="56"/>
  <c r="X803" i="56" s="1"/>
  <c r="H803" i="56"/>
  <c r="V803" i="56" s="1"/>
  <c r="F803" i="56"/>
  <c r="C803" i="56"/>
  <c r="AG802" i="56"/>
  <c r="AF802" i="56"/>
  <c r="AE802" i="56"/>
  <c r="AD802" i="56"/>
  <c r="AC802" i="56"/>
  <c r="AB802" i="56"/>
  <c r="AA802" i="56"/>
  <c r="Z802" i="56"/>
  <c r="Y802" i="56"/>
  <c r="X802" i="56"/>
  <c r="V802" i="56"/>
  <c r="T802" i="56"/>
  <c r="I802" i="56"/>
  <c r="G802" i="56" s="1"/>
  <c r="AG801" i="56"/>
  <c r="AF801" i="56"/>
  <c r="AE801" i="56"/>
  <c r="AD801" i="56"/>
  <c r="AC801" i="56"/>
  <c r="AB801" i="56"/>
  <c r="AA801" i="56"/>
  <c r="Z801" i="56"/>
  <c r="Y801" i="56"/>
  <c r="X801" i="56"/>
  <c r="W801" i="56" s="1"/>
  <c r="V801" i="56"/>
  <c r="T801" i="56"/>
  <c r="I801" i="56"/>
  <c r="G801" i="56" s="1"/>
  <c r="AG800" i="56"/>
  <c r="AF800" i="56"/>
  <c r="AE800" i="56"/>
  <c r="AD800" i="56"/>
  <c r="AC800" i="56"/>
  <c r="AB800" i="56"/>
  <c r="AA800" i="56"/>
  <c r="Z800" i="56"/>
  <c r="Y800" i="56"/>
  <c r="X800" i="56"/>
  <c r="W800" i="56" s="1"/>
  <c r="V800" i="56"/>
  <c r="T800" i="56"/>
  <c r="I800" i="56"/>
  <c r="G800" i="56" s="1"/>
  <c r="AG799" i="56"/>
  <c r="AF799" i="56"/>
  <c r="AE799" i="56"/>
  <c r="AD799" i="56"/>
  <c r="AC799" i="56"/>
  <c r="AB799" i="56"/>
  <c r="AA799" i="56"/>
  <c r="Z799" i="56"/>
  <c r="Y799" i="56"/>
  <c r="X799" i="56"/>
  <c r="V799" i="56"/>
  <c r="T799" i="56"/>
  <c r="I799" i="56"/>
  <c r="G799" i="56" s="1"/>
  <c r="AG798" i="56"/>
  <c r="AF798" i="56"/>
  <c r="AE798" i="56"/>
  <c r="AD798" i="56"/>
  <c r="AC798" i="56"/>
  <c r="AB798" i="56"/>
  <c r="AA798" i="56"/>
  <c r="Z798" i="56"/>
  <c r="Y798" i="56"/>
  <c r="X798" i="56"/>
  <c r="V798" i="56"/>
  <c r="T798" i="56"/>
  <c r="I798" i="56"/>
  <c r="G798" i="56" s="1"/>
  <c r="AG797" i="56"/>
  <c r="AF797" i="56"/>
  <c r="AE797" i="56"/>
  <c r="AD797" i="56"/>
  <c r="AC797" i="56"/>
  <c r="AB797" i="56"/>
  <c r="AA797" i="56"/>
  <c r="Z797" i="56"/>
  <c r="Y797" i="56"/>
  <c r="X797" i="56"/>
  <c r="W797" i="56" s="1"/>
  <c r="V797" i="56"/>
  <c r="T797" i="56"/>
  <c r="I797" i="56"/>
  <c r="G797" i="56" s="1"/>
  <c r="AG796" i="56"/>
  <c r="AF796" i="56"/>
  <c r="AE796" i="56"/>
  <c r="AD796" i="56"/>
  <c r="AC796" i="56"/>
  <c r="AB796" i="56"/>
  <c r="AA796" i="56"/>
  <c r="Z796" i="56"/>
  <c r="Y796" i="56"/>
  <c r="X796" i="56"/>
  <c r="W796" i="56" s="1"/>
  <c r="V796" i="56"/>
  <c r="T796" i="56"/>
  <c r="I796" i="56"/>
  <c r="G796" i="56" s="1"/>
  <c r="AG795" i="56"/>
  <c r="AF795" i="56"/>
  <c r="AE795" i="56"/>
  <c r="AD795" i="56"/>
  <c r="AB795" i="56"/>
  <c r="AA795" i="56"/>
  <c r="Z795" i="56"/>
  <c r="Y795" i="56"/>
  <c r="X795" i="56"/>
  <c r="V795" i="56"/>
  <c r="T795" i="56"/>
  <c r="AG794" i="56"/>
  <c r="AF794" i="56"/>
  <c r="AE794" i="56"/>
  <c r="AD794" i="56"/>
  <c r="AC794" i="56"/>
  <c r="AB794" i="56"/>
  <c r="AA794" i="56"/>
  <c r="Z794" i="56"/>
  <c r="Y794" i="56"/>
  <c r="X794" i="56"/>
  <c r="V794" i="56"/>
  <c r="T794" i="56"/>
  <c r="G794" i="56" s="1"/>
  <c r="I794" i="56"/>
  <c r="AG793" i="56"/>
  <c r="AF793" i="56"/>
  <c r="AE793" i="56"/>
  <c r="AD793" i="56"/>
  <c r="AC793" i="56"/>
  <c r="AB793" i="56"/>
  <c r="AA793" i="56"/>
  <c r="Z793" i="56"/>
  <c r="Y793" i="56"/>
  <c r="X793" i="56"/>
  <c r="W793" i="56" s="1"/>
  <c r="V793" i="56"/>
  <c r="T793" i="56"/>
  <c r="AG792" i="56"/>
  <c r="AF792" i="56"/>
  <c r="AF789" i="56" s="1"/>
  <c r="AF787" i="56" s="1"/>
  <c r="AF786" i="56" s="1"/>
  <c r="AE792" i="56"/>
  <c r="AD792" i="56"/>
  <c r="AC792" i="56"/>
  <c r="AB792" i="56"/>
  <c r="AB789" i="56" s="1"/>
  <c r="AA792" i="56"/>
  <c r="Z792" i="56"/>
  <c r="Y792" i="56"/>
  <c r="X792" i="56"/>
  <c r="X789" i="56" s="1"/>
  <c r="X787" i="56" s="1"/>
  <c r="X786" i="56" s="1"/>
  <c r="V792" i="56"/>
  <c r="T792" i="56"/>
  <c r="I792" i="56"/>
  <c r="G792" i="56"/>
  <c r="AG791" i="56"/>
  <c r="AF791" i="56"/>
  <c r="AE791" i="56"/>
  <c r="AD791" i="56"/>
  <c r="AC791" i="56"/>
  <c r="AB791" i="56"/>
  <c r="AA791" i="56"/>
  <c r="Z791" i="56"/>
  <c r="Y791" i="56"/>
  <c r="X791" i="56"/>
  <c r="W791" i="56" s="1"/>
  <c r="V791" i="56"/>
  <c r="T791" i="56"/>
  <c r="AG790" i="56"/>
  <c r="AG789" i="56" s="1"/>
  <c r="AG787" i="56" s="1"/>
  <c r="AF790" i="56"/>
  <c r="AE790" i="56"/>
  <c r="AD790" i="56"/>
  <c r="AC790" i="56"/>
  <c r="AC789" i="56" s="1"/>
  <c r="AC787" i="56" s="1"/>
  <c r="AC786" i="56" s="1"/>
  <c r="AB790" i="56"/>
  <c r="AA790" i="56"/>
  <c r="Z790" i="56"/>
  <c r="Y790" i="56"/>
  <c r="Y789" i="56" s="1"/>
  <c r="Y787" i="56" s="1"/>
  <c r="Y786" i="56" s="1"/>
  <c r="X790" i="56"/>
  <c r="V790" i="56"/>
  <c r="T790" i="56"/>
  <c r="I790" i="56"/>
  <c r="AE789" i="56"/>
  <c r="AA789" i="56"/>
  <c r="T789" i="56"/>
  <c r="T787" i="56" s="1"/>
  <c r="T786" i="56" s="1"/>
  <c r="S789" i="56"/>
  <c r="R789" i="56"/>
  <c r="R787" i="56" s="1"/>
  <c r="R786" i="56" s="1"/>
  <c r="Q789" i="56"/>
  <c r="Q787" i="56" s="1"/>
  <c r="Q786" i="56" s="1"/>
  <c r="P789" i="56"/>
  <c r="P787" i="56" s="1"/>
  <c r="P786" i="56" s="1"/>
  <c r="O789" i="56"/>
  <c r="N789" i="56"/>
  <c r="N787" i="56" s="1"/>
  <c r="N786" i="56" s="1"/>
  <c r="M789" i="56"/>
  <c r="M787" i="56" s="1"/>
  <c r="M786" i="56" s="1"/>
  <c r="L789" i="56"/>
  <c r="L787" i="56" s="1"/>
  <c r="L786" i="56" s="1"/>
  <c r="K789" i="56"/>
  <c r="J789" i="56"/>
  <c r="J787" i="56" s="1"/>
  <c r="J786" i="56" s="1"/>
  <c r="H789" i="56"/>
  <c r="H787" i="56" s="1"/>
  <c r="H786" i="56" s="1"/>
  <c r="F789" i="56"/>
  <c r="C789" i="56"/>
  <c r="S787" i="56"/>
  <c r="O787" i="56"/>
  <c r="K787" i="56"/>
  <c r="F787" i="56"/>
  <c r="O786" i="56"/>
  <c r="K786" i="56"/>
  <c r="F786" i="56"/>
  <c r="S785" i="56"/>
  <c r="AG785" i="56" s="1"/>
  <c r="W784" i="56"/>
  <c r="U784" i="56" s="1"/>
  <c r="S784" i="56"/>
  <c r="AG784" i="56" s="1"/>
  <c r="S783" i="56"/>
  <c r="AH782" i="56"/>
  <c r="AF782" i="56"/>
  <c r="AE782" i="56"/>
  <c r="AD782" i="56"/>
  <c r="AC782" i="56"/>
  <c r="AB782" i="56"/>
  <c r="AA782" i="56"/>
  <c r="Z782" i="56"/>
  <c r="Y782" i="56"/>
  <c r="X782" i="56"/>
  <c r="V782" i="56"/>
  <c r="T782" i="56"/>
  <c r="R782" i="56"/>
  <c r="Q782" i="56"/>
  <c r="P782" i="56"/>
  <c r="O782" i="56"/>
  <c r="N782" i="56"/>
  <c r="M782" i="56"/>
  <c r="L782" i="56"/>
  <c r="K782" i="56"/>
  <c r="J782" i="56"/>
  <c r="H782" i="56"/>
  <c r="F782" i="56"/>
  <c r="C782" i="56"/>
  <c r="S781" i="56"/>
  <c r="AG781" i="56" s="1"/>
  <c r="U780" i="56"/>
  <c r="S780" i="56"/>
  <c r="AG780" i="56" s="1"/>
  <c r="W780" i="56" s="1"/>
  <c r="W779" i="56"/>
  <c r="S779" i="56"/>
  <c r="AG779" i="56" s="1"/>
  <c r="AH778" i="56"/>
  <c r="AF778" i="56"/>
  <c r="AE778" i="56"/>
  <c r="AD778" i="56"/>
  <c r="AC778" i="56"/>
  <c r="AB778" i="56"/>
  <c r="AA778" i="56"/>
  <c r="Z778" i="56"/>
  <c r="Y778" i="56"/>
  <c r="X778" i="56"/>
  <c r="V778" i="56"/>
  <c r="T778" i="56"/>
  <c r="S778" i="56"/>
  <c r="R778" i="56"/>
  <c r="Q778" i="56"/>
  <c r="P778" i="56"/>
  <c r="O778" i="56"/>
  <c r="N778" i="56"/>
  <c r="M778" i="56"/>
  <c r="L778" i="56"/>
  <c r="K778" i="56"/>
  <c r="J778" i="56"/>
  <c r="H778" i="56"/>
  <c r="F778" i="56"/>
  <c r="C778" i="56"/>
  <c r="AG777" i="56"/>
  <c r="AF777" i="56"/>
  <c r="AE777" i="56"/>
  <c r="AD777" i="56"/>
  <c r="AC777" i="56"/>
  <c r="AB777" i="56"/>
  <c r="AA777" i="56"/>
  <c r="Z777" i="56"/>
  <c r="Y777" i="56"/>
  <c r="X777" i="56"/>
  <c r="V777" i="56"/>
  <c r="T777" i="56"/>
  <c r="I777" i="56"/>
  <c r="AG776" i="56"/>
  <c r="AF776" i="56"/>
  <c r="AE776" i="56"/>
  <c r="AD776" i="56"/>
  <c r="AC776" i="56"/>
  <c r="AB776" i="56"/>
  <c r="AA776" i="56"/>
  <c r="Z776" i="56"/>
  <c r="Y776" i="56"/>
  <c r="X776" i="56"/>
  <c r="W776" i="56"/>
  <c r="I776" i="56"/>
  <c r="H776" i="56"/>
  <c r="V776" i="56" s="1"/>
  <c r="AG775" i="56"/>
  <c r="AF775" i="56"/>
  <c r="AE775" i="56"/>
  <c r="AD775" i="56"/>
  <c r="AC775" i="56"/>
  <c r="AB775" i="56"/>
  <c r="AA775" i="56"/>
  <c r="Z775" i="56"/>
  <c r="Y775" i="56"/>
  <c r="W775" i="56" s="1"/>
  <c r="X775" i="56"/>
  <c r="I775" i="56"/>
  <c r="H775" i="56"/>
  <c r="V775" i="56" s="1"/>
  <c r="AG774" i="56"/>
  <c r="AF774" i="56"/>
  <c r="AE774" i="56"/>
  <c r="AD774" i="56"/>
  <c r="AC774" i="56"/>
  <c r="AB774" i="56"/>
  <c r="AA774" i="56"/>
  <c r="Z774" i="56"/>
  <c r="Y774" i="56"/>
  <c r="W774" i="56" s="1"/>
  <c r="X774" i="56"/>
  <c r="I774" i="56"/>
  <c r="I769" i="56" s="1"/>
  <c r="G769" i="56" s="1"/>
  <c r="H774" i="56"/>
  <c r="V774" i="56" s="1"/>
  <c r="AG773" i="56"/>
  <c r="AF773" i="56"/>
  <c r="AE773" i="56"/>
  <c r="AD773" i="56"/>
  <c r="AC773" i="56"/>
  <c r="AB773" i="56"/>
  <c r="AA773" i="56"/>
  <c r="Z773" i="56"/>
  <c r="Y773" i="56"/>
  <c r="X773" i="56"/>
  <c r="W773" i="56"/>
  <c r="T773" i="56"/>
  <c r="I773" i="56"/>
  <c r="H773" i="56"/>
  <c r="V773" i="56" s="1"/>
  <c r="AG772" i="56"/>
  <c r="AF772" i="56"/>
  <c r="AE772" i="56"/>
  <c r="AD772" i="56"/>
  <c r="AC772" i="56"/>
  <c r="AB772" i="56"/>
  <c r="AA772" i="56"/>
  <c r="Z772" i="56"/>
  <c r="Y772" i="56"/>
  <c r="W772" i="56" s="1"/>
  <c r="X772" i="56"/>
  <c r="I772" i="56"/>
  <c r="H772" i="56"/>
  <c r="V772" i="56" s="1"/>
  <c r="AG771" i="56"/>
  <c r="AF771" i="56"/>
  <c r="AE771" i="56"/>
  <c r="AD771" i="56"/>
  <c r="AC771" i="56"/>
  <c r="AB771" i="56"/>
  <c r="AA771" i="56"/>
  <c r="Z771" i="56"/>
  <c r="Y771" i="56"/>
  <c r="W771" i="56" s="1"/>
  <c r="X771" i="56"/>
  <c r="I771" i="56"/>
  <c r="H771" i="56"/>
  <c r="V771" i="56" s="1"/>
  <c r="AG770" i="56"/>
  <c r="AF770" i="56"/>
  <c r="AE770" i="56"/>
  <c r="AD770" i="56"/>
  <c r="AC770" i="56"/>
  <c r="AB770" i="56"/>
  <c r="AA770" i="56"/>
  <c r="Z770" i="56"/>
  <c r="Y770" i="56"/>
  <c r="X770" i="56"/>
  <c r="W770" i="56"/>
  <c r="I770" i="56"/>
  <c r="H770" i="56"/>
  <c r="AG769" i="56"/>
  <c r="AF769" i="56"/>
  <c r="AE769" i="56"/>
  <c r="AD769" i="56"/>
  <c r="AC769" i="56"/>
  <c r="AB769" i="56"/>
  <c r="AA769" i="56"/>
  <c r="Z769" i="56"/>
  <c r="Y769" i="56"/>
  <c r="X769" i="56"/>
  <c r="W769" i="56" s="1"/>
  <c r="V769" i="56"/>
  <c r="T769" i="56"/>
  <c r="AG768" i="56"/>
  <c r="AF768" i="56"/>
  <c r="AE768" i="56"/>
  <c r="AD768" i="56"/>
  <c r="AC768" i="56"/>
  <c r="AB768" i="56"/>
  <c r="AA768" i="56"/>
  <c r="Z768" i="56"/>
  <c r="Y768" i="56"/>
  <c r="X768" i="56"/>
  <c r="W768" i="56" s="1"/>
  <c r="V768" i="56"/>
  <c r="I768" i="56"/>
  <c r="H768" i="56"/>
  <c r="AG767" i="56"/>
  <c r="AF767" i="56"/>
  <c r="AE767" i="56"/>
  <c r="AD767" i="56"/>
  <c r="AC767" i="56"/>
  <c r="AB767" i="56"/>
  <c r="AA767" i="56"/>
  <c r="Z767" i="56"/>
  <c r="Y767" i="56"/>
  <c r="X767" i="56"/>
  <c r="W767" i="56"/>
  <c r="I767" i="56"/>
  <c r="H767" i="56"/>
  <c r="V767" i="56" s="1"/>
  <c r="AG766" i="56"/>
  <c r="AF766" i="56"/>
  <c r="AE766" i="56"/>
  <c r="AD766" i="56"/>
  <c r="AC766" i="56"/>
  <c r="AB766" i="56"/>
  <c r="AA766" i="56"/>
  <c r="Z766" i="56"/>
  <c r="Y766" i="56"/>
  <c r="X766" i="56"/>
  <c r="V766" i="56"/>
  <c r="I766" i="56"/>
  <c r="H766" i="56"/>
  <c r="AG765" i="56"/>
  <c r="AF765" i="56"/>
  <c r="AE765" i="56"/>
  <c r="AD765" i="56"/>
  <c r="AC765" i="56"/>
  <c r="AB765" i="56"/>
  <c r="AA765" i="56"/>
  <c r="Z765" i="56"/>
  <c r="Y765" i="56"/>
  <c r="X765" i="56"/>
  <c r="W765" i="56"/>
  <c r="I765" i="56"/>
  <c r="H765" i="56"/>
  <c r="V765" i="56" s="1"/>
  <c r="AG764" i="56"/>
  <c r="AF764" i="56"/>
  <c r="AE764" i="56"/>
  <c r="AD764" i="56"/>
  <c r="AC764" i="56"/>
  <c r="AB764" i="56"/>
  <c r="AA764" i="56"/>
  <c r="Z764" i="56"/>
  <c r="Y764" i="56"/>
  <c r="X764" i="56"/>
  <c r="W764" i="56" s="1"/>
  <c r="V764" i="56"/>
  <c r="I764" i="56"/>
  <c r="H764" i="56"/>
  <c r="T764" i="56" s="1"/>
  <c r="AG763" i="56"/>
  <c r="AF763" i="56"/>
  <c r="AE763" i="56"/>
  <c r="AD763" i="56"/>
  <c r="AC763" i="56"/>
  <c r="AB763" i="56"/>
  <c r="AA763" i="56"/>
  <c r="Z763" i="56"/>
  <c r="Y763" i="56"/>
  <c r="X763" i="56"/>
  <c r="V763" i="56"/>
  <c r="T763" i="56"/>
  <c r="I763" i="56"/>
  <c r="G763" i="56" s="1"/>
  <c r="AG762" i="56"/>
  <c r="AF762" i="56"/>
  <c r="AE762" i="56"/>
  <c r="AD762" i="56"/>
  <c r="AC762" i="56"/>
  <c r="AB762" i="56"/>
  <c r="AA762" i="56"/>
  <c r="Z762" i="56"/>
  <c r="AH762" i="56" s="1"/>
  <c r="Y762" i="56"/>
  <c r="X762" i="56"/>
  <c r="V762" i="56"/>
  <c r="T762" i="56"/>
  <c r="G762" i="56" s="1"/>
  <c r="I762" i="56"/>
  <c r="AG761" i="56"/>
  <c r="AF761" i="56"/>
  <c r="AE761" i="56"/>
  <c r="AD761" i="56"/>
  <c r="AC761" i="56"/>
  <c r="AB761" i="56"/>
  <c r="AA761" i="56"/>
  <c r="Z761" i="56"/>
  <c r="Y761" i="56"/>
  <c r="X761" i="56"/>
  <c r="V761" i="56"/>
  <c r="T761" i="56"/>
  <c r="I761" i="56"/>
  <c r="AG760" i="56"/>
  <c r="AF760" i="56"/>
  <c r="AE760" i="56"/>
  <c r="AD760" i="56"/>
  <c r="AC760" i="56"/>
  <c r="AB760" i="56"/>
  <c r="AA760" i="56"/>
  <c r="Z760" i="56"/>
  <c r="Y760" i="56"/>
  <c r="X760" i="56"/>
  <c r="V760" i="56"/>
  <c r="T760" i="56"/>
  <c r="I760" i="56"/>
  <c r="G760" i="56"/>
  <c r="AG759" i="56"/>
  <c r="AF759" i="56"/>
  <c r="AE759" i="56"/>
  <c r="AD759" i="56"/>
  <c r="AC759" i="56"/>
  <c r="AB759" i="56"/>
  <c r="AA759" i="56"/>
  <c r="Z759" i="56"/>
  <c r="Y759" i="56"/>
  <c r="X759" i="56"/>
  <c r="V759" i="56"/>
  <c r="T759" i="56"/>
  <c r="G759" i="56" s="1"/>
  <c r="I759" i="56"/>
  <c r="AG758" i="56"/>
  <c r="AF758" i="56"/>
  <c r="AE758" i="56"/>
  <c r="AD758" i="56"/>
  <c r="AC758" i="56"/>
  <c r="AB758" i="56"/>
  <c r="AA758" i="56"/>
  <c r="Z758" i="56"/>
  <c r="Y758" i="56"/>
  <c r="X758" i="56"/>
  <c r="V758" i="56"/>
  <c r="T758" i="56"/>
  <c r="I758" i="56"/>
  <c r="AG757" i="56"/>
  <c r="AF757" i="56"/>
  <c r="AE757" i="56"/>
  <c r="AD757" i="56"/>
  <c r="AC757" i="56"/>
  <c r="AB757" i="56"/>
  <c r="AA757" i="56"/>
  <c r="Z757" i="56"/>
  <c r="Y757" i="56"/>
  <c r="X757" i="56"/>
  <c r="V757" i="56"/>
  <c r="T757" i="56"/>
  <c r="I757" i="56"/>
  <c r="G757" i="56" s="1"/>
  <c r="AG756" i="56"/>
  <c r="AF756" i="56"/>
  <c r="AE756" i="56"/>
  <c r="AD756" i="56"/>
  <c r="AC756" i="56"/>
  <c r="AB756" i="56"/>
  <c r="AA756" i="56"/>
  <c r="Z756" i="56"/>
  <c r="Y756" i="56"/>
  <c r="X756" i="56"/>
  <c r="V756" i="56"/>
  <c r="T756" i="56"/>
  <c r="I756" i="56"/>
  <c r="G756" i="56" s="1"/>
  <c r="AG755" i="56"/>
  <c r="AF755" i="56"/>
  <c r="AE755" i="56"/>
  <c r="AD755" i="56"/>
  <c r="AC755" i="56"/>
  <c r="AB755" i="56"/>
  <c r="AA755" i="56"/>
  <c r="Z755" i="56"/>
  <c r="Y755" i="56"/>
  <c r="X755" i="56"/>
  <c r="W755" i="56" s="1"/>
  <c r="V755" i="56"/>
  <c r="T755" i="56"/>
  <c r="G755" i="56" s="1"/>
  <c r="I755" i="56"/>
  <c r="AG754" i="56"/>
  <c r="AF754" i="56"/>
  <c r="AE754" i="56"/>
  <c r="AD754" i="56"/>
  <c r="AC754" i="56"/>
  <c r="AB754" i="56"/>
  <c r="AA754" i="56"/>
  <c r="Z754" i="56"/>
  <c r="Y754" i="56"/>
  <c r="X754" i="56"/>
  <c r="V754" i="56"/>
  <c r="T754" i="56"/>
  <c r="I754" i="56"/>
  <c r="G754" i="56" s="1"/>
  <c r="AG753" i="56"/>
  <c r="AF753" i="56"/>
  <c r="AE753" i="56"/>
  <c r="AD753" i="56"/>
  <c r="AC753" i="56"/>
  <c r="AB753" i="56"/>
  <c r="AA753" i="56"/>
  <c r="Z753" i="56"/>
  <c r="W753" i="56" s="1"/>
  <c r="Y753" i="56"/>
  <c r="X753" i="56"/>
  <c r="V753" i="56"/>
  <c r="T753" i="56"/>
  <c r="I753" i="56"/>
  <c r="AG752" i="56"/>
  <c r="AF752" i="56"/>
  <c r="AE752" i="56"/>
  <c r="AD752" i="56"/>
  <c r="AC752" i="56"/>
  <c r="AB752" i="56"/>
  <c r="AA752" i="56"/>
  <c r="Z752" i="56"/>
  <c r="Y752" i="56"/>
  <c r="X752" i="56"/>
  <c r="V752" i="56"/>
  <c r="T752" i="56"/>
  <c r="I752" i="56"/>
  <c r="G752" i="56" s="1"/>
  <c r="S751" i="56"/>
  <c r="R751" i="56"/>
  <c r="Q751" i="56"/>
  <c r="P751" i="56"/>
  <c r="O751" i="56"/>
  <c r="N751" i="56"/>
  <c r="M751" i="56"/>
  <c r="M735" i="56" s="1"/>
  <c r="L751" i="56"/>
  <c r="K751" i="56"/>
  <c r="J751" i="56"/>
  <c r="J735" i="56" s="1"/>
  <c r="J734" i="56" s="1"/>
  <c r="H751" i="56"/>
  <c r="F751" i="56"/>
  <c r="C751" i="56"/>
  <c r="AG750" i="56"/>
  <c r="AF750" i="56"/>
  <c r="AE750" i="56"/>
  <c r="AD750" i="56"/>
  <c r="AC750" i="56"/>
  <c r="AB750" i="56"/>
  <c r="AA750" i="56"/>
  <c r="Z750" i="56"/>
  <c r="Y750" i="56"/>
  <c r="X750" i="56"/>
  <c r="V750" i="56"/>
  <c r="T750" i="56"/>
  <c r="I750" i="56"/>
  <c r="AG749" i="56"/>
  <c r="AF749" i="56"/>
  <c r="AE749" i="56"/>
  <c r="AD749" i="56"/>
  <c r="AC749" i="56"/>
  <c r="AB749" i="56"/>
  <c r="AA749" i="56"/>
  <c r="Z749" i="56"/>
  <c r="W749" i="56" s="1"/>
  <c r="Y749" i="56"/>
  <c r="X749" i="56"/>
  <c r="V749" i="56"/>
  <c r="T749" i="56"/>
  <c r="G749" i="56" s="1"/>
  <c r="AG748" i="56"/>
  <c r="AF748" i="56"/>
  <c r="AE748" i="56"/>
  <c r="AD748" i="56"/>
  <c r="AC748" i="56"/>
  <c r="AB748" i="56"/>
  <c r="AA748" i="56"/>
  <c r="Z748" i="56"/>
  <c r="Y748" i="56"/>
  <c r="X748" i="56"/>
  <c r="V748" i="56"/>
  <c r="T748" i="56"/>
  <c r="I748" i="56"/>
  <c r="G748" i="56" s="1"/>
  <c r="AG747" i="56"/>
  <c r="AF747" i="56"/>
  <c r="AE747" i="56"/>
  <c r="AD747" i="56"/>
  <c r="AC747" i="56"/>
  <c r="AB747" i="56"/>
  <c r="AA747" i="56"/>
  <c r="Z747" i="56"/>
  <c r="Y747" i="56"/>
  <c r="X747" i="56"/>
  <c r="V747" i="56"/>
  <c r="T747" i="56"/>
  <c r="I747" i="56"/>
  <c r="AG746" i="56"/>
  <c r="AF746" i="56"/>
  <c r="AE746" i="56"/>
  <c r="AD746" i="56"/>
  <c r="AC746" i="56"/>
  <c r="AB746" i="56"/>
  <c r="AA746" i="56"/>
  <c r="Z746" i="56"/>
  <c r="Y746" i="56"/>
  <c r="X746" i="56"/>
  <c r="V746" i="56"/>
  <c r="AH746" i="56" s="1"/>
  <c r="T746" i="56"/>
  <c r="I746" i="56"/>
  <c r="AG745" i="56"/>
  <c r="AF745" i="56"/>
  <c r="AE745" i="56"/>
  <c r="AD745" i="56"/>
  <c r="AC745" i="56"/>
  <c r="AB745" i="56"/>
  <c r="AA745" i="56"/>
  <c r="Z745" i="56"/>
  <c r="Y745" i="56"/>
  <c r="X745" i="56"/>
  <c r="V745" i="56"/>
  <c r="T745" i="56"/>
  <c r="I745" i="56"/>
  <c r="G745" i="56"/>
  <c r="AG744" i="56"/>
  <c r="AF744" i="56"/>
  <c r="AE744" i="56"/>
  <c r="AD744" i="56"/>
  <c r="AC744" i="56"/>
  <c r="AB744" i="56"/>
  <c r="AA744" i="56"/>
  <c r="Z744" i="56"/>
  <c r="Y744" i="56"/>
  <c r="X744" i="56"/>
  <c r="V744" i="56"/>
  <c r="T744" i="56"/>
  <c r="I744" i="56"/>
  <c r="AG743" i="56"/>
  <c r="AF743" i="56"/>
  <c r="AE743" i="56"/>
  <c r="AD743" i="56"/>
  <c r="AB743" i="56"/>
  <c r="AA743" i="56"/>
  <c r="Z743" i="56"/>
  <c r="Y743" i="56"/>
  <c r="X743" i="56"/>
  <c r="V743" i="56"/>
  <c r="T743" i="56"/>
  <c r="AG742" i="56"/>
  <c r="AF742" i="56"/>
  <c r="AE742" i="56"/>
  <c r="AD742" i="56"/>
  <c r="AC742" i="56"/>
  <c r="AB742" i="56"/>
  <c r="AA742" i="56"/>
  <c r="Z742" i="56"/>
  <c r="Y742" i="56"/>
  <c r="X742" i="56"/>
  <c r="V742" i="56"/>
  <c r="T742" i="56"/>
  <c r="I742" i="56"/>
  <c r="AG741" i="56"/>
  <c r="AF741" i="56"/>
  <c r="AE741" i="56"/>
  <c r="AD741" i="56"/>
  <c r="AC741" i="56"/>
  <c r="AB741" i="56"/>
  <c r="AA741" i="56"/>
  <c r="Z741" i="56"/>
  <c r="Y741" i="56"/>
  <c r="X741" i="56"/>
  <c r="V741" i="56"/>
  <c r="T741" i="56"/>
  <c r="I741" i="56"/>
  <c r="AG740" i="56"/>
  <c r="AG737" i="56" s="1"/>
  <c r="AF740" i="56"/>
  <c r="AF737" i="56" s="1"/>
  <c r="AE740" i="56"/>
  <c r="AD740" i="56"/>
  <c r="AC740" i="56"/>
  <c r="AC737" i="56" s="1"/>
  <c r="AB740" i="56"/>
  <c r="AB737" i="56" s="1"/>
  <c r="AA740" i="56"/>
  <c r="Z740" i="56"/>
  <c r="Y740" i="56"/>
  <c r="Y737" i="56" s="1"/>
  <c r="X740" i="56"/>
  <c r="V740" i="56"/>
  <c r="T740" i="56"/>
  <c r="T737" i="56" s="1"/>
  <c r="I740" i="56"/>
  <c r="AG739" i="56"/>
  <c r="AF739" i="56"/>
  <c r="AE739" i="56"/>
  <c r="AD739" i="56"/>
  <c r="AC739" i="56"/>
  <c r="AB739" i="56"/>
  <c r="AA739" i="56"/>
  <c r="Z739" i="56"/>
  <c r="Y739" i="56"/>
  <c r="X739" i="56"/>
  <c r="V739" i="56"/>
  <c r="T739" i="56"/>
  <c r="I738" i="56"/>
  <c r="G738" i="56"/>
  <c r="AE737" i="56"/>
  <c r="AD737" i="56"/>
  <c r="AA737" i="56"/>
  <c r="Z737" i="56"/>
  <c r="V737" i="56"/>
  <c r="S737" i="56"/>
  <c r="S735" i="56" s="1"/>
  <c r="R737" i="56"/>
  <c r="Q737" i="56"/>
  <c r="P737" i="56"/>
  <c r="O737" i="56"/>
  <c r="O735" i="56" s="1"/>
  <c r="O734" i="56" s="1"/>
  <c r="N737" i="56"/>
  <c r="M737" i="56"/>
  <c r="L737" i="56"/>
  <c r="K737" i="56"/>
  <c r="J737" i="56"/>
  <c r="H737" i="56"/>
  <c r="F737" i="56"/>
  <c r="F735" i="56" s="1"/>
  <c r="F734" i="56" s="1"/>
  <c r="C737" i="56"/>
  <c r="C735" i="56" s="1"/>
  <c r="R735" i="56"/>
  <c r="R734" i="56" s="1"/>
  <c r="Q735" i="56"/>
  <c r="Q734" i="56"/>
  <c r="M734" i="56"/>
  <c r="S733" i="56"/>
  <c r="AG733" i="56" s="1"/>
  <c r="W733" i="56" s="1"/>
  <c r="U733" i="56" s="1"/>
  <c r="S732" i="56"/>
  <c r="AG732" i="56" s="1"/>
  <c r="W732" i="56" s="1"/>
  <c r="U732" i="56" s="1"/>
  <c r="S731" i="56"/>
  <c r="AH730" i="56"/>
  <c r="AF730" i="56"/>
  <c r="AE730" i="56"/>
  <c r="AD730" i="56"/>
  <c r="AC730" i="56"/>
  <c r="AB730" i="56"/>
  <c r="AA730" i="56"/>
  <c r="Z730" i="56"/>
  <c r="Y730" i="56"/>
  <c r="X730" i="56"/>
  <c r="V730" i="56"/>
  <c r="T730" i="56"/>
  <c r="R730" i="56"/>
  <c r="Q730" i="56"/>
  <c r="P730" i="56"/>
  <c r="O730" i="56"/>
  <c r="N730" i="56"/>
  <c r="M730" i="56"/>
  <c r="L730" i="56"/>
  <c r="K730" i="56"/>
  <c r="J730" i="56"/>
  <c r="H730" i="56"/>
  <c r="F730" i="56"/>
  <c r="C730" i="56"/>
  <c r="S729" i="56"/>
  <c r="AG729" i="56" s="1"/>
  <c r="W729" i="56" s="1"/>
  <c r="U729" i="56" s="1"/>
  <c r="S728" i="56"/>
  <c r="AG728" i="56" s="1"/>
  <c r="W728" i="56" s="1"/>
  <c r="U728" i="56" s="1"/>
  <c r="S727" i="56"/>
  <c r="AH726" i="56"/>
  <c r="AF726" i="56"/>
  <c r="AE726" i="56"/>
  <c r="AD726" i="56"/>
  <c r="AC726" i="56"/>
  <c r="AB726" i="56"/>
  <c r="AA726" i="56"/>
  <c r="Z726" i="56"/>
  <c r="Y726" i="56"/>
  <c r="X726" i="56"/>
  <c r="V726" i="56"/>
  <c r="T726" i="56"/>
  <c r="R726" i="56"/>
  <c r="Q726" i="56"/>
  <c r="P726" i="56"/>
  <c r="O726" i="56"/>
  <c r="N726" i="56"/>
  <c r="M726" i="56"/>
  <c r="L726" i="56"/>
  <c r="L704" i="56" s="1"/>
  <c r="K726" i="56"/>
  <c r="J726" i="56"/>
  <c r="H726" i="56"/>
  <c r="F726" i="56"/>
  <c r="C726" i="56"/>
  <c r="AG725" i="56"/>
  <c r="AF725" i="56"/>
  <c r="AE725" i="56"/>
  <c r="AD725" i="56"/>
  <c r="AC725" i="56"/>
  <c r="AB725" i="56"/>
  <c r="AA725" i="56"/>
  <c r="Z725" i="56"/>
  <c r="Y725" i="56"/>
  <c r="X725" i="56"/>
  <c r="W725" i="56"/>
  <c r="V725" i="56"/>
  <c r="T725" i="56"/>
  <c r="I725" i="56"/>
  <c r="G725" i="56"/>
  <c r="AG724" i="56"/>
  <c r="AF724" i="56"/>
  <c r="AE724" i="56"/>
  <c r="AD724" i="56"/>
  <c r="AC724" i="56"/>
  <c r="AB724" i="56"/>
  <c r="AA724" i="56"/>
  <c r="Z724" i="56"/>
  <c r="Y724" i="56"/>
  <c r="X724" i="56"/>
  <c r="V724" i="56"/>
  <c r="T724" i="56"/>
  <c r="I724" i="56"/>
  <c r="AG723" i="56"/>
  <c r="AF723" i="56"/>
  <c r="AE723" i="56"/>
  <c r="AD723" i="56"/>
  <c r="AC723" i="56"/>
  <c r="AB723" i="56"/>
  <c r="AA723" i="56"/>
  <c r="Z723" i="56"/>
  <c r="Y723" i="56"/>
  <c r="X723" i="56"/>
  <c r="V723" i="56"/>
  <c r="T723" i="56"/>
  <c r="I723" i="56"/>
  <c r="AG722" i="56"/>
  <c r="AF722" i="56"/>
  <c r="AE722" i="56"/>
  <c r="AD722" i="56"/>
  <c r="AC722" i="56"/>
  <c r="AB722" i="56"/>
  <c r="AA722" i="56"/>
  <c r="Z722" i="56"/>
  <c r="Y722" i="56"/>
  <c r="X722" i="56"/>
  <c r="V722" i="56"/>
  <c r="T722" i="56"/>
  <c r="T721" i="56" s="1"/>
  <c r="I722" i="56"/>
  <c r="AD721" i="56"/>
  <c r="AA721" i="56"/>
  <c r="Z721" i="56"/>
  <c r="S721" i="56"/>
  <c r="R721" i="56"/>
  <c r="AF721" i="56" s="1"/>
  <c r="Q721" i="56"/>
  <c r="AE721" i="56" s="1"/>
  <c r="P721" i="56"/>
  <c r="O721" i="56"/>
  <c r="N721" i="56"/>
  <c r="AB721" i="56" s="1"/>
  <c r="M721" i="56"/>
  <c r="L721" i="56"/>
  <c r="K721" i="56"/>
  <c r="J721" i="56"/>
  <c r="X721" i="56" s="1"/>
  <c r="H721" i="56"/>
  <c r="V721" i="56" s="1"/>
  <c r="F721" i="56"/>
  <c r="C721" i="56"/>
  <c r="AG720" i="56"/>
  <c r="AF720" i="56"/>
  <c r="AE720" i="56"/>
  <c r="AD720" i="56"/>
  <c r="AC720" i="56"/>
  <c r="AB720" i="56"/>
  <c r="AA720" i="56"/>
  <c r="Z720" i="56"/>
  <c r="Y720" i="56"/>
  <c r="X720" i="56"/>
  <c r="V720" i="56"/>
  <c r="T720" i="56"/>
  <c r="I720" i="56"/>
  <c r="G720" i="56" s="1"/>
  <c r="AG719" i="56"/>
  <c r="AF719" i="56"/>
  <c r="AE719" i="56"/>
  <c r="AD719" i="56"/>
  <c r="AC719" i="56"/>
  <c r="AB719" i="56"/>
  <c r="AA719" i="56"/>
  <c r="Z719" i="56"/>
  <c r="Y719" i="56"/>
  <c r="X719" i="56"/>
  <c r="V719" i="56"/>
  <c r="T719" i="56"/>
  <c r="I719" i="56"/>
  <c r="G719" i="56"/>
  <c r="AG718" i="56"/>
  <c r="AF718" i="56"/>
  <c r="AE718" i="56"/>
  <c r="AD718" i="56"/>
  <c r="AC718" i="56"/>
  <c r="AB718" i="56"/>
  <c r="AA718" i="56"/>
  <c r="Z718" i="56"/>
  <c r="Y718" i="56"/>
  <c r="X718" i="56"/>
  <c r="V718" i="56"/>
  <c r="T718" i="56"/>
  <c r="I718" i="56"/>
  <c r="AG717" i="56"/>
  <c r="AF717" i="56"/>
  <c r="AE717" i="56"/>
  <c r="AD717" i="56"/>
  <c r="AC717" i="56"/>
  <c r="AB717" i="56"/>
  <c r="AA717" i="56"/>
  <c r="Z717" i="56"/>
  <c r="Y717" i="56"/>
  <c r="X717" i="56"/>
  <c r="W717" i="56"/>
  <c r="V717" i="56"/>
  <c r="T717" i="56"/>
  <c r="I717" i="56"/>
  <c r="AG716" i="56"/>
  <c r="AF716" i="56"/>
  <c r="AE716" i="56"/>
  <c r="AD716" i="56"/>
  <c r="AC716" i="56"/>
  <c r="AB716" i="56"/>
  <c r="AA716" i="56"/>
  <c r="Z716" i="56"/>
  <c r="Y716" i="56"/>
  <c r="X716" i="56"/>
  <c r="V716" i="56"/>
  <c r="T716" i="56"/>
  <c r="I716" i="56"/>
  <c r="G716" i="56" s="1"/>
  <c r="AG715" i="56"/>
  <c r="AF715" i="56"/>
  <c r="AE715" i="56"/>
  <c r="AD715" i="56"/>
  <c r="AC715" i="56"/>
  <c r="AB715" i="56"/>
  <c r="AA715" i="56"/>
  <c r="Z715" i="56"/>
  <c r="Y715" i="56"/>
  <c r="X715" i="56"/>
  <c r="V715" i="56"/>
  <c r="T715" i="56"/>
  <c r="I715" i="56"/>
  <c r="G715" i="56"/>
  <c r="AG714" i="56"/>
  <c r="AF714" i="56"/>
  <c r="AE714" i="56"/>
  <c r="AD714" i="56"/>
  <c r="AC714" i="56"/>
  <c r="AB714" i="56"/>
  <c r="AA714" i="56"/>
  <c r="Z714" i="56"/>
  <c r="Y714" i="56"/>
  <c r="X714" i="56"/>
  <c r="V714" i="56"/>
  <c r="T714" i="56"/>
  <c r="I714" i="56"/>
  <c r="AG713" i="56"/>
  <c r="AF713" i="56"/>
  <c r="AE713" i="56"/>
  <c r="AD713" i="56"/>
  <c r="AB713" i="56"/>
  <c r="AA713" i="56"/>
  <c r="Z713" i="56"/>
  <c r="W713" i="56" s="1"/>
  <c r="Y713" i="56"/>
  <c r="X713" i="56"/>
  <c r="V713" i="56"/>
  <c r="T713" i="56"/>
  <c r="AG712" i="56"/>
  <c r="AF712" i="56"/>
  <c r="AE712" i="56"/>
  <c r="AD712" i="56"/>
  <c r="AC712" i="56"/>
  <c r="AB712" i="56"/>
  <c r="AA712" i="56"/>
  <c r="Z712" i="56"/>
  <c r="W712" i="56" s="1"/>
  <c r="Y712" i="56"/>
  <c r="X712" i="56"/>
  <c r="V712" i="56"/>
  <c r="T712" i="56"/>
  <c r="I712" i="56"/>
  <c r="AG711" i="56"/>
  <c r="AF711" i="56"/>
  <c r="AE711" i="56"/>
  <c r="AD711" i="56"/>
  <c r="AC711" i="56"/>
  <c r="AB711" i="56"/>
  <c r="AA711" i="56"/>
  <c r="Z711" i="56"/>
  <c r="Y711" i="56"/>
  <c r="X711" i="56"/>
  <c r="W711" i="56" s="1"/>
  <c r="V711" i="56"/>
  <c r="T711" i="56"/>
  <c r="AG710" i="56"/>
  <c r="AF710" i="56"/>
  <c r="AE710" i="56"/>
  <c r="AD710" i="56"/>
  <c r="AD707" i="56" s="1"/>
  <c r="AC710" i="56"/>
  <c r="AB710" i="56"/>
  <c r="AA710" i="56"/>
  <c r="Z710" i="56"/>
  <c r="Z707" i="56" s="1"/>
  <c r="Y710" i="56"/>
  <c r="X710" i="56"/>
  <c r="W710" i="56" s="1"/>
  <c r="V710" i="56"/>
  <c r="T710" i="56"/>
  <c r="T707" i="56" s="1"/>
  <c r="I710" i="56"/>
  <c r="AG709" i="56"/>
  <c r="AF709" i="56"/>
  <c r="AE709" i="56"/>
  <c r="AD709" i="56"/>
  <c r="AC709" i="56"/>
  <c r="AB709" i="56"/>
  <c r="AA709" i="56"/>
  <c r="Z709" i="56"/>
  <c r="Y709" i="56"/>
  <c r="X709" i="56"/>
  <c r="V709" i="56"/>
  <c r="T709" i="56"/>
  <c r="AG708" i="56"/>
  <c r="AF708" i="56"/>
  <c r="AE708" i="56"/>
  <c r="AE707" i="56" s="1"/>
  <c r="AD708" i="56"/>
  <c r="AC708" i="56"/>
  <c r="AB708" i="56"/>
  <c r="AB707" i="56" s="1"/>
  <c r="AA708" i="56"/>
  <c r="AA707" i="56" s="1"/>
  <c r="Z708" i="56"/>
  <c r="Y708" i="56"/>
  <c r="X708" i="56"/>
  <c r="W708" i="56"/>
  <c r="V708" i="56"/>
  <c r="T708" i="56"/>
  <c r="I708" i="56"/>
  <c r="AF707" i="56"/>
  <c r="AF705" i="56" s="1"/>
  <c r="AF704" i="56" s="1"/>
  <c r="X707" i="56"/>
  <c r="X705" i="56" s="1"/>
  <c r="X704" i="56" s="1"/>
  <c r="S707" i="56"/>
  <c r="R707" i="56"/>
  <c r="R705" i="56" s="1"/>
  <c r="R704" i="56" s="1"/>
  <c r="Q707" i="56"/>
  <c r="Q705" i="56" s="1"/>
  <c r="P707" i="56"/>
  <c r="O707" i="56"/>
  <c r="N707" i="56"/>
  <c r="M707" i="56"/>
  <c r="L707" i="56"/>
  <c r="K707" i="56"/>
  <c r="J707" i="56"/>
  <c r="J705" i="56" s="1"/>
  <c r="J704" i="56" s="1"/>
  <c r="H707" i="56"/>
  <c r="F707" i="56"/>
  <c r="F705" i="56" s="1"/>
  <c r="C707" i="56"/>
  <c r="P705" i="56"/>
  <c r="N705" i="56"/>
  <c r="N704" i="56" s="1"/>
  <c r="M705" i="56"/>
  <c r="L705" i="56"/>
  <c r="H705" i="56"/>
  <c r="C705" i="56"/>
  <c r="C704" i="56" s="1"/>
  <c r="Q704" i="56"/>
  <c r="H704" i="56"/>
  <c r="S703" i="56"/>
  <c r="AG703" i="56" s="1"/>
  <c r="W703" i="56" s="1"/>
  <c r="U703" i="56" s="1"/>
  <c r="I703" i="56"/>
  <c r="G703" i="56" s="1"/>
  <c r="AG702" i="56"/>
  <c r="W702" i="56" s="1"/>
  <c r="U702" i="56" s="1"/>
  <c r="S702" i="56"/>
  <c r="I702" i="56"/>
  <c r="G702" i="56" s="1"/>
  <c r="AG701" i="56"/>
  <c r="S701" i="56"/>
  <c r="I701" i="56" s="1"/>
  <c r="AH700" i="56"/>
  <c r="AF700" i="56"/>
  <c r="AE700" i="56"/>
  <c r="AD700" i="56"/>
  <c r="AC700" i="56"/>
  <c r="AB700" i="56"/>
  <c r="AA700" i="56"/>
  <c r="Z700" i="56"/>
  <c r="Y700" i="56"/>
  <c r="X700" i="56"/>
  <c r="V700" i="56"/>
  <c r="T700" i="56"/>
  <c r="S700" i="56"/>
  <c r="R700" i="56"/>
  <c r="Q700" i="56"/>
  <c r="P700" i="56"/>
  <c r="O700" i="56"/>
  <c r="N700" i="56"/>
  <c r="M700" i="56"/>
  <c r="L700" i="56"/>
  <c r="K700" i="56"/>
  <c r="J700" i="56"/>
  <c r="H700" i="56"/>
  <c r="F700" i="56"/>
  <c r="C700" i="56"/>
  <c r="AG699" i="56"/>
  <c r="W699" i="56" s="1"/>
  <c r="U699" i="56" s="1"/>
  <c r="S699" i="56"/>
  <c r="I699" i="56" s="1"/>
  <c r="G699" i="56" s="1"/>
  <c r="S698" i="56"/>
  <c r="S697" i="56"/>
  <c r="I697" i="56"/>
  <c r="AH696" i="56"/>
  <c r="AF696" i="56"/>
  <c r="AE696" i="56"/>
  <c r="AD696" i="56"/>
  <c r="AC696" i="56"/>
  <c r="AB696" i="56"/>
  <c r="AA696" i="56"/>
  <c r="Z696" i="56"/>
  <c r="Y696" i="56"/>
  <c r="X696" i="56"/>
  <c r="V696" i="56"/>
  <c r="T696" i="56"/>
  <c r="R696" i="56"/>
  <c r="Q696" i="56"/>
  <c r="P696" i="56"/>
  <c r="P674" i="56" s="1"/>
  <c r="O696" i="56"/>
  <c r="N696" i="56"/>
  <c r="M696" i="56"/>
  <c r="L696" i="56"/>
  <c r="K696" i="56"/>
  <c r="J696" i="56"/>
  <c r="H696" i="56"/>
  <c r="F696" i="56"/>
  <c r="C696" i="56"/>
  <c r="AG695" i="56"/>
  <c r="AF695" i="56"/>
  <c r="AE695" i="56"/>
  <c r="AD695" i="56"/>
  <c r="AC695" i="56"/>
  <c r="AB695" i="56"/>
  <c r="AA695" i="56"/>
  <c r="Z695" i="56"/>
  <c r="Y695" i="56"/>
  <c r="X695" i="56"/>
  <c r="V695" i="56"/>
  <c r="T695" i="56"/>
  <c r="I695" i="56"/>
  <c r="G695" i="56"/>
  <c r="AG694" i="56"/>
  <c r="AF694" i="56"/>
  <c r="AE694" i="56"/>
  <c r="AD694" i="56"/>
  <c r="AC694" i="56"/>
  <c r="AB694" i="56"/>
  <c r="AA694" i="56"/>
  <c r="Z694" i="56"/>
  <c r="Y694" i="56"/>
  <c r="X694" i="56"/>
  <c r="V694" i="56"/>
  <c r="T694" i="56"/>
  <c r="I694" i="56"/>
  <c r="AG693" i="56"/>
  <c r="AF693" i="56"/>
  <c r="AE693" i="56"/>
  <c r="AD693" i="56"/>
  <c r="AC693" i="56"/>
  <c r="AB693" i="56"/>
  <c r="AA693" i="56"/>
  <c r="Z693" i="56"/>
  <c r="Y693" i="56"/>
  <c r="X693" i="56"/>
  <c r="V693" i="56"/>
  <c r="AH693" i="56" s="1"/>
  <c r="T693" i="56"/>
  <c r="I693" i="56"/>
  <c r="AG692" i="56"/>
  <c r="AF692" i="56"/>
  <c r="AE692" i="56"/>
  <c r="AD692" i="56"/>
  <c r="AC692" i="56"/>
  <c r="AB692" i="56"/>
  <c r="AA692" i="56"/>
  <c r="Z692" i="56"/>
  <c r="Y692" i="56"/>
  <c r="X692" i="56"/>
  <c r="W692" i="56" s="1"/>
  <c r="V692" i="56"/>
  <c r="T692" i="56"/>
  <c r="I692" i="56"/>
  <c r="AG691" i="56"/>
  <c r="Z691" i="56"/>
  <c r="Y691" i="56"/>
  <c r="S691" i="56"/>
  <c r="R691" i="56"/>
  <c r="AF691" i="56" s="1"/>
  <c r="Q691" i="56"/>
  <c r="AE691" i="56" s="1"/>
  <c r="P691" i="56"/>
  <c r="AD691" i="56" s="1"/>
  <c r="O691" i="56"/>
  <c r="AC691" i="56" s="1"/>
  <c r="N691" i="56"/>
  <c r="AB691" i="56" s="1"/>
  <c r="M691" i="56"/>
  <c r="L691" i="56"/>
  <c r="K691" i="56"/>
  <c r="J691" i="56"/>
  <c r="X691" i="56" s="1"/>
  <c r="H691" i="56"/>
  <c r="V691" i="56" s="1"/>
  <c r="F691" i="56"/>
  <c r="C691" i="56"/>
  <c r="AG690" i="56"/>
  <c r="AF690" i="56"/>
  <c r="AE690" i="56"/>
  <c r="AD690" i="56"/>
  <c r="AC690" i="56"/>
  <c r="AB690" i="56"/>
  <c r="AA690" i="56"/>
  <c r="Z690" i="56"/>
  <c r="Y690" i="56"/>
  <c r="X690" i="56"/>
  <c r="W690" i="56" s="1"/>
  <c r="V690" i="56"/>
  <c r="T690" i="56"/>
  <c r="I690" i="56"/>
  <c r="G690" i="56"/>
  <c r="AG689" i="56"/>
  <c r="AF689" i="56"/>
  <c r="AE689" i="56"/>
  <c r="AD689" i="56"/>
  <c r="AC689" i="56"/>
  <c r="AB689" i="56"/>
  <c r="AA689" i="56"/>
  <c r="Z689" i="56"/>
  <c r="Y689" i="56"/>
  <c r="X689" i="56"/>
  <c r="V689" i="56"/>
  <c r="T689" i="56"/>
  <c r="I689" i="56"/>
  <c r="AG688" i="56"/>
  <c r="AF688" i="56"/>
  <c r="AE688" i="56"/>
  <c r="AD688" i="56"/>
  <c r="AC688" i="56"/>
  <c r="AB688" i="56"/>
  <c r="AA688" i="56"/>
  <c r="Z688" i="56"/>
  <c r="Y688" i="56"/>
  <c r="X688" i="56"/>
  <c r="V688" i="56"/>
  <c r="AH688" i="56" s="1"/>
  <c r="T688" i="56"/>
  <c r="I688" i="56"/>
  <c r="AG687" i="56"/>
  <c r="AF687" i="56"/>
  <c r="AE687" i="56"/>
  <c r="AD687" i="56"/>
  <c r="AC687" i="56"/>
  <c r="AB687" i="56"/>
  <c r="AA687" i="56"/>
  <c r="Z687" i="56"/>
  <c r="Y687" i="56"/>
  <c r="X687" i="56"/>
  <c r="V687" i="56"/>
  <c r="T687" i="56"/>
  <c r="I687" i="56"/>
  <c r="G687" i="56" s="1"/>
  <c r="AG686" i="56"/>
  <c r="AF686" i="56"/>
  <c r="AE686" i="56"/>
  <c r="AD686" i="56"/>
  <c r="AC686" i="56"/>
  <c r="AB686" i="56"/>
  <c r="AA686" i="56"/>
  <c r="Z686" i="56"/>
  <c r="Y686" i="56"/>
  <c r="X686" i="56"/>
  <c r="V686" i="56"/>
  <c r="T686" i="56"/>
  <c r="I686" i="56"/>
  <c r="G686" i="56" s="1"/>
  <c r="AG685" i="56"/>
  <c r="AF685" i="56"/>
  <c r="AE685" i="56"/>
  <c r="AD685" i="56"/>
  <c r="AC685" i="56"/>
  <c r="AB685" i="56"/>
  <c r="AA685" i="56"/>
  <c r="Z685" i="56"/>
  <c r="Y685" i="56"/>
  <c r="X685" i="56"/>
  <c r="W685" i="56" s="1"/>
  <c r="V685" i="56"/>
  <c r="T685" i="56"/>
  <c r="I685" i="56"/>
  <c r="G685" i="56" s="1"/>
  <c r="AG684" i="56"/>
  <c r="AF684" i="56"/>
  <c r="AE684" i="56"/>
  <c r="AD684" i="56"/>
  <c r="AC684" i="56"/>
  <c r="AB684" i="56"/>
  <c r="AA684" i="56"/>
  <c r="Z684" i="56"/>
  <c r="Y684" i="56"/>
  <c r="X684" i="56"/>
  <c r="V684" i="56"/>
  <c r="T684" i="56"/>
  <c r="I684" i="56"/>
  <c r="G684" i="56" s="1"/>
  <c r="AG683" i="56"/>
  <c r="AF683" i="56"/>
  <c r="AE683" i="56"/>
  <c r="AD683" i="56"/>
  <c r="AB683" i="56"/>
  <c r="AA683" i="56"/>
  <c r="Z683" i="56"/>
  <c r="Y683" i="56"/>
  <c r="AH683" i="56" s="1"/>
  <c r="X683" i="56"/>
  <c r="V683" i="56"/>
  <c r="T683" i="56"/>
  <c r="AG682" i="56"/>
  <c r="AF682" i="56"/>
  <c r="AE682" i="56"/>
  <c r="AD682" i="56"/>
  <c r="AC682" i="56"/>
  <c r="AB682" i="56"/>
  <c r="AA682" i="56"/>
  <c r="Z682" i="56"/>
  <c r="Y682" i="56"/>
  <c r="X682" i="56"/>
  <c r="V682" i="56"/>
  <c r="T682" i="56"/>
  <c r="I682" i="56"/>
  <c r="G682" i="56" s="1"/>
  <c r="AG681" i="56"/>
  <c r="AF681" i="56"/>
  <c r="AE681" i="56"/>
  <c r="AD681" i="56"/>
  <c r="AC681" i="56"/>
  <c r="AB681" i="56"/>
  <c r="AA681" i="56"/>
  <c r="Z681" i="56"/>
  <c r="AH681" i="56" s="1"/>
  <c r="Y681" i="56"/>
  <c r="X681" i="56"/>
  <c r="V681" i="56"/>
  <c r="T681" i="56"/>
  <c r="AG680" i="56"/>
  <c r="AF680" i="56"/>
  <c r="AE680" i="56"/>
  <c r="AD680" i="56"/>
  <c r="AC680" i="56"/>
  <c r="AB680" i="56"/>
  <c r="AA680" i="56"/>
  <c r="Z680" i="56"/>
  <c r="Y680" i="56"/>
  <c r="X680" i="56"/>
  <c r="V680" i="56"/>
  <c r="T680" i="56"/>
  <c r="T677" i="56" s="1"/>
  <c r="I680" i="56"/>
  <c r="AG679" i="56"/>
  <c r="AF679" i="56"/>
  <c r="AE679" i="56"/>
  <c r="AD679" i="56"/>
  <c r="AC679" i="56"/>
  <c r="AB679" i="56"/>
  <c r="AA679" i="56"/>
  <c r="Z679" i="56"/>
  <c r="Y679" i="56"/>
  <c r="X679" i="56"/>
  <c r="V679" i="56"/>
  <c r="T679" i="56"/>
  <c r="AG678" i="56"/>
  <c r="AG677" i="56" s="1"/>
  <c r="AF678" i="56"/>
  <c r="AF677" i="56" s="1"/>
  <c r="AE678" i="56"/>
  <c r="AD678" i="56"/>
  <c r="AC678" i="56"/>
  <c r="AC677" i="56" s="1"/>
  <c r="AB678" i="56"/>
  <c r="AA678" i="56"/>
  <c r="Z678" i="56"/>
  <c r="Y678" i="56"/>
  <c r="Y677" i="56" s="1"/>
  <c r="X678" i="56"/>
  <c r="X677" i="56" s="1"/>
  <c r="V678" i="56"/>
  <c r="T678" i="56"/>
  <c r="I678" i="56"/>
  <c r="AB677" i="56"/>
  <c r="S677" i="56"/>
  <c r="S675" i="56" s="1"/>
  <c r="R677" i="56"/>
  <c r="Q677" i="56"/>
  <c r="P677" i="56"/>
  <c r="O677" i="56"/>
  <c r="O675" i="56" s="1"/>
  <c r="O674" i="56" s="1"/>
  <c r="N677" i="56"/>
  <c r="M677" i="56"/>
  <c r="L677" i="56"/>
  <c r="K677" i="56"/>
  <c r="K675" i="56" s="1"/>
  <c r="K674" i="56" s="1"/>
  <c r="J677" i="56"/>
  <c r="H677" i="56"/>
  <c r="F677" i="56"/>
  <c r="F675" i="56" s="1"/>
  <c r="F674" i="56" s="1"/>
  <c r="C677" i="56"/>
  <c r="C675" i="56" s="1"/>
  <c r="C674" i="56" s="1"/>
  <c r="P675" i="56"/>
  <c r="N675" i="56"/>
  <c r="L675" i="56"/>
  <c r="J675" i="56"/>
  <c r="H675" i="56"/>
  <c r="H674" i="56" s="1"/>
  <c r="L674" i="56"/>
  <c r="AG672" i="56"/>
  <c r="W672" i="56" s="1"/>
  <c r="U672" i="56" s="1"/>
  <c r="AI672" i="56" s="1"/>
  <c r="AJ672" i="56" s="1"/>
  <c r="S672" i="56"/>
  <c r="I672" i="56" s="1"/>
  <c r="G672" i="56" s="1"/>
  <c r="AG671" i="56"/>
  <c r="W671" i="56" s="1"/>
  <c r="U671" i="56" s="1"/>
  <c r="S671" i="56"/>
  <c r="I671" i="56" s="1"/>
  <c r="G671" i="56" s="1"/>
  <c r="AG670" i="56"/>
  <c r="W670" i="56" s="1"/>
  <c r="S670" i="56"/>
  <c r="I670" i="56" s="1"/>
  <c r="G670" i="56" s="1"/>
  <c r="AH669" i="56"/>
  <c r="AF669" i="56"/>
  <c r="AE669" i="56"/>
  <c r="AD669" i="56"/>
  <c r="AC669" i="56"/>
  <c r="AB669" i="56"/>
  <c r="AA669" i="56"/>
  <c r="Z669" i="56"/>
  <c r="Y669" i="56"/>
  <c r="X669" i="56"/>
  <c r="V669" i="56"/>
  <c r="T669" i="56"/>
  <c r="S669" i="56"/>
  <c r="R669" i="56"/>
  <c r="Q669" i="56"/>
  <c r="P669" i="56"/>
  <c r="O669" i="56"/>
  <c r="N669" i="56"/>
  <c r="M669" i="56"/>
  <c r="L669" i="56"/>
  <c r="K669" i="56"/>
  <c r="J669" i="56"/>
  <c r="H669" i="56"/>
  <c r="F669" i="56"/>
  <c r="C669" i="56"/>
  <c r="S668" i="56"/>
  <c r="AG668" i="56" s="1"/>
  <c r="W668" i="56" s="1"/>
  <c r="U668" i="56" s="1"/>
  <c r="S667" i="56"/>
  <c r="AG667" i="56" s="1"/>
  <c r="W667" i="56" s="1"/>
  <c r="U667" i="56" s="1"/>
  <c r="S666" i="56"/>
  <c r="AG666" i="56" s="1"/>
  <c r="AH665" i="56"/>
  <c r="AF665" i="56"/>
  <c r="AE665" i="56"/>
  <c r="AD665" i="56"/>
  <c r="AC665" i="56"/>
  <c r="AB665" i="56"/>
  <c r="AA665" i="56"/>
  <c r="Z665" i="56"/>
  <c r="Y665" i="56"/>
  <c r="X665" i="56"/>
  <c r="V665" i="56"/>
  <c r="T665" i="56"/>
  <c r="S665" i="56"/>
  <c r="R665" i="56"/>
  <c r="Q665" i="56"/>
  <c r="P665" i="56"/>
  <c r="O665" i="56"/>
  <c r="N665" i="56"/>
  <c r="M665" i="56"/>
  <c r="L665" i="56"/>
  <c r="K665" i="56"/>
  <c r="J665" i="56"/>
  <c r="H665" i="56"/>
  <c r="F665" i="56"/>
  <c r="C665" i="56"/>
  <c r="AG664" i="56"/>
  <c r="AF664" i="56"/>
  <c r="AE664" i="56"/>
  <c r="AD664" i="56"/>
  <c r="AC664" i="56"/>
  <c r="AB664" i="56"/>
  <c r="AA664" i="56"/>
  <c r="Z664" i="56"/>
  <c r="Y664" i="56"/>
  <c r="X664" i="56"/>
  <c r="V664" i="56"/>
  <c r="T664" i="56"/>
  <c r="I664" i="56"/>
  <c r="AG663" i="56"/>
  <c r="AF663" i="56"/>
  <c r="AE663" i="56"/>
  <c r="AD663" i="56"/>
  <c r="AC663" i="56"/>
  <c r="AB663" i="56"/>
  <c r="AA663" i="56"/>
  <c r="Z663" i="56"/>
  <c r="Y663" i="56"/>
  <c r="X663" i="56"/>
  <c r="V663" i="56"/>
  <c r="T663" i="56"/>
  <c r="I663" i="56"/>
  <c r="G663" i="56"/>
  <c r="AG662" i="56"/>
  <c r="AF662" i="56"/>
  <c r="AE662" i="56"/>
  <c r="AD662" i="56"/>
  <c r="AC662" i="56"/>
  <c r="AB662" i="56"/>
  <c r="AA662" i="56"/>
  <c r="Z662" i="56"/>
  <c r="Y662" i="56"/>
  <c r="W662" i="56" s="1"/>
  <c r="X662" i="56"/>
  <c r="V662" i="56"/>
  <c r="T662" i="56"/>
  <c r="I662" i="56"/>
  <c r="G662" i="56" s="1"/>
  <c r="AG661" i="56"/>
  <c r="AF661" i="56"/>
  <c r="AE661" i="56"/>
  <c r="AD661" i="56"/>
  <c r="AC661" i="56"/>
  <c r="AB661" i="56"/>
  <c r="AA661" i="56"/>
  <c r="Z661" i="56"/>
  <c r="Y661" i="56"/>
  <c r="X661" i="56"/>
  <c r="V661" i="56"/>
  <c r="T661" i="56"/>
  <c r="G661" i="56" s="1"/>
  <c r="G660" i="56" s="1"/>
  <c r="I661" i="56"/>
  <c r="S660" i="56"/>
  <c r="R660" i="56"/>
  <c r="AF660" i="56" s="1"/>
  <c r="Q660" i="56"/>
  <c r="P660" i="56"/>
  <c r="AD660" i="56" s="1"/>
  <c r="O660" i="56"/>
  <c r="N660" i="56"/>
  <c r="AB660" i="56" s="1"/>
  <c r="M660" i="56"/>
  <c r="L660" i="56"/>
  <c r="Z660" i="56" s="1"/>
  <c r="K660" i="56"/>
  <c r="J660" i="56"/>
  <c r="X660" i="56" s="1"/>
  <c r="I660" i="56"/>
  <c r="H660" i="56"/>
  <c r="V660" i="56" s="1"/>
  <c r="F660" i="56"/>
  <c r="C660" i="56"/>
  <c r="AG659" i="56"/>
  <c r="AF659" i="56"/>
  <c r="AE659" i="56"/>
  <c r="AD659" i="56"/>
  <c r="AC659" i="56"/>
  <c r="AB659" i="56"/>
  <c r="AA659" i="56"/>
  <c r="Z659" i="56"/>
  <c r="Y659" i="56"/>
  <c r="W659" i="56" s="1"/>
  <c r="X659" i="56"/>
  <c r="V659" i="56"/>
  <c r="T659" i="56"/>
  <c r="I659" i="56"/>
  <c r="AG658" i="56"/>
  <c r="AF658" i="56"/>
  <c r="AE658" i="56"/>
  <c r="AD658" i="56"/>
  <c r="AC658" i="56"/>
  <c r="AB658" i="56"/>
  <c r="AA658" i="56"/>
  <c r="Z658" i="56"/>
  <c r="Y658" i="56"/>
  <c r="X658" i="56"/>
  <c r="V658" i="56"/>
  <c r="T658" i="56"/>
  <c r="I658" i="56"/>
  <c r="G658" i="56" s="1"/>
  <c r="AG657" i="56"/>
  <c r="AF657" i="56"/>
  <c r="AE657" i="56"/>
  <c r="AD657" i="56"/>
  <c r="AC657" i="56"/>
  <c r="AB657" i="56"/>
  <c r="AA657" i="56"/>
  <c r="Z657" i="56"/>
  <c r="Y657" i="56"/>
  <c r="W657" i="56" s="1"/>
  <c r="X657" i="56"/>
  <c r="V657" i="56"/>
  <c r="T657" i="56"/>
  <c r="I657" i="56"/>
  <c r="G657" i="56" s="1"/>
  <c r="AG656" i="56"/>
  <c r="AF656" i="56"/>
  <c r="AE656" i="56"/>
  <c r="AD656" i="56"/>
  <c r="AC656" i="56"/>
  <c r="AB656" i="56"/>
  <c r="AA656" i="56"/>
  <c r="Z656" i="56"/>
  <c r="Y656" i="56"/>
  <c r="X656" i="56"/>
  <c r="V656" i="56"/>
  <c r="T656" i="56"/>
  <c r="G656" i="56" s="1"/>
  <c r="I656" i="56"/>
  <c r="AG655" i="56"/>
  <c r="AF655" i="56"/>
  <c r="AE655" i="56"/>
  <c r="AD655" i="56"/>
  <c r="AC655" i="56"/>
  <c r="AB655" i="56"/>
  <c r="AA655" i="56"/>
  <c r="Z655" i="56"/>
  <c r="Y655" i="56"/>
  <c r="X655" i="56"/>
  <c r="W655" i="56"/>
  <c r="V655" i="56"/>
  <c r="T655" i="56"/>
  <c r="I655" i="56"/>
  <c r="AG654" i="56"/>
  <c r="AF654" i="56"/>
  <c r="AE654" i="56"/>
  <c r="AD654" i="56"/>
  <c r="AC654" i="56"/>
  <c r="AB654" i="56"/>
  <c r="AA654" i="56"/>
  <c r="Z654" i="56"/>
  <c r="Y654" i="56"/>
  <c r="X654" i="56"/>
  <c r="V654" i="56"/>
  <c r="T654" i="56"/>
  <c r="I654" i="56"/>
  <c r="G654" i="56" s="1"/>
  <c r="AG653" i="56"/>
  <c r="AF653" i="56"/>
  <c r="AE653" i="56"/>
  <c r="AD653" i="56"/>
  <c r="AC653" i="56"/>
  <c r="AB653" i="56"/>
  <c r="AA653" i="56"/>
  <c r="Z653" i="56"/>
  <c r="Y653" i="56"/>
  <c r="W653" i="56" s="1"/>
  <c r="X653" i="56"/>
  <c r="V653" i="56"/>
  <c r="T653" i="56"/>
  <c r="I653" i="56"/>
  <c r="G653" i="56" s="1"/>
  <c r="AG652" i="56"/>
  <c r="AF652" i="56"/>
  <c r="AE652" i="56"/>
  <c r="AD652" i="56"/>
  <c r="AB652" i="56"/>
  <c r="AA652" i="56"/>
  <c r="Z652" i="56"/>
  <c r="Y652" i="56"/>
  <c r="X652" i="56"/>
  <c r="V652" i="56"/>
  <c r="T652" i="56"/>
  <c r="AG651" i="56"/>
  <c r="AF651" i="56"/>
  <c r="AE651" i="56"/>
  <c r="AD651" i="56"/>
  <c r="AC651" i="56"/>
  <c r="AB651" i="56"/>
  <c r="AA651" i="56"/>
  <c r="Z651" i="56"/>
  <c r="Y651" i="56"/>
  <c r="X651" i="56"/>
  <c r="V651" i="56"/>
  <c r="T651" i="56"/>
  <c r="I651" i="56"/>
  <c r="AG650" i="56"/>
  <c r="AF650" i="56"/>
  <c r="AE650" i="56"/>
  <c r="AD650" i="56"/>
  <c r="AC650" i="56"/>
  <c r="AB650" i="56"/>
  <c r="AA650" i="56"/>
  <c r="Z650" i="56"/>
  <c r="Y650" i="56"/>
  <c r="X650" i="56"/>
  <c r="V650" i="56"/>
  <c r="T650" i="56"/>
  <c r="AG649" i="56"/>
  <c r="AF649" i="56"/>
  <c r="AE649" i="56"/>
  <c r="AD649" i="56"/>
  <c r="AC649" i="56"/>
  <c r="AB649" i="56"/>
  <c r="AA649" i="56"/>
  <c r="Z649" i="56"/>
  <c r="Y649" i="56"/>
  <c r="X649" i="56"/>
  <c r="V649" i="56"/>
  <c r="AH649" i="56" s="1"/>
  <c r="T649" i="56"/>
  <c r="I649" i="56"/>
  <c r="AG648" i="56"/>
  <c r="AF648" i="56"/>
  <c r="AE648" i="56"/>
  <c r="AD648" i="56"/>
  <c r="AC648" i="56"/>
  <c r="AB648" i="56"/>
  <c r="AA648" i="56"/>
  <c r="Z648" i="56"/>
  <c r="Y648" i="56"/>
  <c r="X648" i="56"/>
  <c r="W648" i="56" s="1"/>
  <c r="V648" i="56"/>
  <c r="AH648" i="56" s="1"/>
  <c r="T648" i="56"/>
  <c r="AG647" i="56"/>
  <c r="AG646" i="56" s="1"/>
  <c r="AF647" i="56"/>
  <c r="AE647" i="56"/>
  <c r="AE646" i="56" s="1"/>
  <c r="AD647" i="56"/>
  <c r="AD646" i="56" s="1"/>
  <c r="AC647" i="56"/>
  <c r="AC646" i="56" s="1"/>
  <c r="AB647" i="56"/>
  <c r="AA647" i="56"/>
  <c r="AA646" i="56" s="1"/>
  <c r="Z647" i="56"/>
  <c r="Z646" i="56" s="1"/>
  <c r="Y647" i="56"/>
  <c r="Y646" i="56" s="1"/>
  <c r="X647" i="56"/>
  <c r="V647" i="56"/>
  <c r="V646" i="56" s="1"/>
  <c r="V644" i="56" s="1"/>
  <c r="V643" i="56" s="1"/>
  <c r="T647" i="56"/>
  <c r="I647" i="56"/>
  <c r="I646" i="56" s="1"/>
  <c r="S646" i="56"/>
  <c r="R646" i="56"/>
  <c r="Q646" i="56"/>
  <c r="P646" i="56"/>
  <c r="O646" i="56"/>
  <c r="N646" i="56"/>
  <c r="M646" i="56"/>
  <c r="L646" i="56"/>
  <c r="L644" i="56" s="1"/>
  <c r="L643" i="56" s="1"/>
  <c r="K646" i="56"/>
  <c r="J646" i="56"/>
  <c r="H646" i="56"/>
  <c r="H644" i="56" s="1"/>
  <c r="F646" i="56"/>
  <c r="C646" i="56"/>
  <c r="C644" i="56" s="1"/>
  <c r="C643" i="56" s="1"/>
  <c r="R644" i="56"/>
  <c r="R643" i="56" s="1"/>
  <c r="P644" i="56"/>
  <c r="P643" i="56" s="1"/>
  <c r="N644" i="56"/>
  <c r="N643" i="56" s="1"/>
  <c r="J644" i="56"/>
  <c r="J643" i="56" s="1"/>
  <c r="F644" i="56"/>
  <c r="F643" i="56" s="1"/>
  <c r="H643" i="56"/>
  <c r="S642" i="56"/>
  <c r="AG642" i="56" s="1"/>
  <c r="W642" i="56" s="1"/>
  <c r="U642" i="56" s="1"/>
  <c r="S641" i="56"/>
  <c r="AG641" i="56" s="1"/>
  <c r="W641" i="56" s="1"/>
  <c r="U641" i="56" s="1"/>
  <c r="S640" i="56"/>
  <c r="AG640" i="56" s="1"/>
  <c r="AH639" i="56"/>
  <c r="AF639" i="56"/>
  <c r="AE639" i="56"/>
  <c r="AD639" i="56"/>
  <c r="AC639" i="56"/>
  <c r="AB639" i="56"/>
  <c r="AA639" i="56"/>
  <c r="Z639" i="56"/>
  <c r="Y639" i="56"/>
  <c r="X639" i="56"/>
  <c r="V639" i="56"/>
  <c r="T639" i="56"/>
  <c r="S639" i="56"/>
  <c r="R639" i="56"/>
  <c r="Q639" i="56"/>
  <c r="P639" i="56"/>
  <c r="O639" i="56"/>
  <c r="N639" i="56"/>
  <c r="M639" i="56"/>
  <c r="L639" i="56"/>
  <c r="K639" i="56"/>
  <c r="J639" i="56"/>
  <c r="H639" i="56"/>
  <c r="F639" i="56"/>
  <c r="C639" i="56"/>
  <c r="S638" i="56"/>
  <c r="AG638" i="56" s="1"/>
  <c r="W638" i="56" s="1"/>
  <c r="U638" i="56" s="1"/>
  <c r="S637" i="56"/>
  <c r="AG637" i="56" s="1"/>
  <c r="W637" i="56" s="1"/>
  <c r="U637" i="56" s="1"/>
  <c r="S636" i="56"/>
  <c r="AG636" i="56" s="1"/>
  <c r="AH635" i="56"/>
  <c r="AF635" i="56"/>
  <c r="AE635" i="56"/>
  <c r="AD635" i="56"/>
  <c r="AC635" i="56"/>
  <c r="AB635" i="56"/>
  <c r="AA635" i="56"/>
  <c r="Z635" i="56"/>
  <c r="Y635" i="56"/>
  <c r="X635" i="56"/>
  <c r="V635" i="56"/>
  <c r="T635" i="56"/>
  <c r="S635" i="56"/>
  <c r="R635" i="56"/>
  <c r="Q635" i="56"/>
  <c r="P635" i="56"/>
  <c r="O635" i="56"/>
  <c r="N635" i="56"/>
  <c r="M635" i="56"/>
  <c r="L635" i="56"/>
  <c r="K635" i="56"/>
  <c r="J635" i="56"/>
  <c r="H635" i="56"/>
  <c r="F635" i="56"/>
  <c r="C635" i="56"/>
  <c r="AG634" i="56"/>
  <c r="AF634" i="56"/>
  <c r="AE634" i="56"/>
  <c r="AC634" i="56"/>
  <c r="AB634" i="56"/>
  <c r="AA634" i="56"/>
  <c r="Z634" i="56"/>
  <c r="Y634" i="56"/>
  <c r="X634" i="56"/>
  <c r="V634" i="56"/>
  <c r="T634" i="56"/>
  <c r="P634" i="56"/>
  <c r="P602" i="56" s="1"/>
  <c r="AD602" i="56" s="1"/>
  <c r="AG633" i="56"/>
  <c r="AF633" i="56"/>
  <c r="AC633" i="56"/>
  <c r="AB633" i="56"/>
  <c r="AA633" i="56"/>
  <c r="Z633" i="56"/>
  <c r="Y633" i="56"/>
  <c r="X633" i="56"/>
  <c r="V633" i="56"/>
  <c r="T633" i="56"/>
  <c r="Q633" i="56"/>
  <c r="P633" i="56"/>
  <c r="AG632" i="56"/>
  <c r="AF632" i="56"/>
  <c r="AE632" i="56"/>
  <c r="AD632" i="56"/>
  <c r="AC632" i="56"/>
  <c r="AC630" i="56" s="1"/>
  <c r="AB632" i="56"/>
  <c r="AA632" i="56"/>
  <c r="Z632" i="56"/>
  <c r="Z630" i="56" s="1"/>
  <c r="Y632" i="56"/>
  <c r="X632" i="56"/>
  <c r="V632" i="56"/>
  <c r="T632" i="56"/>
  <c r="G632" i="56" s="1"/>
  <c r="P632" i="56"/>
  <c r="I632" i="56"/>
  <c r="AG631" i="56"/>
  <c r="AF631" i="56"/>
  <c r="AE631" i="56"/>
  <c r="AD631" i="56"/>
  <c r="AC631" i="56"/>
  <c r="AB631" i="56"/>
  <c r="AA631" i="56"/>
  <c r="Z631" i="56"/>
  <c r="Y631" i="56"/>
  <c r="X631" i="56"/>
  <c r="W631" i="56" s="1"/>
  <c r="V631" i="56"/>
  <c r="T631" i="56"/>
  <c r="P631" i="56"/>
  <c r="I631" i="56"/>
  <c r="G631" i="56" s="1"/>
  <c r="AG630" i="56"/>
  <c r="Y630" i="56"/>
  <c r="X630" i="56"/>
  <c r="S630" i="56"/>
  <c r="S614" i="56" s="1"/>
  <c r="R630" i="56"/>
  <c r="O630" i="56"/>
  <c r="N630" i="56"/>
  <c r="N614" i="56" s="1"/>
  <c r="N613" i="56" s="1"/>
  <c r="M630" i="56"/>
  <c r="L630" i="56"/>
  <c r="L614" i="56" s="1"/>
  <c r="L613" i="56" s="1"/>
  <c r="K630" i="56"/>
  <c r="J630" i="56"/>
  <c r="J614" i="56" s="1"/>
  <c r="J613" i="56" s="1"/>
  <c r="H630" i="56"/>
  <c r="F630" i="56"/>
  <c r="C630" i="56"/>
  <c r="AG629" i="56"/>
  <c r="AF629" i="56"/>
  <c r="AE629" i="56"/>
  <c r="AD629" i="56"/>
  <c r="AC629" i="56"/>
  <c r="AB629" i="56"/>
  <c r="AA629" i="56"/>
  <c r="Z629" i="56"/>
  <c r="Y629" i="56"/>
  <c r="X629" i="56"/>
  <c r="V629" i="56"/>
  <c r="T629" i="56"/>
  <c r="I629" i="56"/>
  <c r="AG628" i="56"/>
  <c r="AF628" i="56"/>
  <c r="AE628" i="56"/>
  <c r="AD628" i="56"/>
  <c r="AC628" i="56"/>
  <c r="AB628" i="56"/>
  <c r="AA628" i="56"/>
  <c r="Z628" i="56"/>
  <c r="Y628" i="56"/>
  <c r="X628" i="56"/>
  <c r="V628" i="56"/>
  <c r="T628" i="56"/>
  <c r="I628" i="56"/>
  <c r="AG627" i="56"/>
  <c r="AF627" i="56"/>
  <c r="AE627" i="56"/>
  <c r="AD627" i="56"/>
  <c r="AC627" i="56"/>
  <c r="AB627" i="56"/>
  <c r="AA627" i="56"/>
  <c r="Z627" i="56"/>
  <c r="Y627" i="56"/>
  <c r="X627" i="56"/>
  <c r="W627" i="56"/>
  <c r="V627" i="56"/>
  <c r="T627" i="56"/>
  <c r="I627" i="56"/>
  <c r="AG626" i="56"/>
  <c r="AF626" i="56"/>
  <c r="AE626" i="56"/>
  <c r="AD626" i="56"/>
  <c r="AC626" i="56"/>
  <c r="AB626" i="56"/>
  <c r="AA626" i="56"/>
  <c r="Z626" i="56"/>
  <c r="Y626" i="56"/>
  <c r="W626" i="56" s="1"/>
  <c r="X626" i="56"/>
  <c r="V626" i="56"/>
  <c r="T626" i="56"/>
  <c r="I626" i="56"/>
  <c r="G626" i="56" s="1"/>
  <c r="AG625" i="56"/>
  <c r="AF625" i="56"/>
  <c r="AE625" i="56"/>
  <c r="AD625" i="56"/>
  <c r="AC625" i="56"/>
  <c r="AB625" i="56"/>
  <c r="AA625" i="56"/>
  <c r="Z625" i="56"/>
  <c r="Y625" i="56"/>
  <c r="X625" i="56"/>
  <c r="V625" i="56"/>
  <c r="T625" i="56"/>
  <c r="I625" i="56"/>
  <c r="AG624" i="56"/>
  <c r="AF624" i="56"/>
  <c r="AE624" i="56"/>
  <c r="AD624" i="56"/>
  <c r="AC624" i="56"/>
  <c r="AB624" i="56"/>
  <c r="AA624" i="56"/>
  <c r="Z624" i="56"/>
  <c r="Y624" i="56"/>
  <c r="X624" i="56"/>
  <c r="W624" i="56" s="1"/>
  <c r="V624" i="56"/>
  <c r="T624" i="56"/>
  <c r="I624" i="56"/>
  <c r="AG623" i="56"/>
  <c r="AF623" i="56"/>
  <c r="AE623" i="56"/>
  <c r="AD623" i="56"/>
  <c r="AC623" i="56"/>
  <c r="AB623" i="56"/>
  <c r="AA623" i="56"/>
  <c r="Z623" i="56"/>
  <c r="Y623" i="56"/>
  <c r="W623" i="56" s="1"/>
  <c r="X623" i="56"/>
  <c r="V623" i="56"/>
  <c r="T623" i="56"/>
  <c r="I623" i="56"/>
  <c r="AG622" i="56"/>
  <c r="AF622" i="56"/>
  <c r="AE622" i="56"/>
  <c r="AD622" i="56"/>
  <c r="AB622" i="56"/>
  <c r="AA622" i="56"/>
  <c r="Z622" i="56"/>
  <c r="Y622" i="56"/>
  <c r="X622" i="56"/>
  <c r="V622" i="56"/>
  <c r="T622" i="56"/>
  <c r="AG621" i="56"/>
  <c r="AF621" i="56"/>
  <c r="AE621" i="56"/>
  <c r="AD621" i="56"/>
  <c r="AC621" i="56"/>
  <c r="AB621" i="56"/>
  <c r="AA621" i="56"/>
  <c r="Z621" i="56"/>
  <c r="Y621" i="56"/>
  <c r="X621" i="56"/>
  <c r="V621" i="56"/>
  <c r="T621" i="56"/>
  <c r="G621" i="56" s="1"/>
  <c r="I621" i="56"/>
  <c r="AG620" i="56"/>
  <c r="AF620" i="56"/>
  <c r="AE620" i="56"/>
  <c r="AD620" i="56"/>
  <c r="AC620" i="56"/>
  <c r="AB620" i="56"/>
  <c r="AA620" i="56"/>
  <c r="Z620" i="56"/>
  <c r="Y620" i="56"/>
  <c r="X620" i="56"/>
  <c r="V620" i="56"/>
  <c r="T620" i="56"/>
  <c r="AG619" i="56"/>
  <c r="AF619" i="56"/>
  <c r="AF616" i="56" s="1"/>
  <c r="AE619" i="56"/>
  <c r="AD619" i="56"/>
  <c r="AC619" i="56"/>
  <c r="AB619" i="56"/>
  <c r="AA619" i="56"/>
  <c r="AA616" i="56" s="1"/>
  <c r="Z619" i="56"/>
  <c r="Y619" i="56"/>
  <c r="X619" i="56"/>
  <c r="X616" i="56" s="1"/>
  <c r="X614" i="56" s="1"/>
  <c r="X613" i="56" s="1"/>
  <c r="V619" i="56"/>
  <c r="T619" i="56"/>
  <c r="I619" i="56"/>
  <c r="G619" i="56"/>
  <c r="AG618" i="56"/>
  <c r="AF618" i="56"/>
  <c r="AE618" i="56"/>
  <c r="AD618" i="56"/>
  <c r="AC618" i="56"/>
  <c r="AB618" i="56"/>
  <c r="AA618" i="56"/>
  <c r="Z618" i="56"/>
  <c r="Y618" i="56"/>
  <c r="X618" i="56"/>
  <c r="V618" i="56"/>
  <c r="T618" i="56"/>
  <c r="AG617" i="56"/>
  <c r="AG616" i="56" s="1"/>
  <c r="AG614" i="56" s="1"/>
  <c r="AF617" i="56"/>
  <c r="AE617" i="56"/>
  <c r="AD617" i="56"/>
  <c r="AC617" i="56"/>
  <c r="AC616" i="56" s="1"/>
  <c r="AB617" i="56"/>
  <c r="AA617" i="56"/>
  <c r="Z617" i="56"/>
  <c r="Y617" i="56"/>
  <c r="Y616" i="56" s="1"/>
  <c r="X617" i="56"/>
  <c r="V617" i="56"/>
  <c r="T617" i="56"/>
  <c r="T616" i="56" s="1"/>
  <c r="I617" i="56"/>
  <c r="AE616" i="56"/>
  <c r="AB616" i="56"/>
  <c r="S616" i="56"/>
  <c r="R616" i="56"/>
  <c r="Q616" i="56"/>
  <c r="P616" i="56"/>
  <c r="O616" i="56"/>
  <c r="O614" i="56" s="1"/>
  <c r="N616" i="56"/>
  <c r="M616" i="56"/>
  <c r="M614" i="56" s="1"/>
  <c r="M613" i="56" s="1"/>
  <c r="L616" i="56"/>
  <c r="K616" i="56"/>
  <c r="J616" i="56"/>
  <c r="I616" i="56"/>
  <c r="H616" i="56"/>
  <c r="F616" i="56"/>
  <c r="F614" i="56" s="1"/>
  <c r="C616" i="56"/>
  <c r="C614" i="56" s="1"/>
  <c r="R614" i="56"/>
  <c r="K614" i="56"/>
  <c r="H614" i="56"/>
  <c r="H613" i="56" s="1"/>
  <c r="R613" i="56"/>
  <c r="F613" i="56"/>
  <c r="F611" i="56"/>
  <c r="C611" i="56"/>
  <c r="S610" i="56"/>
  <c r="I610" i="56"/>
  <c r="G610" i="56" s="1"/>
  <c r="F610" i="56"/>
  <c r="C610" i="56"/>
  <c r="C608" i="56" s="1"/>
  <c r="S609" i="56"/>
  <c r="AG609" i="56" s="1"/>
  <c r="W609" i="56" s="1"/>
  <c r="U609" i="56" s="1"/>
  <c r="AH608" i="56"/>
  <c r="AF608" i="56"/>
  <c r="AE608" i="56"/>
  <c r="AD608" i="56"/>
  <c r="AC608" i="56"/>
  <c r="AB608" i="56"/>
  <c r="AA608" i="56"/>
  <c r="Z608" i="56"/>
  <c r="Y608" i="56"/>
  <c r="X608" i="56"/>
  <c r="V608" i="56"/>
  <c r="T608" i="56"/>
  <c r="R608" i="56"/>
  <c r="Q608" i="56"/>
  <c r="P608" i="56"/>
  <c r="O608" i="56"/>
  <c r="N608" i="56"/>
  <c r="M608" i="56"/>
  <c r="L608" i="56"/>
  <c r="K608" i="56"/>
  <c r="J608" i="56"/>
  <c r="H608" i="56"/>
  <c r="F607" i="56"/>
  <c r="C607" i="56"/>
  <c r="S606" i="56"/>
  <c r="I606" i="56" s="1"/>
  <c r="G606" i="56" s="1"/>
  <c r="F606" i="56"/>
  <c r="C606" i="56"/>
  <c r="W605" i="56"/>
  <c r="S605" i="56"/>
  <c r="AG605" i="56" s="1"/>
  <c r="AH604" i="56"/>
  <c r="AF604" i="56"/>
  <c r="AE604" i="56"/>
  <c r="AD604" i="56"/>
  <c r="AC604" i="56"/>
  <c r="AB604" i="56"/>
  <c r="AA604" i="56"/>
  <c r="Z604" i="56"/>
  <c r="Y604" i="56"/>
  <c r="X604" i="56"/>
  <c r="V604" i="56"/>
  <c r="T604" i="56"/>
  <c r="R604" i="56"/>
  <c r="Q604" i="56"/>
  <c r="P604" i="56"/>
  <c r="O604" i="56"/>
  <c r="N604" i="56"/>
  <c r="M604" i="56"/>
  <c r="L604" i="56"/>
  <c r="K604" i="56"/>
  <c r="J604" i="56"/>
  <c r="H604" i="56"/>
  <c r="C604" i="56"/>
  <c r="AG603" i="56"/>
  <c r="Y603" i="56"/>
  <c r="X603" i="56"/>
  <c r="S603" i="56"/>
  <c r="R603" i="56"/>
  <c r="AF603" i="56" s="1"/>
  <c r="Q603" i="56"/>
  <c r="AE603" i="56" s="1"/>
  <c r="P603" i="56"/>
  <c r="AD603" i="56" s="1"/>
  <c r="O603" i="56"/>
  <c r="AC603" i="56" s="1"/>
  <c r="N603" i="56"/>
  <c r="AB603" i="56" s="1"/>
  <c r="M603" i="56"/>
  <c r="AA603" i="56" s="1"/>
  <c r="L603" i="56"/>
  <c r="Z603" i="56" s="1"/>
  <c r="K603" i="56"/>
  <c r="J603" i="56"/>
  <c r="H603" i="56"/>
  <c r="F603" i="56"/>
  <c r="C603" i="56"/>
  <c r="AG602" i="56"/>
  <c r="AC602" i="56"/>
  <c r="Y602" i="56"/>
  <c r="V602" i="56"/>
  <c r="S602" i="56"/>
  <c r="R602" i="56"/>
  <c r="AF602" i="56" s="1"/>
  <c r="Q602" i="56"/>
  <c r="AE602" i="56" s="1"/>
  <c r="O602" i="56"/>
  <c r="N602" i="56"/>
  <c r="AB602" i="56" s="1"/>
  <c r="M602" i="56"/>
  <c r="AA602" i="56" s="1"/>
  <c r="L602" i="56"/>
  <c r="Z602" i="56" s="1"/>
  <c r="K602" i="56"/>
  <c r="J602" i="56"/>
  <c r="X602" i="56" s="1"/>
  <c r="AG601" i="56"/>
  <c r="Z601" i="56"/>
  <c r="S601" i="56"/>
  <c r="R601" i="56"/>
  <c r="AF601" i="56" s="1"/>
  <c r="O601" i="56"/>
  <c r="AC601" i="56" s="1"/>
  <c r="N601" i="56"/>
  <c r="AB601" i="56" s="1"/>
  <c r="M601" i="56"/>
  <c r="L601" i="56"/>
  <c r="K601" i="56"/>
  <c r="J601" i="56"/>
  <c r="X601" i="56" s="1"/>
  <c r="H601" i="56"/>
  <c r="V601" i="56" s="1"/>
  <c r="F601" i="56"/>
  <c r="C601" i="56"/>
  <c r="AD600" i="56"/>
  <c r="Z600" i="56"/>
  <c r="S600" i="56"/>
  <c r="AG600" i="56" s="1"/>
  <c r="R600" i="56"/>
  <c r="AF600" i="56" s="1"/>
  <c r="Q600" i="56"/>
  <c r="AE600" i="56" s="1"/>
  <c r="P600" i="56"/>
  <c r="O600" i="56"/>
  <c r="AC600" i="56" s="1"/>
  <c r="N600" i="56"/>
  <c r="AB600" i="56" s="1"/>
  <c r="M600" i="56"/>
  <c r="AA600" i="56" s="1"/>
  <c r="L600" i="56"/>
  <c r="K600" i="56"/>
  <c r="Y600" i="56" s="1"/>
  <c r="J600" i="56"/>
  <c r="H600" i="56"/>
  <c r="F600" i="56"/>
  <c r="C600" i="56"/>
  <c r="AD599" i="56"/>
  <c r="Z599" i="56"/>
  <c r="AH599" i="56" s="1"/>
  <c r="V599" i="56"/>
  <c r="S599" i="56"/>
  <c r="AG599" i="56" s="1"/>
  <c r="R599" i="56"/>
  <c r="AF599" i="56" s="1"/>
  <c r="Q599" i="56"/>
  <c r="AE599" i="56" s="1"/>
  <c r="P599" i="56"/>
  <c r="O599" i="56"/>
  <c r="AC599" i="56" s="1"/>
  <c r="N599" i="56"/>
  <c r="AB599" i="56" s="1"/>
  <c r="M599" i="56"/>
  <c r="AA599" i="56" s="1"/>
  <c r="L599" i="56"/>
  <c r="K599" i="56"/>
  <c r="Y599" i="56" s="1"/>
  <c r="J599" i="56"/>
  <c r="X599" i="56" s="1"/>
  <c r="H599" i="56"/>
  <c r="F599" i="56"/>
  <c r="F598" i="56" s="1"/>
  <c r="C599" i="56"/>
  <c r="AG598" i="56"/>
  <c r="AC598" i="56"/>
  <c r="S598" i="56"/>
  <c r="O598" i="56"/>
  <c r="L598" i="56"/>
  <c r="Z598" i="56" s="1"/>
  <c r="AD597" i="56"/>
  <c r="AC597" i="56"/>
  <c r="Z597" i="56"/>
  <c r="AH597" i="56" s="1"/>
  <c r="V597" i="56"/>
  <c r="S597" i="56"/>
  <c r="AG597" i="56" s="1"/>
  <c r="R597" i="56"/>
  <c r="AF597" i="56" s="1"/>
  <c r="Q597" i="56"/>
  <c r="AE597" i="56" s="1"/>
  <c r="P597" i="56"/>
  <c r="O597" i="56"/>
  <c r="N597" i="56"/>
  <c r="AB597" i="56" s="1"/>
  <c r="M597" i="56"/>
  <c r="AA597" i="56" s="1"/>
  <c r="L597" i="56"/>
  <c r="K597" i="56"/>
  <c r="Y597" i="56" s="1"/>
  <c r="J597" i="56"/>
  <c r="X597" i="56" s="1"/>
  <c r="H597" i="56"/>
  <c r="F597" i="56"/>
  <c r="C597" i="56"/>
  <c r="AC596" i="56"/>
  <c r="Z596" i="56"/>
  <c r="S596" i="56"/>
  <c r="AG596" i="56" s="1"/>
  <c r="R596" i="56"/>
  <c r="AF596" i="56" s="1"/>
  <c r="Q596" i="56"/>
  <c r="AE596" i="56" s="1"/>
  <c r="P596" i="56"/>
  <c r="AD596" i="56" s="1"/>
  <c r="O596" i="56"/>
  <c r="N596" i="56"/>
  <c r="AB596" i="56" s="1"/>
  <c r="M596" i="56"/>
  <c r="AA596" i="56" s="1"/>
  <c r="L596" i="56"/>
  <c r="K596" i="56"/>
  <c r="Y596" i="56" s="1"/>
  <c r="J596" i="56"/>
  <c r="H596" i="56"/>
  <c r="F596" i="56"/>
  <c r="C596" i="56"/>
  <c r="AC595" i="56"/>
  <c r="Z595" i="56"/>
  <c r="Y595" i="56"/>
  <c r="S595" i="56"/>
  <c r="AG595" i="56" s="1"/>
  <c r="R595" i="56"/>
  <c r="AF595" i="56" s="1"/>
  <c r="Q595" i="56"/>
  <c r="AE595" i="56" s="1"/>
  <c r="P595" i="56"/>
  <c r="AD595" i="56" s="1"/>
  <c r="O595" i="56"/>
  <c r="N595" i="56"/>
  <c r="AB595" i="56" s="1"/>
  <c r="M595" i="56"/>
  <c r="AA595" i="56" s="1"/>
  <c r="L595" i="56"/>
  <c r="K595" i="56"/>
  <c r="J595" i="56"/>
  <c r="X595" i="56" s="1"/>
  <c r="H595" i="56"/>
  <c r="V595" i="56" s="1"/>
  <c r="F595" i="56"/>
  <c r="C595" i="56"/>
  <c r="AG594" i="56"/>
  <c r="AD594" i="56"/>
  <c r="Z594" i="56"/>
  <c r="Y594" i="56"/>
  <c r="S594" i="56"/>
  <c r="R594" i="56"/>
  <c r="AF594" i="56" s="1"/>
  <c r="Q594" i="56"/>
  <c r="AE594" i="56" s="1"/>
  <c r="P594" i="56"/>
  <c r="O594" i="56"/>
  <c r="AC594" i="56" s="1"/>
  <c r="N594" i="56"/>
  <c r="AB594" i="56" s="1"/>
  <c r="M594" i="56"/>
  <c r="AA594" i="56" s="1"/>
  <c r="L594" i="56"/>
  <c r="K594" i="56"/>
  <c r="J594" i="56"/>
  <c r="H594" i="56"/>
  <c r="F594" i="56"/>
  <c r="C594" i="56"/>
  <c r="AG593" i="56"/>
  <c r="AD593" i="56"/>
  <c r="Z593" i="56"/>
  <c r="Y593" i="56"/>
  <c r="S593" i="56"/>
  <c r="R593" i="56"/>
  <c r="AF593" i="56" s="1"/>
  <c r="Q593" i="56"/>
  <c r="AE593" i="56" s="1"/>
  <c r="P593" i="56"/>
  <c r="O593" i="56"/>
  <c r="AC593" i="56" s="1"/>
  <c r="N593" i="56"/>
  <c r="AB593" i="56" s="1"/>
  <c r="M593" i="56"/>
  <c r="AA593" i="56" s="1"/>
  <c r="L593" i="56"/>
  <c r="K593" i="56"/>
  <c r="J593" i="56"/>
  <c r="X593" i="56" s="1"/>
  <c r="H593" i="56"/>
  <c r="V593" i="56" s="1"/>
  <c r="F593" i="56"/>
  <c r="C593" i="56"/>
  <c r="AD592" i="56"/>
  <c r="V592" i="56"/>
  <c r="S592" i="56"/>
  <c r="AG592" i="56" s="1"/>
  <c r="R592" i="56"/>
  <c r="AF592" i="56" s="1"/>
  <c r="Q592" i="56"/>
  <c r="AE592" i="56" s="1"/>
  <c r="P592" i="56"/>
  <c r="O592" i="56"/>
  <c r="AC592" i="56" s="1"/>
  <c r="N592" i="56"/>
  <c r="AB592" i="56" s="1"/>
  <c r="M592" i="56"/>
  <c r="AA592" i="56" s="1"/>
  <c r="L592" i="56"/>
  <c r="Z592" i="56" s="1"/>
  <c r="K592" i="56"/>
  <c r="Y592" i="56" s="1"/>
  <c r="J592" i="56"/>
  <c r="H592" i="56"/>
  <c r="F592" i="56"/>
  <c r="C592" i="56"/>
  <c r="AC591" i="56"/>
  <c r="Y591" i="56"/>
  <c r="S591" i="56"/>
  <c r="AG591" i="56" s="1"/>
  <c r="R591" i="56"/>
  <c r="AF591" i="56" s="1"/>
  <c r="Q591" i="56"/>
  <c r="AE591" i="56" s="1"/>
  <c r="P591" i="56"/>
  <c r="AD591" i="56" s="1"/>
  <c r="O591" i="56"/>
  <c r="N591" i="56"/>
  <c r="AB591" i="56" s="1"/>
  <c r="M591" i="56"/>
  <c r="AA591" i="56" s="1"/>
  <c r="L591" i="56"/>
  <c r="Z591" i="56" s="1"/>
  <c r="K591" i="56"/>
  <c r="J591" i="56"/>
  <c r="H591" i="56"/>
  <c r="F591" i="56"/>
  <c r="C591" i="56"/>
  <c r="AG590" i="56"/>
  <c r="AF590" i="56"/>
  <c r="AE590" i="56"/>
  <c r="AD590" i="56"/>
  <c r="AB590" i="56"/>
  <c r="AA590" i="56"/>
  <c r="Z590" i="56"/>
  <c r="Y590" i="56"/>
  <c r="AH590" i="56" s="1"/>
  <c r="X590" i="56"/>
  <c r="V590" i="56"/>
  <c r="T590" i="56"/>
  <c r="AG589" i="56"/>
  <c r="AF589" i="56"/>
  <c r="AC589" i="56"/>
  <c r="Y589" i="56"/>
  <c r="X589" i="56"/>
  <c r="S589" i="56"/>
  <c r="R589" i="56"/>
  <c r="Q589" i="56"/>
  <c r="AE589" i="56" s="1"/>
  <c r="P589" i="56"/>
  <c r="AD589" i="56" s="1"/>
  <c r="O589" i="56"/>
  <c r="N589" i="56"/>
  <c r="AB589" i="56" s="1"/>
  <c r="M589" i="56"/>
  <c r="AA589" i="56" s="1"/>
  <c r="L589" i="56"/>
  <c r="K589" i="56"/>
  <c r="J589" i="56"/>
  <c r="H589" i="56"/>
  <c r="F589" i="56"/>
  <c r="C589" i="56"/>
  <c r="AF588" i="56"/>
  <c r="X588" i="56"/>
  <c r="S588" i="56"/>
  <c r="AG588" i="56" s="1"/>
  <c r="R588" i="56"/>
  <c r="Q588" i="56"/>
  <c r="AE588" i="56" s="1"/>
  <c r="P588" i="56"/>
  <c r="AD588" i="56" s="1"/>
  <c r="O588" i="56"/>
  <c r="AC588" i="56" s="1"/>
  <c r="N588" i="56"/>
  <c r="AB588" i="56" s="1"/>
  <c r="M588" i="56"/>
  <c r="AA588" i="56" s="1"/>
  <c r="L588" i="56"/>
  <c r="Z588" i="56" s="1"/>
  <c r="K588" i="56"/>
  <c r="Y588" i="56" s="1"/>
  <c r="J588" i="56"/>
  <c r="H588" i="56"/>
  <c r="F588" i="56"/>
  <c r="C588" i="56"/>
  <c r="AD587" i="56"/>
  <c r="Z587" i="56"/>
  <c r="S587" i="56"/>
  <c r="R587" i="56"/>
  <c r="AF587" i="56" s="1"/>
  <c r="Q587" i="56"/>
  <c r="P587" i="56"/>
  <c r="O587" i="56"/>
  <c r="N587" i="56"/>
  <c r="AB587" i="56" s="1"/>
  <c r="M587" i="56"/>
  <c r="AA587" i="56" s="1"/>
  <c r="L587" i="56"/>
  <c r="K587" i="56"/>
  <c r="J587" i="56"/>
  <c r="H587" i="56"/>
  <c r="F587" i="56"/>
  <c r="C587" i="56"/>
  <c r="V586" i="56"/>
  <c r="S586" i="56"/>
  <c r="AG586" i="56" s="1"/>
  <c r="R586" i="56"/>
  <c r="AF586" i="56" s="1"/>
  <c r="Q586" i="56"/>
  <c r="AE586" i="56" s="1"/>
  <c r="P586" i="56"/>
  <c r="AD586" i="56" s="1"/>
  <c r="O586" i="56"/>
  <c r="AC586" i="56" s="1"/>
  <c r="N586" i="56"/>
  <c r="AB586" i="56" s="1"/>
  <c r="M586" i="56"/>
  <c r="AA586" i="56" s="1"/>
  <c r="L586" i="56"/>
  <c r="Z586" i="56" s="1"/>
  <c r="K586" i="56"/>
  <c r="J586" i="56"/>
  <c r="X586" i="56" s="1"/>
  <c r="H586" i="56"/>
  <c r="F586" i="56"/>
  <c r="C586" i="56"/>
  <c r="AF585" i="56"/>
  <c r="AB585" i="56"/>
  <c r="S585" i="56"/>
  <c r="AG585" i="56" s="1"/>
  <c r="R585" i="56"/>
  <c r="Q585" i="56"/>
  <c r="AE585" i="56" s="1"/>
  <c r="P585" i="56"/>
  <c r="AD585" i="56" s="1"/>
  <c r="AD584" i="56" s="1"/>
  <c r="O585" i="56"/>
  <c r="AC585" i="56" s="1"/>
  <c r="N585" i="56"/>
  <c r="M585" i="56"/>
  <c r="AA585" i="56" s="1"/>
  <c r="L585" i="56"/>
  <c r="Z585" i="56" s="1"/>
  <c r="K585" i="56"/>
  <c r="Y585" i="56" s="1"/>
  <c r="J585" i="56"/>
  <c r="H585" i="56"/>
  <c r="H584" i="56" s="1"/>
  <c r="F585" i="56"/>
  <c r="C585" i="56"/>
  <c r="P584" i="56"/>
  <c r="M584" i="56"/>
  <c r="L584" i="56"/>
  <c r="E584" i="56"/>
  <c r="D584" i="56"/>
  <c r="W579" i="56"/>
  <c r="V579" i="56"/>
  <c r="I579" i="56"/>
  <c r="H579" i="56"/>
  <c r="C579" i="56"/>
  <c r="AH578" i="56"/>
  <c r="W578" i="56"/>
  <c r="T578" i="56"/>
  <c r="I578" i="56"/>
  <c r="G578" i="56" s="1"/>
  <c r="C578" i="56"/>
  <c r="AH577" i="56"/>
  <c r="W577" i="56"/>
  <c r="T577" i="56"/>
  <c r="I577" i="56"/>
  <c r="G577" i="56" s="1"/>
  <c r="C577" i="56"/>
  <c r="W576" i="56"/>
  <c r="V576" i="56"/>
  <c r="I576" i="56"/>
  <c r="H576" i="56"/>
  <c r="C576" i="56"/>
  <c r="W575" i="56"/>
  <c r="V575" i="56"/>
  <c r="I575" i="56"/>
  <c r="H575" i="56"/>
  <c r="C575" i="56"/>
  <c r="W574" i="56"/>
  <c r="U574" i="56" s="1"/>
  <c r="I574" i="56"/>
  <c r="G574" i="56"/>
  <c r="C574" i="56"/>
  <c r="W573" i="56"/>
  <c r="U573" i="56" s="1"/>
  <c r="I573" i="56"/>
  <c r="G573" i="56"/>
  <c r="C573" i="56"/>
  <c r="W572" i="56"/>
  <c r="V572" i="56"/>
  <c r="I572" i="56"/>
  <c r="H572" i="56"/>
  <c r="C572" i="56"/>
  <c r="W571" i="56"/>
  <c r="U571" i="56"/>
  <c r="I571" i="56"/>
  <c r="G571" i="56" s="1"/>
  <c r="C571" i="56"/>
  <c r="W570" i="56"/>
  <c r="U570" i="56" s="1"/>
  <c r="I570" i="56"/>
  <c r="G570" i="56" s="1"/>
  <c r="C570" i="56"/>
  <c r="W569" i="56"/>
  <c r="U569" i="56" s="1"/>
  <c r="I569" i="56"/>
  <c r="G569" i="56" s="1"/>
  <c r="C569" i="56"/>
  <c r="W568" i="56"/>
  <c r="U568" i="56"/>
  <c r="I568" i="56"/>
  <c r="G568" i="56" s="1"/>
  <c r="AI568" i="56" s="1"/>
  <c r="C568" i="56"/>
  <c r="W567" i="56"/>
  <c r="U567" i="56"/>
  <c r="I567" i="56"/>
  <c r="G567" i="56" s="1"/>
  <c r="C567" i="56"/>
  <c r="W566" i="56"/>
  <c r="U566" i="56"/>
  <c r="I566" i="56"/>
  <c r="G566" i="56"/>
  <c r="C566" i="56"/>
  <c r="W565" i="56"/>
  <c r="U565" i="56" s="1"/>
  <c r="I565" i="56"/>
  <c r="G565" i="56"/>
  <c r="AI565" i="56" s="1"/>
  <c r="C565" i="56"/>
  <c r="W564" i="56"/>
  <c r="V564" i="56"/>
  <c r="I564" i="56"/>
  <c r="H564" i="56"/>
  <c r="T564" i="56" s="1"/>
  <c r="C564" i="56"/>
  <c r="AG563" i="56"/>
  <c r="AF563" i="56"/>
  <c r="AE563" i="56"/>
  <c r="AD563" i="56"/>
  <c r="AC563" i="56"/>
  <c r="AB563" i="56"/>
  <c r="AA563" i="56"/>
  <c r="Z563" i="56"/>
  <c r="Y563" i="56"/>
  <c r="X563" i="56"/>
  <c r="S563" i="56"/>
  <c r="R563" i="56"/>
  <c r="Q563" i="56"/>
  <c r="P563" i="56"/>
  <c r="O563" i="56"/>
  <c r="N563" i="56"/>
  <c r="M563" i="56"/>
  <c r="L563" i="56"/>
  <c r="K563" i="56"/>
  <c r="J563" i="56"/>
  <c r="H563" i="56"/>
  <c r="F563" i="56"/>
  <c r="E563" i="56"/>
  <c r="D563" i="56"/>
  <c r="AH562" i="56"/>
  <c r="W562" i="56"/>
  <c r="U562" i="56" s="1"/>
  <c r="T562" i="56"/>
  <c r="I562" i="56"/>
  <c r="G562" i="56"/>
  <c r="C562" i="56"/>
  <c r="AH561" i="56"/>
  <c r="W561" i="56"/>
  <c r="U561" i="56"/>
  <c r="T561" i="56"/>
  <c r="I561" i="56"/>
  <c r="C561" i="56"/>
  <c r="AH560" i="56"/>
  <c r="U560" i="56" s="1"/>
  <c r="W560" i="56"/>
  <c r="T560" i="56"/>
  <c r="I560" i="56"/>
  <c r="C560" i="56"/>
  <c r="AE559" i="56"/>
  <c r="AD559" i="56"/>
  <c r="V559" i="56"/>
  <c r="AH559" i="56" s="1"/>
  <c r="Q559" i="56"/>
  <c r="Q555" i="56" s="1"/>
  <c r="P559" i="56"/>
  <c r="H559" i="56"/>
  <c r="T559" i="56" s="1"/>
  <c r="C559" i="56"/>
  <c r="AL558" i="56"/>
  <c r="W558" i="56"/>
  <c r="V558" i="56"/>
  <c r="AH558" i="56" s="1"/>
  <c r="U558" i="56"/>
  <c r="AI558" i="56" s="1"/>
  <c r="I558" i="56"/>
  <c r="H558" i="56"/>
  <c r="T558" i="56" s="1"/>
  <c r="G558" i="56"/>
  <c r="C558" i="56"/>
  <c r="AH557" i="56"/>
  <c r="W557" i="56"/>
  <c r="U557" i="56"/>
  <c r="T557" i="56"/>
  <c r="I557" i="56"/>
  <c r="C557" i="56"/>
  <c r="AH556" i="56"/>
  <c r="AG556" i="56"/>
  <c r="AF556" i="56"/>
  <c r="AE556" i="56"/>
  <c r="AD556" i="56"/>
  <c r="AC556" i="56"/>
  <c r="AB556" i="56"/>
  <c r="AA556" i="56"/>
  <c r="Z556" i="56"/>
  <c r="Y556" i="56"/>
  <c r="X556" i="56"/>
  <c r="W556" i="56"/>
  <c r="V556" i="56"/>
  <c r="V555" i="56" s="1"/>
  <c r="S556" i="56"/>
  <c r="R556" i="56"/>
  <c r="Q556" i="56"/>
  <c r="P556" i="56"/>
  <c r="O556" i="56"/>
  <c r="N556" i="56"/>
  <c r="N555" i="56" s="1"/>
  <c r="M556" i="56"/>
  <c r="L556" i="56"/>
  <c r="L555" i="56" s="1"/>
  <c r="K556" i="56"/>
  <c r="J556" i="56"/>
  <c r="J555" i="56" s="1"/>
  <c r="I556" i="56"/>
  <c r="H556" i="56"/>
  <c r="H555" i="56" s="1"/>
  <c r="F556" i="56"/>
  <c r="E556" i="56"/>
  <c r="D556" i="56"/>
  <c r="D555" i="56" s="1"/>
  <c r="C556" i="56"/>
  <c r="AG555" i="56"/>
  <c r="AF555" i="56"/>
  <c r="AE555" i="56"/>
  <c r="AD555" i="56"/>
  <c r="AC555" i="56"/>
  <c r="AB555" i="56"/>
  <c r="AA555" i="56"/>
  <c r="Z555" i="56"/>
  <c r="Y555" i="56"/>
  <c r="X555" i="56"/>
  <c r="S555" i="56"/>
  <c r="R555" i="56"/>
  <c r="O555" i="56"/>
  <c r="M555" i="56"/>
  <c r="K555" i="56"/>
  <c r="F555" i="56"/>
  <c r="E555" i="56"/>
  <c r="AL554" i="56"/>
  <c r="AK554" i="56"/>
  <c r="W553" i="56"/>
  <c r="U553" i="56"/>
  <c r="I553" i="56"/>
  <c r="G553" i="56" s="1"/>
  <c r="AH552" i="56"/>
  <c r="U552" i="56" s="1"/>
  <c r="W552" i="56"/>
  <c r="T552" i="56"/>
  <c r="I552" i="56"/>
  <c r="G552" i="56" s="1"/>
  <c r="AH551" i="56"/>
  <c r="W551" i="56"/>
  <c r="U551" i="56" s="1"/>
  <c r="T551" i="56"/>
  <c r="I551" i="56"/>
  <c r="AH550" i="56"/>
  <c r="W550" i="56"/>
  <c r="U550" i="56" s="1"/>
  <c r="T550" i="56"/>
  <c r="G550" i="56" s="1"/>
  <c r="I550" i="56"/>
  <c r="AH549" i="56"/>
  <c r="W549" i="56"/>
  <c r="T549" i="56"/>
  <c r="I549" i="56"/>
  <c r="G549" i="56" s="1"/>
  <c r="W548" i="56"/>
  <c r="U548" i="56"/>
  <c r="T548" i="56"/>
  <c r="I548" i="56"/>
  <c r="W547" i="56"/>
  <c r="U547" i="56" s="1"/>
  <c r="T547" i="56"/>
  <c r="G547" i="56" s="1"/>
  <c r="I547" i="56"/>
  <c r="W546" i="56"/>
  <c r="U546" i="56" s="1"/>
  <c r="T546" i="56"/>
  <c r="I546" i="56"/>
  <c r="AG545" i="56"/>
  <c r="AE545" i="56"/>
  <c r="AE544" i="56" s="1"/>
  <c r="AD545" i="56"/>
  <c r="V545" i="56"/>
  <c r="V544" i="56" s="1"/>
  <c r="V543" i="56" s="1"/>
  <c r="S545" i="56"/>
  <c r="Q545" i="56"/>
  <c r="P545" i="56"/>
  <c r="P544" i="56" s="1"/>
  <c r="P543" i="56" s="1"/>
  <c r="H545" i="56"/>
  <c r="C545" i="56"/>
  <c r="C544" i="56" s="1"/>
  <c r="C543" i="56" s="1"/>
  <c r="AG544" i="56"/>
  <c r="AF544" i="56"/>
  <c r="AF543" i="56" s="1"/>
  <c r="AD544" i="56"/>
  <c r="AD543" i="56" s="1"/>
  <c r="AC544" i="56"/>
  <c r="AC543" i="56" s="1"/>
  <c r="AB544" i="56"/>
  <c r="AB543" i="56" s="1"/>
  <c r="AA544" i="56"/>
  <c r="Z544" i="56"/>
  <c r="Z543" i="56" s="1"/>
  <c r="Y544" i="56"/>
  <c r="X544" i="56"/>
  <c r="X543" i="56" s="1"/>
  <c r="R544" i="56"/>
  <c r="Q544" i="56"/>
  <c r="Q543" i="56" s="1"/>
  <c r="O544" i="56"/>
  <c r="O543" i="56" s="1"/>
  <c r="N544" i="56"/>
  <c r="N543" i="56" s="1"/>
  <c r="M544" i="56"/>
  <c r="L544" i="56"/>
  <c r="L543" i="56" s="1"/>
  <c r="K544" i="56"/>
  <c r="K543" i="56" s="1"/>
  <c r="J544" i="56"/>
  <c r="J543" i="56" s="1"/>
  <c r="F544" i="56"/>
  <c r="E544" i="56"/>
  <c r="E543" i="56" s="1"/>
  <c r="D544" i="56"/>
  <c r="AG543" i="56"/>
  <c r="AE543" i="56"/>
  <c r="AA543" i="56"/>
  <c r="Y543" i="56"/>
  <c r="R543" i="56"/>
  <c r="M543" i="56"/>
  <c r="F543" i="56"/>
  <c r="D543" i="56"/>
  <c r="V542" i="56"/>
  <c r="AD542" i="56" s="1"/>
  <c r="W542" i="56" s="1"/>
  <c r="H542" i="56"/>
  <c r="C542" i="56"/>
  <c r="AG541" i="56"/>
  <c r="AE541" i="56"/>
  <c r="AA541" i="56"/>
  <c r="V541" i="56"/>
  <c r="S541" i="56"/>
  <c r="R541" i="56"/>
  <c r="AF541" i="56" s="1"/>
  <c r="O541" i="56"/>
  <c r="AC541" i="56" s="1"/>
  <c r="L541" i="56"/>
  <c r="K541" i="56"/>
  <c r="H541" i="56"/>
  <c r="AE540" i="56"/>
  <c r="AC540" i="56"/>
  <c r="AA540" i="56"/>
  <c r="X540" i="56"/>
  <c r="S540" i="56"/>
  <c r="AG540" i="56" s="1"/>
  <c r="R540" i="56"/>
  <c r="AF540" i="56" s="1"/>
  <c r="O540" i="56"/>
  <c r="N540" i="56"/>
  <c r="AB540" i="56" s="1"/>
  <c r="L540" i="56"/>
  <c r="Z540" i="56" s="1"/>
  <c r="K540" i="56"/>
  <c r="Y540" i="56" s="1"/>
  <c r="H540" i="56"/>
  <c r="V540" i="56" s="1"/>
  <c r="AF539" i="56"/>
  <c r="AC539" i="56"/>
  <c r="AB539" i="56"/>
  <c r="AA539" i="56"/>
  <c r="Z539" i="56"/>
  <c r="Y539" i="56"/>
  <c r="X539" i="56"/>
  <c r="S539" i="56"/>
  <c r="AG539" i="56" s="1"/>
  <c r="Q539" i="56"/>
  <c r="AE539" i="56" s="1"/>
  <c r="H539" i="56"/>
  <c r="C539" i="56"/>
  <c r="AH538" i="56"/>
  <c r="AD538" i="56"/>
  <c r="W538" i="56" s="1"/>
  <c r="U538" i="56" s="1"/>
  <c r="V538" i="56"/>
  <c r="H538" i="56"/>
  <c r="P538" i="56" s="1"/>
  <c r="I538" i="56" s="1"/>
  <c r="C538" i="56"/>
  <c r="AG537" i="56"/>
  <c r="AF537" i="56"/>
  <c r="AE537" i="56"/>
  <c r="AD537" i="56"/>
  <c r="AC537" i="56"/>
  <c r="AB537" i="56"/>
  <c r="AA537" i="56"/>
  <c r="Z537" i="56"/>
  <c r="Y537" i="56"/>
  <c r="X537" i="56"/>
  <c r="I537" i="56"/>
  <c r="H537" i="56"/>
  <c r="C537" i="56"/>
  <c r="AH536" i="56"/>
  <c r="AD536" i="56"/>
  <c r="W536" i="56"/>
  <c r="V536" i="56"/>
  <c r="T536" i="56"/>
  <c r="P536" i="56"/>
  <c r="I536" i="56" s="1"/>
  <c r="H536" i="56"/>
  <c r="C536" i="56"/>
  <c r="AD535" i="56"/>
  <c r="W535" i="56" s="1"/>
  <c r="V535" i="56"/>
  <c r="P535" i="56"/>
  <c r="I535" i="56" s="1"/>
  <c r="H535" i="56"/>
  <c r="C535" i="56"/>
  <c r="AH534" i="56"/>
  <c r="W534" i="56"/>
  <c r="T534" i="56"/>
  <c r="I534" i="56"/>
  <c r="G534" i="56"/>
  <c r="C534" i="56"/>
  <c r="AH533" i="56"/>
  <c r="W533" i="56"/>
  <c r="U533" i="56" s="1"/>
  <c r="T533" i="56"/>
  <c r="G533" i="56" s="1"/>
  <c r="I533" i="56"/>
  <c r="C533" i="56"/>
  <c r="Z532" i="56"/>
  <c r="Z531" i="56" s="1"/>
  <c r="V532" i="56"/>
  <c r="L532" i="56"/>
  <c r="H532" i="56"/>
  <c r="H531" i="56" s="1"/>
  <c r="C532" i="56"/>
  <c r="AG531" i="56"/>
  <c r="AF531" i="56"/>
  <c r="AE531" i="56"/>
  <c r="AC531" i="56"/>
  <c r="AB531" i="56"/>
  <c r="AA531" i="56"/>
  <c r="Y531" i="56"/>
  <c r="X531" i="56"/>
  <c r="V531" i="56"/>
  <c r="S531" i="56"/>
  <c r="R531" i="56"/>
  <c r="Q531" i="56"/>
  <c r="O531" i="56"/>
  <c r="N531" i="56"/>
  <c r="M531" i="56"/>
  <c r="K531" i="56"/>
  <c r="J531" i="56"/>
  <c r="F531" i="56"/>
  <c r="E531" i="56"/>
  <c r="D531" i="56"/>
  <c r="AH530" i="56"/>
  <c r="AD530" i="56"/>
  <c r="W530" i="56" s="1"/>
  <c r="T530" i="56"/>
  <c r="P530" i="56"/>
  <c r="I530" i="56" s="1"/>
  <c r="C530" i="56"/>
  <c r="C528" i="56" s="1"/>
  <c r="V529" i="56"/>
  <c r="AH529" i="56" s="1"/>
  <c r="T529" i="56"/>
  <c r="T528" i="56" s="1"/>
  <c r="H529" i="56"/>
  <c r="P529" i="56" s="1"/>
  <c r="I529" i="56" s="1"/>
  <c r="C529" i="56"/>
  <c r="AG528" i="56"/>
  <c r="AF528" i="56"/>
  <c r="AF508" i="56" s="1"/>
  <c r="AF507" i="56" s="1"/>
  <c r="AE528" i="56"/>
  <c r="AC528" i="56"/>
  <c r="AB528" i="56"/>
  <c r="AA528" i="56"/>
  <c r="Z528" i="56"/>
  <c r="Y528" i="56"/>
  <c r="X528" i="56"/>
  <c r="V528" i="56"/>
  <c r="S528" i="56"/>
  <c r="R528" i="56"/>
  <c r="Q528" i="56"/>
  <c r="O528" i="56"/>
  <c r="N528" i="56"/>
  <c r="M528" i="56"/>
  <c r="L528" i="56"/>
  <c r="K528" i="56"/>
  <c r="J528" i="56"/>
  <c r="H528" i="56"/>
  <c r="F528" i="56"/>
  <c r="E528" i="56"/>
  <c r="E508" i="56" s="1"/>
  <c r="D528" i="56"/>
  <c r="V527" i="56"/>
  <c r="H527" i="56"/>
  <c r="T527" i="56" s="1"/>
  <c r="C527" i="56"/>
  <c r="V526" i="56"/>
  <c r="H526" i="56"/>
  <c r="T526" i="56" s="1"/>
  <c r="C526" i="56"/>
  <c r="C524" i="56" s="1"/>
  <c r="V525" i="56"/>
  <c r="AD525" i="56" s="1"/>
  <c r="W525" i="56" s="1"/>
  <c r="H525" i="56"/>
  <c r="C525" i="56"/>
  <c r="AG524" i="56"/>
  <c r="AF524" i="56"/>
  <c r="AE524" i="56"/>
  <c r="AC524" i="56"/>
  <c r="AB524" i="56"/>
  <c r="AA524" i="56"/>
  <c r="Z524" i="56"/>
  <c r="Y524" i="56"/>
  <c r="X524" i="56"/>
  <c r="S524" i="56"/>
  <c r="R524" i="56"/>
  <c r="Q524" i="56"/>
  <c r="O524" i="56"/>
  <c r="N524" i="56"/>
  <c r="M524" i="56"/>
  <c r="L524" i="56"/>
  <c r="K524" i="56"/>
  <c r="J524" i="56"/>
  <c r="F524" i="56"/>
  <c r="E524" i="56"/>
  <c r="D524" i="56"/>
  <c r="V523" i="56"/>
  <c r="AH523" i="56" s="1"/>
  <c r="H523" i="56"/>
  <c r="P523" i="56" s="1"/>
  <c r="I523" i="56" s="1"/>
  <c r="C523" i="56"/>
  <c r="V522" i="56"/>
  <c r="AH522" i="56" s="1"/>
  <c r="T522" i="56"/>
  <c r="G522" i="56" s="1"/>
  <c r="H522" i="56"/>
  <c r="P522" i="56" s="1"/>
  <c r="I522" i="56" s="1"/>
  <c r="C522" i="56"/>
  <c r="V521" i="56"/>
  <c r="H521" i="56"/>
  <c r="T521" i="56" s="1"/>
  <c r="C521" i="56"/>
  <c r="AH520" i="56"/>
  <c r="W520" i="56"/>
  <c r="T520" i="56"/>
  <c r="I520" i="56"/>
  <c r="C520" i="56"/>
  <c r="AH519" i="56"/>
  <c r="AD519" i="56"/>
  <c r="W519" i="56" s="1"/>
  <c r="U519" i="56" s="1"/>
  <c r="T519" i="56"/>
  <c r="I519" i="56"/>
  <c r="C519" i="56"/>
  <c r="W518" i="56"/>
  <c r="V518" i="56"/>
  <c r="I518" i="56"/>
  <c r="H518" i="56"/>
  <c r="T518" i="56" s="1"/>
  <c r="C518" i="56"/>
  <c r="AH517" i="56"/>
  <c r="AD517" i="56"/>
  <c r="W517" i="56" s="1"/>
  <c r="U517" i="56" s="1"/>
  <c r="AI517" i="56" s="1"/>
  <c r="T517" i="56"/>
  <c r="G517" i="56" s="1"/>
  <c r="P517" i="56"/>
  <c r="I517" i="56" s="1"/>
  <c r="C517" i="56"/>
  <c r="AH516" i="56"/>
  <c r="AD516" i="56"/>
  <c r="W516" i="56"/>
  <c r="T516" i="56"/>
  <c r="I516" i="56"/>
  <c r="G516" i="56" s="1"/>
  <c r="C516" i="56"/>
  <c r="V515" i="56"/>
  <c r="V514" i="56" s="1"/>
  <c r="P515" i="56"/>
  <c r="H515" i="56"/>
  <c r="T515" i="56" s="1"/>
  <c r="C515" i="56"/>
  <c r="AG514" i="56"/>
  <c r="AF514" i="56"/>
  <c r="AE514" i="56"/>
  <c r="AC514" i="56"/>
  <c r="AB514" i="56"/>
  <c r="AA514" i="56"/>
  <c r="Z514" i="56"/>
  <c r="Y514" i="56"/>
  <c r="X514" i="56"/>
  <c r="S514" i="56"/>
  <c r="R514" i="56"/>
  <c r="R508" i="56" s="1"/>
  <c r="R507" i="56" s="1"/>
  <c r="Q514" i="56"/>
  <c r="O514" i="56"/>
  <c r="N514" i="56"/>
  <c r="M514" i="56"/>
  <c r="L514" i="56"/>
  <c r="K514" i="56"/>
  <c r="J514" i="56"/>
  <c r="H514" i="56"/>
  <c r="F514" i="56"/>
  <c r="F508" i="56" s="1"/>
  <c r="E514" i="56"/>
  <c r="D514" i="56"/>
  <c r="V513" i="56"/>
  <c r="H513" i="56"/>
  <c r="C513" i="56"/>
  <c r="AH512" i="56"/>
  <c r="AD512" i="56"/>
  <c r="W512" i="56" s="1"/>
  <c r="U512" i="56" s="1"/>
  <c r="V512" i="56"/>
  <c r="T512" i="56"/>
  <c r="P512" i="56"/>
  <c r="I512" i="56"/>
  <c r="G512" i="56" s="1"/>
  <c r="H512" i="56"/>
  <c r="C512" i="56"/>
  <c r="AD511" i="56"/>
  <c r="V511" i="56"/>
  <c r="AH511" i="56" s="1"/>
  <c r="T511" i="56"/>
  <c r="P511" i="56"/>
  <c r="H511" i="56"/>
  <c r="C511" i="56"/>
  <c r="AD510" i="56"/>
  <c r="Z510" i="56"/>
  <c r="V510" i="56"/>
  <c r="P510" i="56"/>
  <c r="L510" i="56"/>
  <c r="L509" i="56" s="1"/>
  <c r="H510" i="56"/>
  <c r="C510" i="56"/>
  <c r="AG509" i="56"/>
  <c r="AF509" i="56"/>
  <c r="AE509" i="56"/>
  <c r="AC509" i="56"/>
  <c r="AB509" i="56"/>
  <c r="AB508" i="56" s="1"/>
  <c r="AB507" i="56" s="1"/>
  <c r="AA509" i="56"/>
  <c r="Y509" i="56"/>
  <c r="X509" i="56"/>
  <c r="V509" i="56"/>
  <c r="S509" i="56"/>
  <c r="R509" i="56"/>
  <c r="Q509" i="56"/>
  <c r="O509" i="56"/>
  <c r="N509" i="56"/>
  <c r="M509" i="56"/>
  <c r="M508" i="56" s="1"/>
  <c r="M507" i="56" s="1"/>
  <c r="K509" i="56"/>
  <c r="J509" i="56"/>
  <c r="F509" i="56"/>
  <c r="E509" i="56"/>
  <c r="D509" i="56"/>
  <c r="D508" i="56" s="1"/>
  <c r="AG506" i="56"/>
  <c r="AG502" i="56" s="1"/>
  <c r="AG501" i="56" s="1"/>
  <c r="AF506" i="56"/>
  <c r="AF502" i="56" s="1"/>
  <c r="AF501" i="56" s="1"/>
  <c r="AE506" i="56"/>
  <c r="AD506" i="56"/>
  <c r="AC506" i="56"/>
  <c r="AB506" i="56"/>
  <c r="AB502" i="56" s="1"/>
  <c r="AB501" i="56" s="1"/>
  <c r="AA506" i="56"/>
  <c r="Z506" i="56"/>
  <c r="Y506" i="56"/>
  <c r="Y502" i="56" s="1"/>
  <c r="Y501" i="56" s="1"/>
  <c r="X506" i="56"/>
  <c r="I506" i="56"/>
  <c r="H506" i="56"/>
  <c r="V506" i="56" s="1"/>
  <c r="C506" i="56"/>
  <c r="W505" i="56"/>
  <c r="U505" i="56" s="1"/>
  <c r="I505" i="56"/>
  <c r="G505" i="56" s="1"/>
  <c r="C505" i="56"/>
  <c r="V504" i="56"/>
  <c r="T504" i="56"/>
  <c r="P504" i="56"/>
  <c r="I504" i="56" s="1"/>
  <c r="C504" i="56"/>
  <c r="AH503" i="56"/>
  <c r="U503" i="56" s="1"/>
  <c r="V503" i="56"/>
  <c r="AD503" i="56" s="1"/>
  <c r="W503" i="56" s="1"/>
  <c r="H503" i="56"/>
  <c r="C503" i="56"/>
  <c r="AE502" i="56"/>
  <c r="AC502" i="56"/>
  <c r="AC501" i="56" s="1"/>
  <c r="AA502" i="56"/>
  <c r="Z502" i="56"/>
  <c r="Z501" i="56" s="1"/>
  <c r="S502" i="56"/>
  <c r="R502" i="56"/>
  <c r="R501" i="56" s="1"/>
  <c r="Q502" i="56"/>
  <c r="Q501" i="56" s="1"/>
  <c r="O502" i="56"/>
  <c r="O501" i="56" s="1"/>
  <c r="N502" i="56"/>
  <c r="M502" i="56"/>
  <c r="M501" i="56" s="1"/>
  <c r="L502" i="56"/>
  <c r="K502" i="56"/>
  <c r="J502" i="56"/>
  <c r="F502" i="56"/>
  <c r="F501" i="56" s="1"/>
  <c r="E502" i="56"/>
  <c r="D502" i="56"/>
  <c r="D501" i="56" s="1"/>
  <c r="AE501" i="56"/>
  <c r="AA501" i="56"/>
  <c r="S501" i="56"/>
  <c r="N501" i="56"/>
  <c r="L501" i="56"/>
  <c r="K501" i="56"/>
  <c r="J501" i="56"/>
  <c r="E501" i="56"/>
  <c r="W500" i="56"/>
  <c r="U500" i="56" s="1"/>
  <c r="I500" i="56"/>
  <c r="G500" i="56" s="1"/>
  <c r="W499" i="56"/>
  <c r="V499" i="56"/>
  <c r="AH499" i="56" s="1"/>
  <c r="T499" i="56"/>
  <c r="I499" i="56"/>
  <c r="H499" i="56"/>
  <c r="C499" i="56"/>
  <c r="AE498" i="56"/>
  <c r="AD498" i="56"/>
  <c r="AB498" i="56"/>
  <c r="AA498" i="56"/>
  <c r="S498" i="56"/>
  <c r="AG498" i="56" s="1"/>
  <c r="R498" i="56"/>
  <c r="AF498" i="56" s="1"/>
  <c r="O498" i="56"/>
  <c r="AC498" i="56" s="1"/>
  <c r="L498" i="56"/>
  <c r="Z498" i="56" s="1"/>
  <c r="K498" i="56"/>
  <c r="Y498" i="56" s="1"/>
  <c r="H498" i="56"/>
  <c r="W497" i="56"/>
  <c r="U497" i="56"/>
  <c r="I497" i="56"/>
  <c r="G497" i="56" s="1"/>
  <c r="AH496" i="56"/>
  <c r="W496" i="56"/>
  <c r="U496" i="56" s="1"/>
  <c r="T496" i="56"/>
  <c r="G496" i="56" s="1"/>
  <c r="I496" i="56"/>
  <c r="C496" i="56"/>
  <c r="W495" i="56"/>
  <c r="V495" i="56"/>
  <c r="AH495" i="56" s="1"/>
  <c r="I495" i="56"/>
  <c r="H495" i="56"/>
  <c r="C495" i="56"/>
  <c r="W494" i="56"/>
  <c r="U494" i="56"/>
  <c r="I494" i="56"/>
  <c r="G494" i="56"/>
  <c r="W493" i="56"/>
  <c r="U493" i="56" s="1"/>
  <c r="I493" i="56"/>
  <c r="G493" i="56" s="1"/>
  <c r="AI493" i="56" s="1"/>
  <c r="W492" i="56"/>
  <c r="U492" i="56" s="1"/>
  <c r="V492" i="56"/>
  <c r="AH492" i="56" s="1"/>
  <c r="I492" i="56"/>
  <c r="H492" i="56"/>
  <c r="T492" i="56" s="1"/>
  <c r="G492" i="56" s="1"/>
  <c r="C492" i="56"/>
  <c r="W491" i="56"/>
  <c r="V491" i="56"/>
  <c r="I491" i="56"/>
  <c r="H491" i="56"/>
  <c r="W490" i="56"/>
  <c r="V490" i="56"/>
  <c r="I490" i="56"/>
  <c r="H490" i="56"/>
  <c r="C490" i="56"/>
  <c r="W489" i="56"/>
  <c r="U489" i="56"/>
  <c r="I489" i="56"/>
  <c r="G489" i="56" s="1"/>
  <c r="W488" i="56"/>
  <c r="U488" i="56" s="1"/>
  <c r="I488" i="56"/>
  <c r="G488" i="56" s="1"/>
  <c r="AD487" i="56"/>
  <c r="W487" i="56" s="1"/>
  <c r="V487" i="56"/>
  <c r="AH487" i="56" s="1"/>
  <c r="T487" i="56"/>
  <c r="H487" i="56"/>
  <c r="P487" i="56" s="1"/>
  <c r="I487" i="56" s="1"/>
  <c r="C487" i="56"/>
  <c r="W486" i="56"/>
  <c r="U486" i="56" s="1"/>
  <c r="AI486" i="56" s="1"/>
  <c r="I486" i="56"/>
  <c r="G486" i="56" s="1"/>
  <c r="AH485" i="56"/>
  <c r="W485" i="56"/>
  <c r="U485" i="56" s="1"/>
  <c r="T485" i="56"/>
  <c r="I485" i="56"/>
  <c r="G485" i="56"/>
  <c r="W484" i="56"/>
  <c r="U484" i="56" s="1"/>
  <c r="I484" i="56"/>
  <c r="G484" i="56"/>
  <c r="V483" i="56"/>
  <c r="AH483" i="56" s="1"/>
  <c r="H483" i="56"/>
  <c r="T483" i="56" s="1"/>
  <c r="C483" i="56"/>
  <c r="W482" i="56"/>
  <c r="U482" i="56" s="1"/>
  <c r="I482" i="56"/>
  <c r="G482" i="56" s="1"/>
  <c r="AH481" i="56"/>
  <c r="W481" i="56"/>
  <c r="T481" i="56"/>
  <c r="I481" i="56"/>
  <c r="V480" i="56"/>
  <c r="H480" i="56"/>
  <c r="T480" i="56" s="1"/>
  <c r="C480" i="56"/>
  <c r="V479" i="56"/>
  <c r="AD479" i="56" s="1"/>
  <c r="W479" i="56" s="1"/>
  <c r="H479" i="56"/>
  <c r="C479" i="56"/>
  <c r="AH478" i="56"/>
  <c r="W478" i="56"/>
  <c r="T478" i="56"/>
  <c r="P478" i="56"/>
  <c r="I478" i="56" s="1"/>
  <c r="G478" i="56" s="1"/>
  <c r="V477" i="56"/>
  <c r="P477" i="56"/>
  <c r="I477" i="56" s="1"/>
  <c r="H477" i="56"/>
  <c r="T477" i="56" s="1"/>
  <c r="C477" i="56"/>
  <c r="V476" i="56"/>
  <c r="H476" i="56"/>
  <c r="C476" i="56"/>
  <c r="AH475" i="56"/>
  <c r="W475" i="56"/>
  <c r="T475" i="56"/>
  <c r="P475" i="56"/>
  <c r="I475" i="56" s="1"/>
  <c r="V474" i="56"/>
  <c r="H474" i="56"/>
  <c r="T474" i="56" s="1"/>
  <c r="C474" i="56"/>
  <c r="AG473" i="56"/>
  <c r="AF473" i="56"/>
  <c r="AE473" i="56"/>
  <c r="AE472" i="56" s="1"/>
  <c r="AC473" i="56"/>
  <c r="AC472" i="56" s="1"/>
  <c r="AB473" i="56"/>
  <c r="AA473" i="56"/>
  <c r="Z473" i="56"/>
  <c r="Y473" i="56"/>
  <c r="Y472" i="56" s="1"/>
  <c r="X473" i="56"/>
  <c r="S473" i="56"/>
  <c r="R473" i="56"/>
  <c r="Q473" i="56"/>
  <c r="Q472" i="56" s="1"/>
  <c r="O473" i="56"/>
  <c r="N473" i="56"/>
  <c r="M473" i="56"/>
  <c r="L473" i="56"/>
  <c r="L472" i="56" s="1"/>
  <c r="K473" i="56"/>
  <c r="J473" i="56"/>
  <c r="F473" i="56"/>
  <c r="F472" i="56" s="1"/>
  <c r="E473" i="56"/>
  <c r="D473" i="56"/>
  <c r="AG472" i="56"/>
  <c r="AF472" i="56"/>
  <c r="AB472" i="56"/>
  <c r="AA472" i="56"/>
  <c r="X472" i="56"/>
  <c r="S472" i="56"/>
  <c r="R472" i="56"/>
  <c r="O472" i="56"/>
  <c r="N472" i="56"/>
  <c r="M472" i="56"/>
  <c r="K472" i="56"/>
  <c r="J472" i="56"/>
  <c r="E472" i="56"/>
  <c r="D472" i="56"/>
  <c r="W471" i="56"/>
  <c r="U471" i="56" s="1"/>
  <c r="I471" i="56"/>
  <c r="G471" i="56" s="1"/>
  <c r="AG470" i="56"/>
  <c r="AE470" i="56"/>
  <c r="AE465" i="56" s="1"/>
  <c r="AE464" i="56" s="1"/>
  <c r="AA470" i="56"/>
  <c r="S470" i="56"/>
  <c r="R470" i="56"/>
  <c r="AF470" i="56" s="1"/>
  <c r="O470" i="56"/>
  <c r="AC470" i="56" s="1"/>
  <c r="L470" i="56"/>
  <c r="K470" i="56"/>
  <c r="Y470" i="56" s="1"/>
  <c r="H470" i="56"/>
  <c r="P470" i="56" s="1"/>
  <c r="AG469" i="56"/>
  <c r="AE469" i="56"/>
  <c r="AD469" i="56"/>
  <c r="Z469" i="56"/>
  <c r="Z465" i="56" s="1"/>
  <c r="Z464" i="56" s="1"/>
  <c r="S469" i="56"/>
  <c r="R469" i="56"/>
  <c r="AF469" i="56" s="1"/>
  <c r="O469" i="56"/>
  <c r="AC469" i="56" s="1"/>
  <c r="N469" i="56"/>
  <c r="AB469" i="56" s="1"/>
  <c r="M469" i="56"/>
  <c r="AA469" i="56" s="1"/>
  <c r="L469" i="56"/>
  <c r="K469" i="56"/>
  <c r="T469" i="56" s="1"/>
  <c r="H469" i="56"/>
  <c r="V469" i="56" s="1"/>
  <c r="AE468" i="56"/>
  <c r="AD468" i="56"/>
  <c r="AC468" i="56"/>
  <c r="AA468" i="56"/>
  <c r="S468" i="56"/>
  <c r="R468" i="56"/>
  <c r="AF468" i="56" s="1"/>
  <c r="O468" i="56"/>
  <c r="N468" i="56"/>
  <c r="AB468" i="56" s="1"/>
  <c r="M468" i="56"/>
  <c r="M465" i="56" s="1"/>
  <c r="M464" i="56" s="1"/>
  <c r="L468" i="56"/>
  <c r="L465" i="56" s="1"/>
  <c r="L464" i="56" s="1"/>
  <c r="K468" i="56"/>
  <c r="Y468" i="56" s="1"/>
  <c r="H468" i="56"/>
  <c r="T468" i="56" s="1"/>
  <c r="AH467" i="56"/>
  <c r="U467" i="56" s="1"/>
  <c r="W467" i="56"/>
  <c r="T467" i="56"/>
  <c r="I467" i="56"/>
  <c r="G467" i="56" s="1"/>
  <c r="W466" i="56"/>
  <c r="U466" i="56" s="1"/>
  <c r="I466" i="56"/>
  <c r="G466" i="56" s="1"/>
  <c r="AL466" i="56" s="1"/>
  <c r="X465" i="56"/>
  <c r="X464" i="56" s="1"/>
  <c r="Q465" i="56"/>
  <c r="J465" i="56"/>
  <c r="J464" i="56" s="1"/>
  <c r="F465" i="56"/>
  <c r="E465" i="56"/>
  <c r="D465" i="56"/>
  <c r="C465" i="56"/>
  <c r="Q464" i="56"/>
  <c r="F464" i="56"/>
  <c r="E464" i="56"/>
  <c r="D464" i="56"/>
  <c r="C464" i="56"/>
  <c r="AE463" i="56"/>
  <c r="AE462" i="56" s="1"/>
  <c r="AD463" i="56"/>
  <c r="AD462" i="56" s="1"/>
  <c r="AB463" i="56"/>
  <c r="AA463" i="56"/>
  <c r="AA462" i="56" s="1"/>
  <c r="Y463" i="56"/>
  <c r="Y462" i="56" s="1"/>
  <c r="S463" i="56"/>
  <c r="AG463" i="56" s="1"/>
  <c r="R463" i="56"/>
  <c r="O463" i="56"/>
  <c r="L463" i="56"/>
  <c r="K463" i="56"/>
  <c r="I463" i="56" s="1"/>
  <c r="I462" i="56" s="1"/>
  <c r="I461" i="56" s="1"/>
  <c r="H463" i="56"/>
  <c r="AG462" i="56"/>
  <c r="AB462" i="56"/>
  <c r="X462" i="56"/>
  <c r="S462" i="56"/>
  <c r="S461" i="56" s="1"/>
  <c r="AG461" i="56" s="1"/>
  <c r="Q462" i="56"/>
  <c r="Q461" i="56" s="1"/>
  <c r="AE461" i="56" s="1"/>
  <c r="P462" i="56"/>
  <c r="N462" i="56"/>
  <c r="M462" i="56"/>
  <c r="M461" i="56" s="1"/>
  <c r="AA461" i="56" s="1"/>
  <c r="J462" i="56"/>
  <c r="H462" i="56"/>
  <c r="H461" i="56" s="1"/>
  <c r="V461" i="56" s="1"/>
  <c r="F462" i="56"/>
  <c r="E462" i="56"/>
  <c r="D462" i="56"/>
  <c r="D461" i="56" s="1"/>
  <c r="C462" i="56"/>
  <c r="C461" i="56" s="1"/>
  <c r="P461" i="56"/>
  <c r="AD461" i="56" s="1"/>
  <c r="N461" i="56"/>
  <c r="AB461" i="56" s="1"/>
  <c r="J461" i="56"/>
  <c r="X461" i="56" s="1"/>
  <c r="F461" i="56"/>
  <c r="E461" i="56"/>
  <c r="W460" i="56"/>
  <c r="W459" i="56" s="1"/>
  <c r="V460" i="56"/>
  <c r="V459" i="56" s="1"/>
  <c r="I460" i="56"/>
  <c r="H460" i="56"/>
  <c r="C460" i="56"/>
  <c r="C459" i="56" s="1"/>
  <c r="AG459" i="56"/>
  <c r="AF459" i="56"/>
  <c r="AE459" i="56"/>
  <c r="AD459" i="56"/>
  <c r="AC459" i="56"/>
  <c r="AB459" i="56"/>
  <c r="AA459" i="56"/>
  <c r="Z459" i="56"/>
  <c r="Y459" i="56"/>
  <c r="X459" i="56"/>
  <c r="S459" i="56"/>
  <c r="R459" i="56"/>
  <c r="Q459" i="56"/>
  <c r="P459" i="56"/>
  <c r="O459" i="56"/>
  <c r="N459" i="56"/>
  <c r="M459" i="56"/>
  <c r="L459" i="56"/>
  <c r="K459" i="56"/>
  <c r="J459" i="56"/>
  <c r="I459" i="56"/>
  <c r="F459" i="56"/>
  <c r="E459" i="56"/>
  <c r="D459" i="56"/>
  <c r="AF458" i="56"/>
  <c r="AE458" i="56"/>
  <c r="AD458" i="56"/>
  <c r="AB458" i="56"/>
  <c r="AA458" i="56"/>
  <c r="S458" i="56"/>
  <c r="AG458" i="56" s="1"/>
  <c r="R458" i="56"/>
  <c r="O458" i="56"/>
  <c r="AC458" i="56" s="1"/>
  <c r="L458" i="56"/>
  <c r="Z458" i="56" s="1"/>
  <c r="K458" i="56"/>
  <c r="Y458" i="56" s="1"/>
  <c r="H458" i="56"/>
  <c r="AE457" i="56"/>
  <c r="AD457" i="56"/>
  <c r="AB457" i="56"/>
  <c r="AA457" i="56"/>
  <c r="S457" i="56"/>
  <c r="R457" i="56"/>
  <c r="AF457" i="56" s="1"/>
  <c r="O457" i="56"/>
  <c r="AC457" i="56" s="1"/>
  <c r="L457" i="56"/>
  <c r="Z457" i="56" s="1"/>
  <c r="K457" i="56"/>
  <c r="H457" i="56"/>
  <c r="V457" i="56" s="1"/>
  <c r="W456" i="56"/>
  <c r="U456" i="56" s="1"/>
  <c r="I456" i="56"/>
  <c r="G456" i="56" s="1"/>
  <c r="AG455" i="56"/>
  <c r="AE455" i="56"/>
  <c r="AD455" i="56"/>
  <c r="AB455" i="56"/>
  <c r="AA455" i="56"/>
  <c r="Z455" i="56"/>
  <c r="X455" i="56"/>
  <c r="S455" i="56"/>
  <c r="R455" i="56"/>
  <c r="AF455" i="56" s="1"/>
  <c r="O455" i="56"/>
  <c r="L455" i="56"/>
  <c r="K455" i="56"/>
  <c r="Y455" i="56" s="1"/>
  <c r="H455" i="56"/>
  <c r="AE454" i="56"/>
  <c r="AE452" i="56" s="1"/>
  <c r="AD454" i="56"/>
  <c r="AB454" i="56"/>
  <c r="AA454" i="56"/>
  <c r="Y454" i="56"/>
  <c r="X454" i="56"/>
  <c r="S454" i="56"/>
  <c r="AG454" i="56" s="1"/>
  <c r="R454" i="56"/>
  <c r="AF454" i="56" s="1"/>
  <c r="O454" i="56"/>
  <c r="L454" i="56"/>
  <c r="Z454" i="56" s="1"/>
  <c r="K454" i="56"/>
  <c r="H454" i="56"/>
  <c r="AG453" i="56"/>
  <c r="AF453" i="56"/>
  <c r="AE453" i="56"/>
  <c r="AD453" i="56"/>
  <c r="AC453" i="56"/>
  <c r="AB453" i="56"/>
  <c r="AA453" i="56"/>
  <c r="Y453" i="56"/>
  <c r="X453" i="56"/>
  <c r="X452" i="56" s="1"/>
  <c r="X451" i="56" s="1"/>
  <c r="L453" i="56"/>
  <c r="H453" i="56"/>
  <c r="Q452" i="56"/>
  <c r="P452" i="56"/>
  <c r="P451" i="56" s="1"/>
  <c r="N452" i="56"/>
  <c r="N451" i="56" s="1"/>
  <c r="M452" i="56"/>
  <c r="J452" i="56"/>
  <c r="F452" i="56"/>
  <c r="F451" i="56" s="1"/>
  <c r="E452" i="56"/>
  <c r="E451" i="56" s="1"/>
  <c r="D452" i="56"/>
  <c r="C452" i="56"/>
  <c r="C451" i="56" s="1"/>
  <c r="AE451" i="56"/>
  <c r="Q451" i="56"/>
  <c r="M451" i="56"/>
  <c r="J451" i="56"/>
  <c r="D451" i="56"/>
  <c r="AH450" i="56"/>
  <c r="W450" i="56"/>
  <c r="V450" i="56"/>
  <c r="U450" i="56"/>
  <c r="T450" i="56"/>
  <c r="I450" i="56"/>
  <c r="H450" i="56"/>
  <c r="G450" i="56"/>
  <c r="C450" i="56"/>
  <c r="AH449" i="56"/>
  <c r="W449" i="56"/>
  <c r="U449" i="56"/>
  <c r="T449" i="56"/>
  <c r="I449" i="56"/>
  <c r="C449" i="56"/>
  <c r="AH448" i="56"/>
  <c r="W448" i="56"/>
  <c r="T448" i="56"/>
  <c r="I448" i="56"/>
  <c r="G448" i="56" s="1"/>
  <c r="C448" i="56"/>
  <c r="AH447" i="56"/>
  <c r="V447" i="56"/>
  <c r="AD447" i="56" s="1"/>
  <c r="T447" i="56"/>
  <c r="T445" i="56" s="1"/>
  <c r="T444" i="56" s="1"/>
  <c r="H447" i="56"/>
  <c r="P447" i="56" s="1"/>
  <c r="I447" i="56" s="1"/>
  <c r="C447" i="56"/>
  <c r="W446" i="56"/>
  <c r="U446" i="56"/>
  <c r="I446" i="56"/>
  <c r="AG445" i="56"/>
  <c r="AF445" i="56"/>
  <c r="AF444" i="56" s="1"/>
  <c r="AE445" i="56"/>
  <c r="AE444" i="56" s="1"/>
  <c r="AC445" i="56"/>
  <c r="AC444" i="56" s="1"/>
  <c r="AB445" i="56"/>
  <c r="AA445" i="56"/>
  <c r="Z445" i="56"/>
  <c r="Z444" i="56" s="1"/>
  <c r="Y445" i="56"/>
  <c r="Y444" i="56" s="1"/>
  <c r="X445" i="56"/>
  <c r="V445" i="56"/>
  <c r="S445" i="56"/>
  <c r="S444" i="56" s="1"/>
  <c r="R445" i="56"/>
  <c r="R444" i="56" s="1"/>
  <c r="Q445" i="56"/>
  <c r="Q444" i="56" s="1"/>
  <c r="O445" i="56"/>
  <c r="N445" i="56"/>
  <c r="N444" i="56" s="1"/>
  <c r="M445" i="56"/>
  <c r="M444" i="56" s="1"/>
  <c r="L445" i="56"/>
  <c r="K445" i="56"/>
  <c r="J445" i="56"/>
  <c r="J444" i="56" s="1"/>
  <c r="F445" i="56"/>
  <c r="E445" i="56"/>
  <c r="E444" i="56" s="1"/>
  <c r="D445" i="56"/>
  <c r="D444" i="56" s="1"/>
  <c r="AG444" i="56"/>
  <c r="AB444" i="56"/>
  <c r="AA444" i="56"/>
  <c r="X444" i="56"/>
  <c r="V444" i="56"/>
  <c r="O444" i="56"/>
  <c r="L444" i="56"/>
  <c r="K444" i="56"/>
  <c r="F444" i="56"/>
  <c r="AG443" i="56"/>
  <c r="AF443" i="56"/>
  <c r="AE443" i="56"/>
  <c r="AD443" i="56"/>
  <c r="AC443" i="56"/>
  <c r="AB443" i="56"/>
  <c r="AA443" i="56"/>
  <c r="Z443" i="56"/>
  <c r="Y443" i="56"/>
  <c r="X443" i="56"/>
  <c r="V443" i="56"/>
  <c r="T443" i="56"/>
  <c r="AH442" i="56"/>
  <c r="U442" i="56" s="1"/>
  <c r="T442" i="56"/>
  <c r="G442" i="56" s="1"/>
  <c r="C442" i="56"/>
  <c r="W441" i="56"/>
  <c r="U441" i="56" s="1"/>
  <c r="T441" i="56"/>
  <c r="I441" i="56"/>
  <c r="W440" i="56"/>
  <c r="U440" i="56" s="1"/>
  <c r="T440" i="56"/>
  <c r="I440" i="56"/>
  <c r="G440" i="56" s="1"/>
  <c r="AF439" i="56"/>
  <c r="AE439" i="56"/>
  <c r="AD439" i="56"/>
  <c r="AC439" i="56"/>
  <c r="AB439" i="56"/>
  <c r="Z439" i="56"/>
  <c r="Y439" i="56"/>
  <c r="X439" i="56"/>
  <c r="V439" i="56"/>
  <c r="AH439" i="56" s="1"/>
  <c r="S439" i="56"/>
  <c r="AG439" i="56" s="1"/>
  <c r="M439" i="56"/>
  <c r="H439" i="56"/>
  <c r="T439" i="56" s="1"/>
  <c r="C439" i="56"/>
  <c r="AF438" i="56"/>
  <c r="AE438" i="56"/>
  <c r="AD438" i="56"/>
  <c r="AC438" i="56"/>
  <c r="AB438" i="56"/>
  <c r="Z438" i="56"/>
  <c r="Y438" i="56"/>
  <c r="X438" i="56"/>
  <c r="S438" i="56"/>
  <c r="AG438" i="56" s="1"/>
  <c r="M438" i="56"/>
  <c r="AA438" i="56" s="1"/>
  <c r="H438" i="56"/>
  <c r="V438" i="56" s="1"/>
  <c r="C438" i="56"/>
  <c r="AF437" i="56"/>
  <c r="AE437" i="56"/>
  <c r="AD437" i="56"/>
  <c r="AC437" i="56"/>
  <c r="AB437" i="56"/>
  <c r="AA437" i="56"/>
  <c r="Z437" i="56"/>
  <c r="Y437" i="56"/>
  <c r="X437" i="56"/>
  <c r="S437" i="56"/>
  <c r="I437" i="56" s="1"/>
  <c r="H437" i="56"/>
  <c r="V437" i="56" s="1"/>
  <c r="C437" i="56"/>
  <c r="W436" i="56"/>
  <c r="U436" i="56" s="1"/>
  <c r="G436" i="56"/>
  <c r="C436" i="56"/>
  <c r="W435" i="56"/>
  <c r="U435" i="56" s="1"/>
  <c r="G435" i="56"/>
  <c r="C435" i="56"/>
  <c r="W434" i="56"/>
  <c r="U434" i="56" s="1"/>
  <c r="G434" i="56"/>
  <c r="C434" i="56"/>
  <c r="W433" i="56"/>
  <c r="U433" i="56" s="1"/>
  <c r="G433" i="56"/>
  <c r="C433" i="56"/>
  <c r="W432" i="56"/>
  <c r="G432" i="56"/>
  <c r="G431" i="56" s="1"/>
  <c r="C432" i="56"/>
  <c r="AH431" i="56"/>
  <c r="AG431" i="56"/>
  <c r="AF431" i="56"/>
  <c r="AE431" i="56"/>
  <c r="AD431" i="56"/>
  <c r="AC431" i="56"/>
  <c r="AB431" i="56"/>
  <c r="AA431" i="56"/>
  <c r="Z431" i="56"/>
  <c r="Y431" i="56"/>
  <c r="X431" i="56"/>
  <c r="V431" i="56"/>
  <c r="T431" i="56"/>
  <c r="R431" i="56"/>
  <c r="Q431" i="56"/>
  <c r="P431" i="56"/>
  <c r="O431" i="56"/>
  <c r="N431" i="56"/>
  <c r="M431" i="56"/>
  <c r="L431" i="56"/>
  <c r="K431" i="56"/>
  <c r="J431" i="56"/>
  <c r="H431" i="56"/>
  <c r="C431" i="56"/>
  <c r="AF430" i="56"/>
  <c r="AE430" i="56"/>
  <c r="AD430" i="56"/>
  <c r="AC430" i="56"/>
  <c r="AC428" i="56" s="1"/>
  <c r="AB430" i="56"/>
  <c r="AA430" i="56"/>
  <c r="Z430" i="56"/>
  <c r="Y430" i="56"/>
  <c r="X430" i="56"/>
  <c r="T430" i="56"/>
  <c r="S430" i="56"/>
  <c r="AG430" i="56" s="1"/>
  <c r="H430" i="56"/>
  <c r="V430" i="56" s="1"/>
  <c r="C430" i="56"/>
  <c r="AF429" i="56"/>
  <c r="AF428" i="56" s="1"/>
  <c r="AE429" i="56"/>
  <c r="AE428" i="56" s="1"/>
  <c r="AD429" i="56"/>
  <c r="AC429" i="56"/>
  <c r="AB429" i="56"/>
  <c r="AB428" i="56" s="1"/>
  <c r="AA429" i="56"/>
  <c r="Z429" i="56"/>
  <c r="Y429" i="56"/>
  <c r="X429" i="56"/>
  <c r="W429" i="56" s="1"/>
  <c r="S429" i="56"/>
  <c r="AG429" i="56" s="1"/>
  <c r="H429" i="56"/>
  <c r="C429" i="56"/>
  <c r="AA428" i="56"/>
  <c r="Y428" i="56"/>
  <c r="R428" i="56"/>
  <c r="Q428" i="56"/>
  <c r="P428" i="56"/>
  <c r="O428" i="56"/>
  <c r="N428" i="56"/>
  <c r="M428" i="56"/>
  <c r="L428" i="56"/>
  <c r="K428" i="56"/>
  <c r="J428" i="56"/>
  <c r="H428" i="56"/>
  <c r="F428" i="56"/>
  <c r="E428" i="56"/>
  <c r="D428" i="56"/>
  <c r="M427" i="56"/>
  <c r="AA427" i="56" s="1"/>
  <c r="L427" i="56"/>
  <c r="H427" i="56"/>
  <c r="W426" i="56"/>
  <c r="U426" i="56"/>
  <c r="I426" i="56"/>
  <c r="G426" i="56" s="1"/>
  <c r="AG425" i="56"/>
  <c r="AF425" i="56"/>
  <c r="AE425" i="56"/>
  <c r="AD425" i="56"/>
  <c r="AA425" i="56"/>
  <c r="Z425" i="56"/>
  <c r="Y425" i="56"/>
  <c r="X425" i="56"/>
  <c r="O425" i="56"/>
  <c r="AC425" i="56" s="1"/>
  <c r="N425" i="56"/>
  <c r="AB425" i="56" s="1"/>
  <c r="H425" i="56"/>
  <c r="V425" i="56" s="1"/>
  <c r="C425" i="56"/>
  <c r="AG424" i="56"/>
  <c r="AF424" i="56"/>
  <c r="AE424" i="56"/>
  <c r="AD424" i="56"/>
  <c r="AA424" i="56"/>
  <c r="Z424" i="56"/>
  <c r="Y424" i="56"/>
  <c r="X424" i="56"/>
  <c r="V424" i="56"/>
  <c r="AH424" i="56" s="1"/>
  <c r="T424" i="56"/>
  <c r="G424" i="56" s="1"/>
  <c r="O424" i="56"/>
  <c r="AC424" i="56" s="1"/>
  <c r="N424" i="56"/>
  <c r="AB424" i="56" s="1"/>
  <c r="C424" i="56"/>
  <c r="AG423" i="56"/>
  <c r="AF423" i="56"/>
  <c r="AE423" i="56"/>
  <c r="AD423" i="56"/>
  <c r="AA423" i="56"/>
  <c r="Z423" i="56"/>
  <c r="Y423" i="56"/>
  <c r="X423" i="56"/>
  <c r="V423" i="56"/>
  <c r="O423" i="56"/>
  <c r="AC423" i="56" s="1"/>
  <c r="N423" i="56"/>
  <c r="H423" i="56"/>
  <c r="C423" i="56"/>
  <c r="AG422" i="56"/>
  <c r="AF422" i="56"/>
  <c r="AE422" i="56"/>
  <c r="AD422" i="56"/>
  <c r="AC422" i="56"/>
  <c r="AA422" i="56"/>
  <c r="Z422" i="56"/>
  <c r="Y422" i="56"/>
  <c r="X422" i="56"/>
  <c r="O422" i="56"/>
  <c r="N422" i="56"/>
  <c r="H422" i="56"/>
  <c r="V422" i="56" s="1"/>
  <c r="C422" i="56"/>
  <c r="AG421" i="56"/>
  <c r="AF421" i="56"/>
  <c r="AE421" i="56"/>
  <c r="AD421" i="56"/>
  <c r="AC421" i="56"/>
  <c r="AB421" i="56"/>
  <c r="AA421" i="56"/>
  <c r="Z421" i="56"/>
  <c r="Y421" i="56"/>
  <c r="X421" i="56"/>
  <c r="O421" i="56"/>
  <c r="N421" i="56"/>
  <c r="I421" i="56" s="1"/>
  <c r="H421" i="56"/>
  <c r="T421" i="56" s="1"/>
  <c r="C421" i="56"/>
  <c r="AG420" i="56"/>
  <c r="AF420" i="56"/>
  <c r="AE420" i="56"/>
  <c r="AD420" i="56"/>
  <c r="AA420" i="56"/>
  <c r="Z420" i="56"/>
  <c r="Y420" i="56"/>
  <c r="X420" i="56"/>
  <c r="O420" i="56"/>
  <c r="AC420" i="56" s="1"/>
  <c r="N420" i="56"/>
  <c r="H420" i="56"/>
  <c r="C420" i="56"/>
  <c r="AG419" i="56"/>
  <c r="AF419" i="56"/>
  <c r="AE419" i="56"/>
  <c r="AD419" i="56"/>
  <c r="AC419" i="56"/>
  <c r="AB419" i="56"/>
  <c r="AA419" i="56"/>
  <c r="Y419" i="56"/>
  <c r="X419" i="56"/>
  <c r="V419" i="56"/>
  <c r="L419" i="56"/>
  <c r="H419" i="56"/>
  <c r="C419" i="56"/>
  <c r="AF418" i="56"/>
  <c r="AE418" i="56"/>
  <c r="AD418" i="56"/>
  <c r="AC418" i="56"/>
  <c r="AB418" i="56"/>
  <c r="AA418" i="56"/>
  <c r="Z418" i="56"/>
  <c r="Y418" i="56"/>
  <c r="X418" i="56"/>
  <c r="S418" i="56"/>
  <c r="I418" i="56" s="1"/>
  <c r="H418" i="56"/>
  <c r="C418" i="56"/>
  <c r="AF417" i="56"/>
  <c r="AE417" i="56"/>
  <c r="AD417" i="56"/>
  <c r="AC417" i="56"/>
  <c r="AB417" i="56"/>
  <c r="AA417" i="56"/>
  <c r="Z417" i="56"/>
  <c r="Y417" i="56"/>
  <c r="X417" i="56"/>
  <c r="V417" i="56"/>
  <c r="S417" i="56"/>
  <c r="H417" i="56"/>
  <c r="T417" i="56" s="1"/>
  <c r="C417" i="56"/>
  <c r="S416" i="56"/>
  <c r="R416" i="56"/>
  <c r="Q416" i="56"/>
  <c r="P416" i="56"/>
  <c r="M416" i="56"/>
  <c r="K416" i="56"/>
  <c r="K407" i="56" s="1"/>
  <c r="K406" i="56" s="1"/>
  <c r="J416" i="56"/>
  <c r="F416" i="56"/>
  <c r="F407" i="56" s="1"/>
  <c r="F406" i="56" s="1"/>
  <c r="E416" i="56"/>
  <c r="D416" i="56"/>
  <c r="W415" i="56"/>
  <c r="U415" i="56" s="1"/>
  <c r="I415" i="56"/>
  <c r="G415" i="56" s="1"/>
  <c r="W414" i="56"/>
  <c r="U414" i="56" s="1"/>
  <c r="I414" i="56"/>
  <c r="G414" i="56"/>
  <c r="W413" i="56"/>
  <c r="U413" i="56" s="1"/>
  <c r="I413" i="56"/>
  <c r="G413" i="56"/>
  <c r="AF412" i="56"/>
  <c r="AE412" i="56"/>
  <c r="AD412" i="56"/>
  <c r="AC412" i="56"/>
  <c r="AB412" i="56"/>
  <c r="AA412" i="56"/>
  <c r="Z412" i="56"/>
  <c r="Y412" i="56"/>
  <c r="X412" i="56"/>
  <c r="S412" i="56"/>
  <c r="H412" i="56"/>
  <c r="T412" i="56" s="1"/>
  <c r="C412" i="56"/>
  <c r="W411" i="56"/>
  <c r="U411" i="56" s="1"/>
  <c r="I411" i="56"/>
  <c r="G411" i="56"/>
  <c r="C411" i="56"/>
  <c r="AF410" i="56"/>
  <c r="AC410" i="56"/>
  <c r="AB410" i="56"/>
  <c r="AA410" i="56"/>
  <c r="Z410" i="56"/>
  <c r="Y410" i="56"/>
  <c r="X410" i="56"/>
  <c r="S410" i="56"/>
  <c r="AG410" i="56" s="1"/>
  <c r="Q410" i="56"/>
  <c r="AE410" i="56" s="1"/>
  <c r="H410" i="56"/>
  <c r="C410" i="56"/>
  <c r="AF409" i="56"/>
  <c r="AC409" i="56"/>
  <c r="AB409" i="56"/>
  <c r="AA409" i="56"/>
  <c r="Z409" i="56"/>
  <c r="Y409" i="56"/>
  <c r="X409" i="56"/>
  <c r="T409" i="56"/>
  <c r="S409" i="56"/>
  <c r="AG409" i="56" s="1"/>
  <c r="Q409" i="56"/>
  <c r="H409" i="56"/>
  <c r="C409" i="56"/>
  <c r="AF408" i="56"/>
  <c r="AE408" i="56"/>
  <c r="AC408" i="56"/>
  <c r="AB408" i="56"/>
  <c r="AA408" i="56"/>
  <c r="Z408" i="56"/>
  <c r="Y408" i="56"/>
  <c r="X408" i="56"/>
  <c r="S408" i="56"/>
  <c r="AG408" i="56" s="1"/>
  <c r="Q408" i="56"/>
  <c r="H408" i="56"/>
  <c r="V408" i="56" s="1"/>
  <c r="C408" i="56"/>
  <c r="E407" i="56"/>
  <c r="E406" i="56" s="1"/>
  <c r="AG405" i="56"/>
  <c r="AF405" i="56"/>
  <c r="AE405" i="56"/>
  <c r="AD405" i="56"/>
  <c r="AC405" i="56"/>
  <c r="AB405" i="56"/>
  <c r="AA405" i="56"/>
  <c r="Z405" i="56"/>
  <c r="Y405" i="56"/>
  <c r="X405" i="56"/>
  <c r="W405" i="56" s="1"/>
  <c r="V405" i="56"/>
  <c r="T405" i="56"/>
  <c r="W404" i="56"/>
  <c r="U404" i="56" s="1"/>
  <c r="I404" i="56"/>
  <c r="G404" i="56"/>
  <c r="AL404" i="56" s="1"/>
  <c r="W403" i="56"/>
  <c r="U403" i="56" s="1"/>
  <c r="I403" i="56"/>
  <c r="G403" i="56"/>
  <c r="AL403" i="56" s="1"/>
  <c r="AE402" i="56"/>
  <c r="AD402" i="56"/>
  <c r="AA402" i="56"/>
  <c r="Y402" i="56"/>
  <c r="S402" i="56"/>
  <c r="AG402" i="56" s="1"/>
  <c r="R402" i="56"/>
  <c r="O402" i="56"/>
  <c r="AC402" i="56" s="1"/>
  <c r="N402" i="56"/>
  <c r="L402" i="56"/>
  <c r="K402" i="56"/>
  <c r="K396" i="56" s="1"/>
  <c r="K354" i="56" s="1"/>
  <c r="H402" i="56"/>
  <c r="W401" i="56"/>
  <c r="U401" i="56"/>
  <c r="I401" i="56"/>
  <c r="G401" i="56" s="1"/>
  <c r="AI401" i="56" s="1"/>
  <c r="AH400" i="56"/>
  <c r="W400" i="56"/>
  <c r="U400" i="56"/>
  <c r="T400" i="56"/>
  <c r="G400" i="56" s="1"/>
  <c r="I400" i="56"/>
  <c r="AE399" i="56"/>
  <c r="AE396" i="56" s="1"/>
  <c r="AE354" i="56" s="1"/>
  <c r="AD399" i="56"/>
  <c r="AD396" i="56" s="1"/>
  <c r="AB399" i="56"/>
  <c r="AA399" i="56"/>
  <c r="Z399" i="56"/>
  <c r="Z396" i="56" s="1"/>
  <c r="Y399" i="56"/>
  <c r="S399" i="56"/>
  <c r="AG399" i="56" s="1"/>
  <c r="R399" i="56"/>
  <c r="AF399" i="56" s="1"/>
  <c r="O399" i="56"/>
  <c r="AC399" i="56" s="1"/>
  <c r="AC396" i="56" s="1"/>
  <c r="L399" i="56"/>
  <c r="L396" i="56" s="1"/>
  <c r="K399" i="56"/>
  <c r="H399" i="56"/>
  <c r="W398" i="56"/>
  <c r="V398" i="56"/>
  <c r="I398" i="56"/>
  <c r="H398" i="56"/>
  <c r="W397" i="56"/>
  <c r="U397" i="56" s="1"/>
  <c r="I397" i="56"/>
  <c r="AA396" i="56"/>
  <c r="X396" i="56"/>
  <c r="S396" i="56"/>
  <c r="Q396" i="56"/>
  <c r="P396" i="56"/>
  <c r="M396" i="56"/>
  <c r="J396" i="56"/>
  <c r="C396" i="56"/>
  <c r="AG395" i="56"/>
  <c r="AF395" i="56"/>
  <c r="AE395" i="56"/>
  <c r="AD395" i="56"/>
  <c r="AC395" i="56"/>
  <c r="AB395" i="56"/>
  <c r="AA395" i="56"/>
  <c r="Z395" i="56"/>
  <c r="Y395" i="56"/>
  <c r="X395" i="56"/>
  <c r="V395" i="56"/>
  <c r="T395" i="56"/>
  <c r="W394" i="56"/>
  <c r="V394" i="56"/>
  <c r="I394" i="56"/>
  <c r="G394" i="56" s="1"/>
  <c r="H394" i="56"/>
  <c r="T394" i="56" s="1"/>
  <c r="C394" i="56"/>
  <c r="AL393" i="56"/>
  <c r="AK393" i="56"/>
  <c r="C393" i="56"/>
  <c r="AB392" i="56"/>
  <c r="W392" i="56" s="1"/>
  <c r="V392" i="56"/>
  <c r="N392" i="56"/>
  <c r="I392" i="56"/>
  <c r="G392" i="56" s="1"/>
  <c r="H392" i="56"/>
  <c r="T392" i="56" s="1"/>
  <c r="C392" i="56"/>
  <c r="AB391" i="56"/>
  <c r="W391" i="56"/>
  <c r="V391" i="56"/>
  <c r="N391" i="56"/>
  <c r="I391" i="56"/>
  <c r="H391" i="56"/>
  <c r="C391" i="56"/>
  <c r="AB390" i="56"/>
  <c r="W390" i="56" s="1"/>
  <c r="U390" i="56" s="1"/>
  <c r="V390" i="56"/>
  <c r="AH390" i="56" s="1"/>
  <c r="N390" i="56"/>
  <c r="I390" i="56"/>
  <c r="H390" i="56"/>
  <c r="C390" i="56"/>
  <c r="AH389" i="56"/>
  <c r="W389" i="56"/>
  <c r="T389" i="56"/>
  <c r="I389" i="56"/>
  <c r="G389" i="56"/>
  <c r="C389" i="56"/>
  <c r="W388" i="56"/>
  <c r="V388" i="56"/>
  <c r="AH388" i="56" s="1"/>
  <c r="U388" i="56"/>
  <c r="I388" i="56"/>
  <c r="H388" i="56"/>
  <c r="T388" i="56" s="1"/>
  <c r="C388" i="56"/>
  <c r="Z387" i="56"/>
  <c r="AH387" i="56" s="1"/>
  <c r="V387" i="56"/>
  <c r="L387" i="56"/>
  <c r="I387" i="56" s="1"/>
  <c r="H387" i="56"/>
  <c r="C387" i="56"/>
  <c r="Z386" i="56"/>
  <c r="W386" i="56" s="1"/>
  <c r="V386" i="56"/>
  <c r="L386" i="56"/>
  <c r="I386" i="56"/>
  <c r="H386" i="56"/>
  <c r="C386" i="56"/>
  <c r="W385" i="56"/>
  <c r="V385" i="56"/>
  <c r="I385" i="56"/>
  <c r="H385" i="56"/>
  <c r="C385" i="56"/>
  <c r="W384" i="56"/>
  <c r="V384" i="56"/>
  <c r="AH384" i="56" s="1"/>
  <c r="I384" i="56"/>
  <c r="H384" i="56"/>
  <c r="C384" i="56"/>
  <c r="W383" i="56"/>
  <c r="V383" i="56"/>
  <c r="I383" i="56"/>
  <c r="H383" i="56"/>
  <c r="C383" i="56"/>
  <c r="W382" i="56"/>
  <c r="V382" i="56"/>
  <c r="AH382" i="56" s="1"/>
  <c r="T382" i="56"/>
  <c r="I382" i="56"/>
  <c r="H382" i="56"/>
  <c r="C382" i="56"/>
  <c r="AH381" i="56"/>
  <c r="U381" i="56" s="1"/>
  <c r="W381" i="56"/>
  <c r="V381" i="56"/>
  <c r="T381" i="56"/>
  <c r="G381" i="56" s="1"/>
  <c r="I381" i="56"/>
  <c r="H381" i="56"/>
  <c r="C381" i="56"/>
  <c r="W380" i="56"/>
  <c r="V380" i="56"/>
  <c r="AH380" i="56" s="1"/>
  <c r="I380" i="56"/>
  <c r="H380" i="56"/>
  <c r="C380" i="56"/>
  <c r="AL379" i="56"/>
  <c r="AK379" i="56"/>
  <c r="AJ379" i="56"/>
  <c r="AI379" i="56"/>
  <c r="C379" i="56"/>
  <c r="AH378" i="56"/>
  <c r="W378" i="56"/>
  <c r="U378" i="56" s="1"/>
  <c r="V378" i="56"/>
  <c r="I378" i="56"/>
  <c r="H378" i="56"/>
  <c r="T378" i="56" s="1"/>
  <c r="C378" i="56"/>
  <c r="AL377" i="56"/>
  <c r="AI377" i="56"/>
  <c r="C377" i="56"/>
  <c r="AH376" i="56"/>
  <c r="W376" i="56"/>
  <c r="U376" i="56"/>
  <c r="T376" i="56"/>
  <c r="G376" i="56" s="1"/>
  <c r="I376" i="56"/>
  <c r="C376" i="56"/>
  <c r="Z375" i="56"/>
  <c r="W375" i="56" s="1"/>
  <c r="V375" i="56"/>
  <c r="L375" i="56"/>
  <c r="I375" i="56"/>
  <c r="H375" i="56"/>
  <c r="C375" i="56"/>
  <c r="AB374" i="56"/>
  <c r="W374" i="56" s="1"/>
  <c r="V374" i="56"/>
  <c r="N374" i="56"/>
  <c r="I374" i="56"/>
  <c r="H374" i="56"/>
  <c r="C374" i="56"/>
  <c r="W373" i="56"/>
  <c r="V373" i="56"/>
  <c r="I373" i="56"/>
  <c r="H373" i="56"/>
  <c r="C373" i="56"/>
  <c r="AH372" i="56"/>
  <c r="AB372" i="56"/>
  <c r="W372" i="56" s="1"/>
  <c r="V372" i="56"/>
  <c r="T372" i="56"/>
  <c r="N372" i="56"/>
  <c r="I372" i="56"/>
  <c r="G372" i="56" s="1"/>
  <c r="H372" i="56"/>
  <c r="C372" i="56"/>
  <c r="W371" i="56"/>
  <c r="V371" i="56"/>
  <c r="I371" i="56"/>
  <c r="H371" i="56"/>
  <c r="C371" i="56"/>
  <c r="W370" i="56"/>
  <c r="V370" i="56"/>
  <c r="AH370" i="56" s="1"/>
  <c r="T370" i="56"/>
  <c r="I370" i="56"/>
  <c r="H370" i="56"/>
  <c r="C370" i="56"/>
  <c r="AH369" i="56"/>
  <c r="U369" i="56" s="1"/>
  <c r="W369" i="56"/>
  <c r="V369" i="56"/>
  <c r="T369" i="56"/>
  <c r="G369" i="56" s="1"/>
  <c r="I369" i="56"/>
  <c r="H369" i="56"/>
  <c r="C369" i="56"/>
  <c r="AH368" i="56"/>
  <c r="W368" i="56"/>
  <c r="T368" i="56"/>
  <c r="I368" i="56"/>
  <c r="C368" i="56"/>
  <c r="W367" i="56"/>
  <c r="V367" i="56"/>
  <c r="AH367" i="56" s="1"/>
  <c r="U367" i="56" s="1"/>
  <c r="T367" i="56"/>
  <c r="G367" i="56" s="1"/>
  <c r="I367" i="56"/>
  <c r="H367" i="56"/>
  <c r="C367" i="56"/>
  <c r="W366" i="56"/>
  <c r="U366" i="56" s="1"/>
  <c r="V366" i="56"/>
  <c r="AH366" i="56" s="1"/>
  <c r="I366" i="56"/>
  <c r="H366" i="56"/>
  <c r="C366" i="56"/>
  <c r="AB365" i="56"/>
  <c r="W365" i="56" s="1"/>
  <c r="V365" i="56"/>
  <c r="AH365" i="56" s="1"/>
  <c r="N365" i="56"/>
  <c r="I365" i="56" s="1"/>
  <c r="H365" i="56"/>
  <c r="T365" i="56" s="1"/>
  <c r="C365" i="56"/>
  <c r="W364" i="56"/>
  <c r="V364" i="56"/>
  <c r="AH364" i="56" s="1"/>
  <c r="I364" i="56"/>
  <c r="H364" i="56"/>
  <c r="T364" i="56" s="1"/>
  <c r="C364" i="56"/>
  <c r="W363" i="56"/>
  <c r="V363" i="56"/>
  <c r="I363" i="56"/>
  <c r="H363" i="56"/>
  <c r="C363" i="56"/>
  <c r="W362" i="56"/>
  <c r="V362" i="56"/>
  <c r="AH362" i="56" s="1"/>
  <c r="I362" i="56"/>
  <c r="H362" i="56"/>
  <c r="T362" i="56" s="1"/>
  <c r="C362" i="56"/>
  <c r="W361" i="56"/>
  <c r="V361" i="56"/>
  <c r="I361" i="56"/>
  <c r="H361" i="56"/>
  <c r="C361" i="56"/>
  <c r="Z360" i="56"/>
  <c r="W360" i="56"/>
  <c r="V360" i="56"/>
  <c r="L360" i="56"/>
  <c r="H360" i="56"/>
  <c r="C360" i="56"/>
  <c r="AB359" i="56"/>
  <c r="W359" i="56" s="1"/>
  <c r="V359" i="56"/>
  <c r="N359" i="56"/>
  <c r="I359" i="56"/>
  <c r="H359" i="56"/>
  <c r="C359" i="56"/>
  <c r="AH358" i="56"/>
  <c r="AB358" i="56"/>
  <c r="V358" i="56"/>
  <c r="T358" i="56"/>
  <c r="N358" i="56"/>
  <c r="I358" i="56"/>
  <c r="G358" i="56" s="1"/>
  <c r="H358" i="56"/>
  <c r="C358" i="56"/>
  <c r="W357" i="56"/>
  <c r="V357" i="56"/>
  <c r="I357" i="56"/>
  <c r="H357" i="56"/>
  <c r="C357" i="56"/>
  <c r="AG356" i="56"/>
  <c r="AG355" i="56" s="1"/>
  <c r="AF356" i="56"/>
  <c r="AE356" i="56"/>
  <c r="AD356" i="56"/>
  <c r="AC356" i="56"/>
  <c r="AC355" i="56" s="1"/>
  <c r="AA356" i="56"/>
  <c r="AA355" i="56" s="1"/>
  <c r="Y356" i="56"/>
  <c r="Y355" i="56" s="1"/>
  <c r="X356" i="56"/>
  <c r="S356" i="56"/>
  <c r="S355" i="56" s="1"/>
  <c r="R356" i="56"/>
  <c r="R355" i="56" s="1"/>
  <c r="Q356" i="56"/>
  <c r="Q355" i="56" s="1"/>
  <c r="Q354" i="56" s="1"/>
  <c r="P356" i="56"/>
  <c r="O356" i="56"/>
  <c r="N356" i="56"/>
  <c r="N355" i="56" s="1"/>
  <c r="M356" i="56"/>
  <c r="M355" i="56" s="1"/>
  <c r="M354" i="56" s="1"/>
  <c r="K356" i="56"/>
  <c r="J356" i="56"/>
  <c r="F356" i="56"/>
  <c r="E356" i="56"/>
  <c r="E355" i="56" s="1"/>
  <c r="E354" i="56" s="1"/>
  <c r="D356" i="56"/>
  <c r="AF355" i="56"/>
  <c r="AE355" i="56"/>
  <c r="AD355" i="56"/>
  <c r="X355" i="56"/>
  <c r="P355" i="56"/>
  <c r="O355" i="56"/>
  <c r="K355" i="56"/>
  <c r="J355" i="56"/>
  <c r="F355" i="56"/>
  <c r="F354" i="56" s="1"/>
  <c r="D355" i="56"/>
  <c r="J354" i="56"/>
  <c r="D354" i="56"/>
  <c r="AL353" i="56"/>
  <c r="AK353" i="56"/>
  <c r="AF350" i="56"/>
  <c r="AE350" i="56"/>
  <c r="AD350" i="56"/>
  <c r="AC350" i="56"/>
  <c r="AB350" i="56"/>
  <c r="AA350" i="56"/>
  <c r="Z350" i="56"/>
  <c r="Y350" i="56"/>
  <c r="AH350" i="56" s="1"/>
  <c r="X350" i="56"/>
  <c r="T350" i="56"/>
  <c r="S350" i="56"/>
  <c r="AG350" i="56" s="1"/>
  <c r="I350" i="56"/>
  <c r="G350" i="56"/>
  <c r="AF349" i="56"/>
  <c r="AE349" i="56"/>
  <c r="AD349" i="56"/>
  <c r="AC349" i="56"/>
  <c r="AB349" i="56"/>
  <c r="AA349" i="56"/>
  <c r="Z349" i="56"/>
  <c r="Y349" i="56"/>
  <c r="W349" i="56" s="1"/>
  <c r="X349" i="56"/>
  <c r="T349" i="56"/>
  <c r="S349" i="56"/>
  <c r="AG349" i="56" s="1"/>
  <c r="AG348" i="56"/>
  <c r="S348" i="56"/>
  <c r="S347" i="56" s="1"/>
  <c r="I348" i="56"/>
  <c r="AH347" i="56"/>
  <c r="AF347" i="56"/>
  <c r="AE347" i="56"/>
  <c r="AD347" i="56"/>
  <c r="AC347" i="56"/>
  <c r="AB347" i="56"/>
  <c r="AA347" i="56"/>
  <c r="Z347" i="56"/>
  <c r="Y347" i="56"/>
  <c r="V347" i="56"/>
  <c r="R347" i="56"/>
  <c r="Q347" i="56"/>
  <c r="P347" i="56"/>
  <c r="O347" i="56"/>
  <c r="N347" i="56"/>
  <c r="M347" i="56"/>
  <c r="L347" i="56"/>
  <c r="K347" i="56"/>
  <c r="H347" i="56"/>
  <c r="F347" i="56"/>
  <c r="AG346" i="56"/>
  <c r="W346" i="56" s="1"/>
  <c r="U346" i="56" s="1"/>
  <c r="S346" i="56"/>
  <c r="I346" i="56" s="1"/>
  <c r="G346" i="56" s="1"/>
  <c r="AG345" i="56"/>
  <c r="W345" i="56" s="1"/>
  <c r="S345" i="56"/>
  <c r="I345" i="56" s="1"/>
  <c r="AF344" i="56"/>
  <c r="AE344" i="56"/>
  <c r="AD344" i="56"/>
  <c r="AC344" i="56"/>
  <c r="AB344" i="56"/>
  <c r="AA344" i="56"/>
  <c r="Z344" i="56"/>
  <c r="Y344" i="56"/>
  <c r="V344" i="56"/>
  <c r="R344" i="56"/>
  <c r="Q344" i="56"/>
  <c r="P344" i="56"/>
  <c r="O344" i="56"/>
  <c r="N344" i="56"/>
  <c r="M344" i="56"/>
  <c r="L344" i="56"/>
  <c r="K344" i="56"/>
  <c r="H344" i="56"/>
  <c r="F344" i="56"/>
  <c r="AG343" i="56"/>
  <c r="W343" i="56"/>
  <c r="U343" i="56"/>
  <c r="T343" i="56"/>
  <c r="G343" i="56" s="1"/>
  <c r="S343" i="56"/>
  <c r="I343" i="56"/>
  <c r="AH342" i="56"/>
  <c r="AG342" i="56"/>
  <c r="AF342" i="56"/>
  <c r="AE342" i="56"/>
  <c r="AD342" i="56"/>
  <c r="AC342" i="56"/>
  <c r="AB342" i="56"/>
  <c r="AA342" i="56"/>
  <c r="Z342" i="56"/>
  <c r="Y342" i="56"/>
  <c r="X342" i="56"/>
  <c r="W342" i="56"/>
  <c r="V342" i="56"/>
  <c r="S342" i="56"/>
  <c r="R342" i="56"/>
  <c r="Q342" i="56"/>
  <c r="P342" i="56"/>
  <c r="O342" i="56"/>
  <c r="N342" i="56"/>
  <c r="M342" i="56"/>
  <c r="L342" i="56"/>
  <c r="K342" i="56"/>
  <c r="J342" i="56"/>
  <c r="I342" i="56"/>
  <c r="H342" i="56"/>
  <c r="F342" i="56"/>
  <c r="F315" i="56" s="1"/>
  <c r="F314" i="56" s="1"/>
  <c r="F313" i="56" s="1"/>
  <c r="C342" i="56"/>
  <c r="AH341" i="56"/>
  <c r="W341" i="56"/>
  <c r="U341" i="56" s="1"/>
  <c r="T341" i="56"/>
  <c r="G341" i="56" s="1"/>
  <c r="I341" i="56"/>
  <c r="AH340" i="56"/>
  <c r="AG340" i="56"/>
  <c r="W340" i="56" s="1"/>
  <c r="T340" i="56"/>
  <c r="S340" i="56"/>
  <c r="I340" i="56"/>
  <c r="I338" i="56" s="1"/>
  <c r="AH339" i="56"/>
  <c r="AG339" i="56"/>
  <c r="W339" i="56"/>
  <c r="U339" i="56"/>
  <c r="T339" i="56"/>
  <c r="S339" i="56"/>
  <c r="S338" i="56" s="1"/>
  <c r="I339" i="56"/>
  <c r="G339" i="56"/>
  <c r="AF338" i="56"/>
  <c r="AE338" i="56"/>
  <c r="AD338" i="56"/>
  <c r="AC338" i="56"/>
  <c r="AB338" i="56"/>
  <c r="AA338" i="56"/>
  <c r="Z338" i="56"/>
  <c r="Y338" i="56"/>
  <c r="X338" i="56"/>
  <c r="V338" i="56"/>
  <c r="R338" i="56"/>
  <c r="Q338" i="56"/>
  <c r="P338" i="56"/>
  <c r="O338" i="56"/>
  <c r="N338" i="56"/>
  <c r="M338" i="56"/>
  <c r="L338" i="56"/>
  <c r="K338" i="56"/>
  <c r="J338" i="56"/>
  <c r="H338" i="56"/>
  <c r="F338" i="56"/>
  <c r="C338" i="56"/>
  <c r="AG337" i="56"/>
  <c r="W337" i="56" s="1"/>
  <c r="U337" i="56" s="1"/>
  <c r="T337" i="56"/>
  <c r="S337" i="56"/>
  <c r="I337" i="56" s="1"/>
  <c r="AG336" i="56"/>
  <c r="W336" i="56" s="1"/>
  <c r="U336" i="56"/>
  <c r="T336" i="56"/>
  <c r="S336" i="56"/>
  <c r="I336" i="56" s="1"/>
  <c r="G336" i="56" s="1"/>
  <c r="AG335" i="56"/>
  <c r="AI335" i="56" s="1"/>
  <c r="AJ335" i="56" s="1"/>
  <c r="W335" i="56"/>
  <c r="U335" i="56" s="1"/>
  <c r="T335" i="56"/>
  <c r="S335" i="56"/>
  <c r="I335" i="56"/>
  <c r="G335" i="56" s="1"/>
  <c r="AG334" i="56"/>
  <c r="AI334" i="56" s="1"/>
  <c r="AJ334" i="56" s="1"/>
  <c r="T334" i="56"/>
  <c r="S334" i="56"/>
  <c r="I334" i="56"/>
  <c r="G334" i="56" s="1"/>
  <c r="AG333" i="56"/>
  <c r="W333" i="56" s="1"/>
  <c r="U333" i="56" s="1"/>
  <c r="T333" i="56"/>
  <c r="S333" i="56"/>
  <c r="AG332" i="56"/>
  <c r="W332" i="56" s="1"/>
  <c r="U332" i="56"/>
  <c r="T332" i="56"/>
  <c r="S332" i="56"/>
  <c r="I332" i="56" s="1"/>
  <c r="G332" i="56" s="1"/>
  <c r="AG331" i="56"/>
  <c r="W331" i="56"/>
  <c r="T331" i="56"/>
  <c r="S331" i="56"/>
  <c r="I331" i="56" s="1"/>
  <c r="AH330" i="56"/>
  <c r="AF330" i="56"/>
  <c r="AE330" i="56"/>
  <c r="AD330" i="56"/>
  <c r="AC330" i="56"/>
  <c r="AB330" i="56"/>
  <c r="AA330" i="56"/>
  <c r="Z330" i="56"/>
  <c r="Y330" i="56"/>
  <c r="V330" i="56"/>
  <c r="R330" i="56"/>
  <c r="Q330" i="56"/>
  <c r="P330" i="56"/>
  <c r="O330" i="56"/>
  <c r="N330" i="56"/>
  <c r="M330" i="56"/>
  <c r="L330" i="56"/>
  <c r="K330" i="56"/>
  <c r="H330" i="56"/>
  <c r="F330" i="56"/>
  <c r="AG329" i="56"/>
  <c r="W329" i="56"/>
  <c r="U329" i="56"/>
  <c r="T329" i="56"/>
  <c r="S329" i="56"/>
  <c r="I329" i="56"/>
  <c r="G329" i="56"/>
  <c r="AG328" i="56"/>
  <c r="W328" i="56"/>
  <c r="U328" i="56"/>
  <c r="T328" i="56"/>
  <c r="G328" i="56" s="1"/>
  <c r="AI328" i="56" s="1"/>
  <c r="S328" i="56"/>
  <c r="I328" i="56"/>
  <c r="AG327" i="56"/>
  <c r="W327" i="56" s="1"/>
  <c r="U327" i="56" s="1"/>
  <c r="T327" i="56"/>
  <c r="S327" i="56"/>
  <c r="I327" i="56" s="1"/>
  <c r="AG326" i="56"/>
  <c r="W326" i="56"/>
  <c r="U326" i="56" s="1"/>
  <c r="T326" i="56"/>
  <c r="S326" i="56"/>
  <c r="I326" i="56"/>
  <c r="AG325" i="56"/>
  <c r="W325" i="56"/>
  <c r="U325" i="56" s="1"/>
  <c r="T325" i="56"/>
  <c r="S325" i="56"/>
  <c r="I325" i="56"/>
  <c r="G325" i="56" s="1"/>
  <c r="AG324" i="56"/>
  <c r="W324" i="56"/>
  <c r="U324" i="56"/>
  <c r="T324" i="56"/>
  <c r="S324" i="56"/>
  <c r="I324" i="56"/>
  <c r="AG323" i="56"/>
  <c r="W323" i="56" s="1"/>
  <c r="U323" i="56" s="1"/>
  <c r="AL323" i="56" s="1"/>
  <c r="T323" i="56"/>
  <c r="S323" i="56"/>
  <c r="I323" i="56" s="1"/>
  <c r="G323" i="56" s="1"/>
  <c r="AG322" i="56"/>
  <c r="W322" i="56"/>
  <c r="U322" i="56" s="1"/>
  <c r="T322" i="56"/>
  <c r="S322" i="56"/>
  <c r="I322" i="56" s="1"/>
  <c r="G322" i="56" s="1"/>
  <c r="AG321" i="56"/>
  <c r="W321" i="56"/>
  <c r="U321" i="56" s="1"/>
  <c r="T321" i="56"/>
  <c r="S321" i="56"/>
  <c r="I321" i="56"/>
  <c r="G321" i="56" s="1"/>
  <c r="AH320" i="56"/>
  <c r="AF320" i="56"/>
  <c r="AE320" i="56"/>
  <c r="AD320" i="56"/>
  <c r="AC320" i="56"/>
  <c r="AB320" i="56"/>
  <c r="AA320" i="56"/>
  <c r="Z320" i="56"/>
  <c r="Y320" i="56"/>
  <c r="X320" i="56"/>
  <c r="V320" i="56"/>
  <c r="V315" i="56" s="1"/>
  <c r="V314" i="56" s="1"/>
  <c r="V313" i="56" s="1"/>
  <c r="R320" i="56"/>
  <c r="Q320" i="56"/>
  <c r="P320" i="56"/>
  <c r="O320" i="56"/>
  <c r="N320" i="56"/>
  <c r="M320" i="56"/>
  <c r="L320" i="56"/>
  <c r="K320" i="56"/>
  <c r="J320" i="56"/>
  <c r="H320" i="56"/>
  <c r="F320" i="56"/>
  <c r="C320" i="56"/>
  <c r="AH319" i="56"/>
  <c r="W319" i="56"/>
  <c r="U319" i="56" s="1"/>
  <c r="T319" i="56"/>
  <c r="G319" i="56" s="1"/>
  <c r="I319" i="56"/>
  <c r="AH318" i="56"/>
  <c r="AG318" i="56"/>
  <c r="W318" i="56" s="1"/>
  <c r="U318" i="56" s="1"/>
  <c r="T318" i="56"/>
  <c r="S318" i="56"/>
  <c r="I318" i="56" s="1"/>
  <c r="G318" i="56" s="1"/>
  <c r="AH317" i="56"/>
  <c r="AG317" i="56"/>
  <c r="W317" i="56" s="1"/>
  <c r="T317" i="56"/>
  <c r="S317" i="56"/>
  <c r="I317" i="56" s="1"/>
  <c r="G317" i="56" s="1"/>
  <c r="G316" i="56" s="1"/>
  <c r="AF316" i="56"/>
  <c r="AF315" i="56" s="1"/>
  <c r="AF314" i="56" s="1"/>
  <c r="AE316" i="56"/>
  <c r="AD316" i="56"/>
  <c r="AC316" i="56"/>
  <c r="AB316" i="56"/>
  <c r="AB315" i="56" s="1"/>
  <c r="AB314" i="56" s="1"/>
  <c r="AB313" i="56" s="1"/>
  <c r="AA316" i="56"/>
  <c r="Z316" i="56"/>
  <c r="Z315" i="56" s="1"/>
  <c r="Z314" i="56" s="1"/>
  <c r="Z313" i="56" s="1"/>
  <c r="Y316" i="56"/>
  <c r="Y315" i="56" s="1"/>
  <c r="Y314" i="56" s="1"/>
  <c r="Y313" i="56" s="1"/>
  <c r="X316" i="56"/>
  <c r="X315" i="56" s="1"/>
  <c r="X314" i="56" s="1"/>
  <c r="X313" i="56" s="1"/>
  <c r="V316" i="56"/>
  <c r="R316" i="56"/>
  <c r="Q316" i="56"/>
  <c r="P316" i="56"/>
  <c r="O316" i="56"/>
  <c r="N316" i="56"/>
  <c r="N315" i="56" s="1"/>
  <c r="N314" i="56" s="1"/>
  <c r="N313" i="56" s="1"/>
  <c r="M316" i="56"/>
  <c r="L316" i="56"/>
  <c r="K316" i="56"/>
  <c r="J316" i="56"/>
  <c r="J315" i="56" s="1"/>
  <c r="J314" i="56" s="1"/>
  <c r="H316" i="56"/>
  <c r="F316" i="56"/>
  <c r="C316" i="56"/>
  <c r="C315" i="56" s="1"/>
  <c r="C314" i="56" s="1"/>
  <c r="C313" i="56" s="1"/>
  <c r="AD315" i="56"/>
  <c r="AD314" i="56" s="1"/>
  <c r="AD313" i="56" s="1"/>
  <c r="R315" i="56"/>
  <c r="R314" i="56" s="1"/>
  <c r="R313" i="56" s="1"/>
  <c r="E315" i="56"/>
  <c r="D315" i="56"/>
  <c r="AF313" i="56"/>
  <c r="AF312" i="56"/>
  <c r="AE312" i="56"/>
  <c r="AD312" i="56"/>
  <c r="AC312" i="56"/>
  <c r="AB312" i="56"/>
  <c r="AA312" i="56"/>
  <c r="Z312" i="56"/>
  <c r="Y312" i="56"/>
  <c r="X312" i="56"/>
  <c r="V312" i="56"/>
  <c r="T312" i="56"/>
  <c r="S312" i="56"/>
  <c r="AG312" i="56" s="1"/>
  <c r="I312" i="56"/>
  <c r="G312" i="56"/>
  <c r="AF311" i="56"/>
  <c r="AE311" i="56"/>
  <c r="AD311" i="56"/>
  <c r="AC311" i="56"/>
  <c r="AB311" i="56"/>
  <c r="AA311" i="56"/>
  <c r="Z311" i="56"/>
  <c r="Y311" i="56"/>
  <c r="X311" i="56"/>
  <c r="V311" i="56"/>
  <c r="T311" i="56"/>
  <c r="S311" i="56"/>
  <c r="AH310" i="56"/>
  <c r="AG310" i="56"/>
  <c r="W310" i="56" s="1"/>
  <c r="T310" i="56"/>
  <c r="S310" i="56"/>
  <c r="AH309" i="56"/>
  <c r="AF309" i="56"/>
  <c r="AE309" i="56"/>
  <c r="AD309" i="56"/>
  <c r="AD308" i="56" s="1"/>
  <c r="AC309" i="56"/>
  <c r="AB309" i="56"/>
  <c r="AA309" i="56"/>
  <c r="Z309" i="56"/>
  <c r="Z308" i="56" s="1"/>
  <c r="Y309" i="56"/>
  <c r="X309" i="56"/>
  <c r="X308" i="56" s="1"/>
  <c r="V309" i="56"/>
  <c r="R309" i="56"/>
  <c r="R308" i="56" s="1"/>
  <c r="Q309" i="56"/>
  <c r="Q308" i="56" s="1"/>
  <c r="P309" i="56"/>
  <c r="O309" i="56"/>
  <c r="N309" i="56"/>
  <c r="N308" i="56" s="1"/>
  <c r="M309" i="56"/>
  <c r="M308" i="56" s="1"/>
  <c r="L309" i="56"/>
  <c r="K309" i="56"/>
  <c r="K308" i="56" s="1"/>
  <c r="J309" i="56"/>
  <c r="J308" i="56" s="1"/>
  <c r="H309" i="56"/>
  <c r="F309" i="56"/>
  <c r="F308" i="56" s="1"/>
  <c r="C309" i="56"/>
  <c r="C308" i="56" s="1"/>
  <c r="AF308" i="56"/>
  <c r="P308" i="56"/>
  <c r="O308" i="56"/>
  <c r="L308" i="56"/>
  <c r="H308" i="56"/>
  <c r="AG307" i="56"/>
  <c r="AF307" i="56"/>
  <c r="AE307" i="56"/>
  <c r="AD307" i="56"/>
  <c r="AC307" i="56"/>
  <c r="AB307" i="56"/>
  <c r="AA307" i="56"/>
  <c r="Z307" i="56"/>
  <c r="Y307" i="56"/>
  <c r="X307" i="56"/>
  <c r="V307" i="56"/>
  <c r="T307" i="56"/>
  <c r="I307" i="56"/>
  <c r="G307" i="56"/>
  <c r="AG306" i="56"/>
  <c r="Z306" i="56"/>
  <c r="Y306" i="56"/>
  <c r="W306" i="56" s="1"/>
  <c r="U306" i="56" s="1"/>
  <c r="V306" i="56"/>
  <c r="AH306" i="56" s="1"/>
  <c r="S306" i="56"/>
  <c r="I306" i="56" s="1"/>
  <c r="L306" i="56"/>
  <c r="K306" i="56"/>
  <c r="H306" i="56"/>
  <c r="T306" i="56" s="1"/>
  <c r="C306" i="56"/>
  <c r="AG305" i="56"/>
  <c r="Y305" i="56"/>
  <c r="V305" i="56"/>
  <c r="AH305" i="56" s="1"/>
  <c r="S305" i="56"/>
  <c r="K305" i="56"/>
  <c r="I305" i="56"/>
  <c r="H305" i="56"/>
  <c r="C305" i="56"/>
  <c r="AG304" i="56"/>
  <c r="Y304" i="56"/>
  <c r="W304" i="56"/>
  <c r="V304" i="56"/>
  <c r="S304" i="56"/>
  <c r="K304" i="56"/>
  <c r="I304" i="56" s="1"/>
  <c r="H304" i="56"/>
  <c r="T304" i="56" s="1"/>
  <c r="C304" i="56"/>
  <c r="AG303" i="56"/>
  <c r="Y303" i="56"/>
  <c r="W303" i="56"/>
  <c r="V303" i="56"/>
  <c r="S303" i="56"/>
  <c r="K303" i="56"/>
  <c r="I303" i="56" s="1"/>
  <c r="H303" i="56"/>
  <c r="T303" i="56" s="1"/>
  <c r="C303" i="56"/>
  <c r="AG302" i="56"/>
  <c r="Z302" i="56"/>
  <c r="Y302" i="56"/>
  <c r="V302" i="56"/>
  <c r="S302" i="56"/>
  <c r="L302" i="56"/>
  <c r="K302" i="56"/>
  <c r="I302" i="56" s="1"/>
  <c r="H302" i="56"/>
  <c r="C302" i="56"/>
  <c r="AG301" i="56"/>
  <c r="Y301" i="56"/>
  <c r="W301" i="56" s="1"/>
  <c r="V301" i="56"/>
  <c r="T301" i="56"/>
  <c r="S301" i="56"/>
  <c r="I301" i="56" s="1"/>
  <c r="G301" i="56" s="1"/>
  <c r="K301" i="56"/>
  <c r="H301" i="56"/>
  <c r="C301" i="56"/>
  <c r="W300" i="56"/>
  <c r="U300" i="56" s="1"/>
  <c r="I300" i="56"/>
  <c r="G300" i="56" s="1"/>
  <c r="C300" i="56"/>
  <c r="AH299" i="56"/>
  <c r="AG299" i="56"/>
  <c r="Y299" i="56"/>
  <c r="V299" i="56"/>
  <c r="S299" i="56"/>
  <c r="K299" i="56"/>
  <c r="I299" i="56"/>
  <c r="H299" i="56"/>
  <c r="T299" i="56" s="1"/>
  <c r="C299" i="56"/>
  <c r="AG298" i="56"/>
  <c r="Y298" i="56"/>
  <c r="W298" i="56"/>
  <c r="V298" i="56"/>
  <c r="S298" i="56"/>
  <c r="K298" i="56"/>
  <c r="I298" i="56" s="1"/>
  <c r="H298" i="56"/>
  <c r="T298" i="56" s="1"/>
  <c r="C298" i="56"/>
  <c r="AH297" i="56"/>
  <c r="W297" i="56"/>
  <c r="U297" i="56" s="1"/>
  <c r="T297" i="56"/>
  <c r="I297" i="56"/>
  <c r="C297" i="56"/>
  <c r="AH296" i="56"/>
  <c r="W296" i="56"/>
  <c r="K296" i="56"/>
  <c r="H296" i="56"/>
  <c r="C296" i="56"/>
  <c r="AH295" i="56"/>
  <c r="X295" i="56"/>
  <c r="W295" i="56"/>
  <c r="U295" i="56" s="1"/>
  <c r="AL295" i="56" s="1"/>
  <c r="T295" i="56"/>
  <c r="I295" i="56"/>
  <c r="G295" i="56"/>
  <c r="W294" i="56"/>
  <c r="U294" i="56" s="1"/>
  <c r="T294" i="56"/>
  <c r="I294" i="56"/>
  <c r="G294" i="56" s="1"/>
  <c r="AL294" i="56" s="1"/>
  <c r="C294" i="56"/>
  <c r="AG293" i="56"/>
  <c r="AB293" i="56"/>
  <c r="AB290" i="56" s="1"/>
  <c r="Y293" i="56"/>
  <c r="V293" i="56"/>
  <c r="R293" i="56"/>
  <c r="R290" i="56" s="1"/>
  <c r="Q293" i="56"/>
  <c r="AE293" i="56" s="1"/>
  <c r="AE290" i="56" s="1"/>
  <c r="P293" i="56"/>
  <c r="AD293" i="56" s="1"/>
  <c r="AD290" i="56" s="1"/>
  <c r="O293" i="56"/>
  <c r="O290" i="56" s="1"/>
  <c r="N293" i="56"/>
  <c r="N290" i="56" s="1"/>
  <c r="M293" i="56"/>
  <c r="AA293" i="56" s="1"/>
  <c r="AA290" i="56" s="1"/>
  <c r="L293" i="56"/>
  <c r="Z293" i="56" s="1"/>
  <c r="Z290" i="56" s="1"/>
  <c r="J293" i="56"/>
  <c r="J290" i="56" s="1"/>
  <c r="AG292" i="56"/>
  <c r="W292" i="56" s="1"/>
  <c r="U292" i="56" s="1"/>
  <c r="V292" i="56"/>
  <c r="AH292" i="56" s="1"/>
  <c r="S292" i="56"/>
  <c r="I292" i="56" s="1"/>
  <c r="H292" i="56"/>
  <c r="T292" i="56" s="1"/>
  <c r="C292" i="56"/>
  <c r="AG291" i="56"/>
  <c r="Y291" i="56"/>
  <c r="W291" i="56"/>
  <c r="V291" i="56"/>
  <c r="S291" i="56"/>
  <c r="K291" i="56"/>
  <c r="I291" i="56" s="1"/>
  <c r="H291" i="56"/>
  <c r="C291" i="56"/>
  <c r="Q290" i="56"/>
  <c r="M290" i="56"/>
  <c r="F290" i="56"/>
  <c r="E290" i="56"/>
  <c r="D290" i="56"/>
  <c r="AG289" i="56"/>
  <c r="AE289" i="56"/>
  <c r="AD289" i="56"/>
  <c r="Y289" i="56"/>
  <c r="V289" i="56"/>
  <c r="S289" i="56"/>
  <c r="Q289" i="56"/>
  <c r="I289" i="56" s="1"/>
  <c r="P289" i="56"/>
  <c r="K289" i="56"/>
  <c r="H289" i="56"/>
  <c r="C289" i="56"/>
  <c r="AG288" i="56"/>
  <c r="AE288" i="56"/>
  <c r="AD288" i="56"/>
  <c r="Y288" i="56"/>
  <c r="W288" i="56" s="1"/>
  <c r="V288" i="56"/>
  <c r="S288" i="56"/>
  <c r="Q288" i="56"/>
  <c r="P288" i="56"/>
  <c r="I288" i="56" s="1"/>
  <c r="K288" i="56"/>
  <c r="T288" i="56" s="1"/>
  <c r="H288" i="56"/>
  <c r="C288" i="56"/>
  <c r="AG287" i="56"/>
  <c r="Y287" i="56"/>
  <c r="V287" i="56"/>
  <c r="T287" i="56"/>
  <c r="S287" i="56"/>
  <c r="K287" i="56"/>
  <c r="H287" i="56"/>
  <c r="C287" i="56"/>
  <c r="AE286" i="56"/>
  <c r="AD286" i="56"/>
  <c r="Y286" i="56"/>
  <c r="V286" i="56"/>
  <c r="Q286" i="56"/>
  <c r="P286" i="56"/>
  <c r="K286" i="56"/>
  <c r="H286" i="56"/>
  <c r="C286" i="56"/>
  <c r="AG285" i="56"/>
  <c r="Y285" i="56"/>
  <c r="W285" i="56"/>
  <c r="V285" i="56"/>
  <c r="S285" i="56"/>
  <c r="S283" i="56" s="1"/>
  <c r="K285" i="56"/>
  <c r="H285" i="56"/>
  <c r="C285" i="56"/>
  <c r="AG284" i="56"/>
  <c r="AG283" i="56" s="1"/>
  <c r="AG282" i="56" s="1"/>
  <c r="AE284" i="56"/>
  <c r="AE283" i="56" s="1"/>
  <c r="AD284" i="56"/>
  <c r="AD283" i="56" s="1"/>
  <c r="Y284" i="56"/>
  <c r="Y283" i="56" s="1"/>
  <c r="Y282" i="56" s="1"/>
  <c r="V284" i="56"/>
  <c r="S284" i="56"/>
  <c r="Q284" i="56"/>
  <c r="Q283" i="56" s="1"/>
  <c r="P284" i="56"/>
  <c r="P283" i="56" s="1"/>
  <c r="K284" i="56"/>
  <c r="H284" i="56"/>
  <c r="C284" i="56"/>
  <c r="AF283" i="56"/>
  <c r="AF282" i="56" s="1"/>
  <c r="AF32" i="56" s="1"/>
  <c r="AC283" i="56"/>
  <c r="AC282" i="56" s="1"/>
  <c r="AC32" i="56" s="1"/>
  <c r="AB283" i="56"/>
  <c r="AB282" i="56" s="1"/>
  <c r="AA283" i="56"/>
  <c r="AA282" i="56" s="1"/>
  <c r="Z283" i="56"/>
  <c r="Z282" i="56" s="1"/>
  <c r="Z32" i="56" s="1"/>
  <c r="X283" i="56"/>
  <c r="X282" i="56" s="1"/>
  <c r="X32" i="56" s="1"/>
  <c r="R283" i="56"/>
  <c r="O283" i="56"/>
  <c r="N283" i="56"/>
  <c r="N282" i="56" s="1"/>
  <c r="N32" i="56" s="1"/>
  <c r="M283" i="56"/>
  <c r="M282" i="56" s="1"/>
  <c r="M32" i="56" s="1"/>
  <c r="L283" i="56"/>
  <c r="L282" i="56" s="1"/>
  <c r="J283" i="56"/>
  <c r="H283" i="56"/>
  <c r="H282" i="56" s="1"/>
  <c r="F283" i="56"/>
  <c r="F282" i="56" s="1"/>
  <c r="F32" i="56" s="1"/>
  <c r="E283" i="56"/>
  <c r="D283" i="56"/>
  <c r="R282" i="56"/>
  <c r="R32" i="56" s="1"/>
  <c r="O282" i="56"/>
  <c r="J282" i="56"/>
  <c r="E282" i="56"/>
  <c r="E32" i="56" s="1"/>
  <c r="D282" i="56"/>
  <c r="AH281" i="56"/>
  <c r="W281" i="56"/>
  <c r="T281" i="56"/>
  <c r="G281" i="56" s="1"/>
  <c r="I281" i="56"/>
  <c r="C281" i="56"/>
  <c r="AE280" i="56"/>
  <c r="AD280" i="56"/>
  <c r="Y280" i="56"/>
  <c r="V280" i="56"/>
  <c r="Q280" i="56"/>
  <c r="P280" i="56"/>
  <c r="K280" i="56"/>
  <c r="H280" i="56"/>
  <c r="C280" i="56"/>
  <c r="AH279" i="56"/>
  <c r="AE279" i="56"/>
  <c r="AD279" i="56"/>
  <c r="W279" i="56" s="1"/>
  <c r="Y279" i="56"/>
  <c r="V279" i="56"/>
  <c r="T279" i="56"/>
  <c r="Q279" i="56"/>
  <c r="P279" i="56"/>
  <c r="K279" i="56"/>
  <c r="I279" i="56"/>
  <c r="H279" i="56"/>
  <c r="C279" i="56"/>
  <c r="AH278" i="56"/>
  <c r="W278" i="56"/>
  <c r="T278" i="56"/>
  <c r="I278" i="56"/>
  <c r="C278" i="56"/>
  <c r="AG277" i="56"/>
  <c r="AG271" i="56" s="1"/>
  <c r="AG270" i="56" s="1"/>
  <c r="Y277" i="56"/>
  <c r="V277" i="56"/>
  <c r="AH277" i="56" s="1"/>
  <c r="S277" i="56"/>
  <c r="I277" i="56" s="1"/>
  <c r="K277" i="56"/>
  <c r="H277" i="56"/>
  <c r="C277" i="56"/>
  <c r="AG276" i="56"/>
  <c r="AF276" i="56"/>
  <c r="AE276" i="56"/>
  <c r="AD276" i="56"/>
  <c r="Z276" i="56"/>
  <c r="Y276" i="56"/>
  <c r="V276" i="56"/>
  <c r="S276" i="56"/>
  <c r="R276" i="56"/>
  <c r="Q276" i="56"/>
  <c r="P276" i="56"/>
  <c r="L276" i="56"/>
  <c r="I276" i="56" s="1"/>
  <c r="K276" i="56"/>
  <c r="H276" i="56"/>
  <c r="C276" i="56"/>
  <c r="AG275" i="56"/>
  <c r="AF275" i="56"/>
  <c r="AD275" i="56"/>
  <c r="AA275" i="56"/>
  <c r="Y275" i="56"/>
  <c r="V275" i="56"/>
  <c r="S275" i="56"/>
  <c r="R275" i="56"/>
  <c r="P275" i="56"/>
  <c r="M275" i="56"/>
  <c r="M271" i="56" s="1"/>
  <c r="M270" i="56" s="1"/>
  <c r="M31" i="56" s="1"/>
  <c r="K275" i="56"/>
  <c r="H275" i="56"/>
  <c r="C275" i="56"/>
  <c r="AG274" i="56"/>
  <c r="AE274" i="56"/>
  <c r="AD274" i="56"/>
  <c r="Z274" i="56"/>
  <c r="Y274" i="56"/>
  <c r="V274" i="56"/>
  <c r="S274" i="56"/>
  <c r="Q274" i="56"/>
  <c r="P274" i="56"/>
  <c r="L274" i="56"/>
  <c r="K274" i="56"/>
  <c r="H274" i="56"/>
  <c r="C274" i="56"/>
  <c r="AG273" i="56"/>
  <c r="AE273" i="56"/>
  <c r="AD273" i="56"/>
  <c r="Z273" i="56"/>
  <c r="Y273" i="56"/>
  <c r="W273" i="56"/>
  <c r="V273" i="56"/>
  <c r="S273" i="56"/>
  <c r="Q273" i="56"/>
  <c r="P273" i="56"/>
  <c r="L273" i="56"/>
  <c r="K273" i="56"/>
  <c r="H273" i="56"/>
  <c r="C273" i="56"/>
  <c r="AG272" i="56"/>
  <c r="AF272" i="56"/>
  <c r="AF271" i="56" s="1"/>
  <c r="AF270" i="56" s="1"/>
  <c r="AF31" i="56" s="1"/>
  <c r="AE272" i="56"/>
  <c r="AD272" i="56"/>
  <c r="Z272" i="56"/>
  <c r="Y272" i="56"/>
  <c r="W272" i="56" s="1"/>
  <c r="V272" i="56"/>
  <c r="AH272" i="56" s="1"/>
  <c r="S272" i="56"/>
  <c r="R272" i="56"/>
  <c r="Q272" i="56"/>
  <c r="P272" i="56"/>
  <c r="L272" i="56"/>
  <c r="K272" i="56"/>
  <c r="H272" i="56"/>
  <c r="T272" i="56" s="1"/>
  <c r="C272" i="56"/>
  <c r="AC271" i="56"/>
  <c r="AC270" i="56" s="1"/>
  <c r="AC31" i="56" s="1"/>
  <c r="AB271" i="56"/>
  <c r="AB270" i="56" s="1"/>
  <c r="Y271" i="56"/>
  <c r="Y270" i="56" s="1"/>
  <c r="X271" i="56"/>
  <c r="Q271" i="56"/>
  <c r="Q270" i="56" s="1"/>
  <c r="O271" i="56"/>
  <c r="N271" i="56"/>
  <c r="N270" i="56" s="1"/>
  <c r="N31" i="56" s="1"/>
  <c r="J271" i="56"/>
  <c r="J270" i="56" s="1"/>
  <c r="F271" i="56"/>
  <c r="F270" i="56" s="1"/>
  <c r="F31" i="56" s="1"/>
  <c r="E271" i="56"/>
  <c r="D271" i="56"/>
  <c r="D270" i="56" s="1"/>
  <c r="D31" i="56" s="1"/>
  <c r="X270" i="56"/>
  <c r="O270" i="56"/>
  <c r="O31" i="56" s="1"/>
  <c r="E270" i="56"/>
  <c r="AG269" i="56"/>
  <c r="AF269" i="56"/>
  <c r="Z269" i="56"/>
  <c r="Y269" i="56"/>
  <c r="V269" i="56"/>
  <c r="S269" i="56"/>
  <c r="R269" i="56"/>
  <c r="L269" i="56"/>
  <c r="K269" i="56"/>
  <c r="H269" i="56"/>
  <c r="C269" i="56"/>
  <c r="AG268" i="56"/>
  <c r="AD268" i="56"/>
  <c r="Z268" i="56"/>
  <c r="Y268" i="56"/>
  <c r="V268" i="56"/>
  <c r="R268" i="56"/>
  <c r="AF268" i="56" s="1"/>
  <c r="M268" i="56"/>
  <c r="AA268" i="56" s="1"/>
  <c r="AG267" i="56"/>
  <c r="W267" i="56" s="1"/>
  <c r="U267" i="56" s="1"/>
  <c r="S267" i="56"/>
  <c r="I267" i="56" s="1"/>
  <c r="G267" i="56" s="1"/>
  <c r="AF266" i="56"/>
  <c r="AE266" i="56"/>
  <c r="AC266" i="56"/>
  <c r="AB266" i="56"/>
  <c r="AA266" i="56"/>
  <c r="X266" i="56"/>
  <c r="S266" i="56"/>
  <c r="AG266" i="56" s="1"/>
  <c r="L266" i="56"/>
  <c r="Z266" i="56" s="1"/>
  <c r="K266" i="56"/>
  <c r="Y266" i="56" s="1"/>
  <c r="H266" i="56"/>
  <c r="T266" i="56" s="1"/>
  <c r="C266" i="56"/>
  <c r="AH265" i="56"/>
  <c r="W265" i="56"/>
  <c r="S265" i="56"/>
  <c r="R265" i="56"/>
  <c r="L265" i="56"/>
  <c r="I265" i="56" s="1"/>
  <c r="K265" i="56"/>
  <c r="H265" i="56"/>
  <c r="C265" i="56"/>
  <c r="AL264" i="56"/>
  <c r="AI264" i="56"/>
  <c r="AG263" i="56"/>
  <c r="AF263" i="56"/>
  <c r="AE263" i="56"/>
  <c r="Z263" i="56"/>
  <c r="Y263" i="56"/>
  <c r="V263" i="56"/>
  <c r="S263" i="56"/>
  <c r="R263" i="56"/>
  <c r="Q263" i="56"/>
  <c r="L263" i="56"/>
  <c r="K263" i="56"/>
  <c r="H263" i="56"/>
  <c r="C263" i="56"/>
  <c r="AG262" i="56"/>
  <c r="Z262" i="56"/>
  <c r="Y262" i="56"/>
  <c r="V262" i="56"/>
  <c r="T262" i="56"/>
  <c r="S262" i="56"/>
  <c r="L262" i="56"/>
  <c r="K262" i="56"/>
  <c r="I262" i="56"/>
  <c r="G262" i="56" s="1"/>
  <c r="H262" i="56"/>
  <c r="C262" i="56"/>
  <c r="AH261" i="56"/>
  <c r="AD261" i="56"/>
  <c r="W261" i="56" s="1"/>
  <c r="T261" i="56"/>
  <c r="P261" i="56"/>
  <c r="I261" i="56" s="1"/>
  <c r="C261" i="56"/>
  <c r="AL260" i="56"/>
  <c r="AI260" i="56"/>
  <c r="AK260" i="56" s="1"/>
  <c r="AL259" i="56"/>
  <c r="AI259" i="56"/>
  <c r="AK259" i="56" s="1"/>
  <c r="AH258" i="56"/>
  <c r="AG258" i="56"/>
  <c r="AF258" i="56"/>
  <c r="AE258" i="56"/>
  <c r="AD258" i="56"/>
  <c r="AC258" i="56"/>
  <c r="AB258" i="56"/>
  <c r="AA258" i="56"/>
  <c r="Z258" i="56"/>
  <c r="Y258" i="56"/>
  <c r="X258" i="56"/>
  <c r="W258" i="56"/>
  <c r="V258" i="56"/>
  <c r="U258" i="56"/>
  <c r="T258" i="56"/>
  <c r="S258" i="56"/>
  <c r="R258" i="56"/>
  <c r="Q258" i="56"/>
  <c r="P258" i="56"/>
  <c r="O258" i="56"/>
  <c r="N258" i="56"/>
  <c r="M258" i="56"/>
  <c r="L258" i="56"/>
  <c r="K258" i="56"/>
  <c r="J258" i="56"/>
  <c r="I258" i="56"/>
  <c r="H258" i="56"/>
  <c r="G258" i="56"/>
  <c r="F258" i="56"/>
  <c r="E258" i="56"/>
  <c r="D258" i="56"/>
  <c r="C258" i="56"/>
  <c r="AH257" i="56"/>
  <c r="U257" i="56" s="1"/>
  <c r="W257" i="56"/>
  <c r="T257" i="56"/>
  <c r="I257" i="56"/>
  <c r="C257" i="56"/>
  <c r="C255" i="56" s="1"/>
  <c r="AG256" i="56"/>
  <c r="AG255" i="56" s="1"/>
  <c r="Z256" i="56"/>
  <c r="Y256" i="56"/>
  <c r="Y255" i="56" s="1"/>
  <c r="V256" i="56"/>
  <c r="S256" i="56"/>
  <c r="S255" i="56" s="1"/>
  <c r="L256" i="56"/>
  <c r="L255" i="56" s="1"/>
  <c r="K256" i="56"/>
  <c r="K255" i="56" s="1"/>
  <c r="H256" i="56"/>
  <c r="P256" i="56" s="1"/>
  <c r="I256" i="56" s="1"/>
  <c r="AF255" i="56"/>
  <c r="AE255" i="56"/>
  <c r="AC255" i="56"/>
  <c r="AB255" i="56"/>
  <c r="AA255" i="56"/>
  <c r="Z255" i="56"/>
  <c r="X255" i="56"/>
  <c r="R255" i="56"/>
  <c r="Q255" i="56"/>
  <c r="O255" i="56"/>
  <c r="N255" i="56"/>
  <c r="M255" i="56"/>
  <c r="J255" i="56"/>
  <c r="F255" i="56"/>
  <c r="E255" i="56"/>
  <c r="D255" i="56"/>
  <c r="AG254" i="56"/>
  <c r="AD254" i="56"/>
  <c r="W254" i="56" s="1"/>
  <c r="Z254" i="56"/>
  <c r="Y254" i="56"/>
  <c r="V254" i="56"/>
  <c r="S254" i="56"/>
  <c r="P254" i="56"/>
  <c r="L254" i="56"/>
  <c r="K254" i="56"/>
  <c r="H254" i="56"/>
  <c r="AH253" i="56"/>
  <c r="W253" i="56"/>
  <c r="T253" i="56"/>
  <c r="I253" i="56"/>
  <c r="C253" i="56"/>
  <c r="AH252" i="56"/>
  <c r="AH251" i="56" s="1"/>
  <c r="AG252" i="56"/>
  <c r="AD252" i="56"/>
  <c r="AD251" i="56" s="1"/>
  <c r="S252" i="56"/>
  <c r="R252" i="56"/>
  <c r="R251" i="56" s="1"/>
  <c r="R249" i="56" s="1"/>
  <c r="P252" i="56"/>
  <c r="P251" i="56" s="1"/>
  <c r="C252" i="56"/>
  <c r="AF251" i="56"/>
  <c r="AF249" i="56" s="1"/>
  <c r="AE251" i="56"/>
  <c r="AC251" i="56"/>
  <c r="AC249" i="56" s="1"/>
  <c r="AB251" i="56"/>
  <c r="AB249" i="56" s="1"/>
  <c r="AA251" i="56"/>
  <c r="Z251" i="56"/>
  <c r="Z249" i="56" s="1"/>
  <c r="Y251" i="56"/>
  <c r="Y249" i="56" s="1"/>
  <c r="X251" i="56"/>
  <c r="X249" i="56" s="1"/>
  <c r="V251" i="56"/>
  <c r="S251" i="56"/>
  <c r="S249" i="56" s="1"/>
  <c r="Q251" i="56"/>
  <c r="Q249" i="56" s="1"/>
  <c r="O251" i="56"/>
  <c r="O249" i="56" s="1"/>
  <c r="N251" i="56"/>
  <c r="N249" i="56" s="1"/>
  <c r="M251" i="56"/>
  <c r="M249" i="56" s="1"/>
  <c r="L251" i="56"/>
  <c r="L249" i="56" s="1"/>
  <c r="K251" i="56"/>
  <c r="J251" i="56"/>
  <c r="J249" i="56" s="1"/>
  <c r="H251" i="56"/>
  <c r="H249" i="56" s="1"/>
  <c r="F251" i="56"/>
  <c r="F249" i="56" s="1"/>
  <c r="E251" i="56"/>
  <c r="E249" i="56" s="1"/>
  <c r="D251" i="56"/>
  <c r="AH250" i="56"/>
  <c r="AD250" i="56"/>
  <c r="W250" i="56" s="1"/>
  <c r="T250" i="56"/>
  <c r="P250" i="56"/>
  <c r="C250" i="56"/>
  <c r="AE249" i="56"/>
  <c r="AA249" i="56"/>
  <c r="V249" i="56"/>
  <c r="K249" i="56"/>
  <c r="D249" i="56"/>
  <c r="W248" i="56"/>
  <c r="U248" i="56" s="1"/>
  <c r="I248" i="56"/>
  <c r="G248" i="56" s="1"/>
  <c r="AG247" i="56"/>
  <c r="AF247" i="56"/>
  <c r="Z247" i="56"/>
  <c r="Y247" i="56"/>
  <c r="V247" i="56"/>
  <c r="AH247" i="56" s="1"/>
  <c r="S247" i="56"/>
  <c r="R247" i="56"/>
  <c r="L247" i="56"/>
  <c r="K247" i="56"/>
  <c r="H247" i="56"/>
  <c r="C247" i="56"/>
  <c r="AL246" i="56"/>
  <c r="AI246" i="56"/>
  <c r="AJ246" i="56" s="1"/>
  <c r="W245" i="56"/>
  <c r="U245" i="56" s="1"/>
  <c r="T245" i="56"/>
  <c r="I245" i="56"/>
  <c r="C245" i="56"/>
  <c r="W244" i="56"/>
  <c r="U244" i="56" s="1"/>
  <c r="T244" i="56"/>
  <c r="G244" i="56" s="1"/>
  <c r="I244" i="56"/>
  <c r="I243" i="56" s="1"/>
  <c r="C244" i="56"/>
  <c r="C243" i="56" s="1"/>
  <c r="AH243" i="56"/>
  <c r="AG243" i="56"/>
  <c r="AF243" i="56"/>
  <c r="AE243" i="56"/>
  <c r="AD243" i="56"/>
  <c r="AC243" i="56"/>
  <c r="AC237" i="56" s="1"/>
  <c r="AB243" i="56"/>
  <c r="AB237" i="56" s="1"/>
  <c r="AA243" i="56"/>
  <c r="AA237" i="56" s="1"/>
  <c r="Z243" i="56"/>
  <c r="Y243" i="56"/>
  <c r="X243" i="56"/>
  <c r="X237" i="56" s="1"/>
  <c r="V243" i="56"/>
  <c r="S243" i="56"/>
  <c r="R243" i="56"/>
  <c r="Q243" i="56"/>
  <c r="P243" i="56"/>
  <c r="P237" i="56" s="1"/>
  <c r="O243" i="56"/>
  <c r="O237" i="56" s="1"/>
  <c r="N243" i="56"/>
  <c r="N237" i="56" s="1"/>
  <c r="M243" i="56"/>
  <c r="L243" i="56"/>
  <c r="L237" i="56" s="1"/>
  <c r="K243" i="56"/>
  <c r="K237" i="56" s="1"/>
  <c r="J243" i="56"/>
  <c r="J237" i="56" s="1"/>
  <c r="H243" i="56"/>
  <c r="H237" i="56" s="1"/>
  <c r="F243" i="56"/>
  <c r="F237" i="56" s="1"/>
  <c r="E243" i="56"/>
  <c r="E237" i="56" s="1"/>
  <c r="D243" i="56"/>
  <c r="D237" i="56" s="1"/>
  <c r="W242" i="56"/>
  <c r="U242" i="56" s="1"/>
  <c r="T242" i="56"/>
  <c r="I242" i="56"/>
  <c r="C242" i="56"/>
  <c r="AH241" i="56"/>
  <c r="AG241" i="56"/>
  <c r="Y241" i="56"/>
  <c r="V241" i="56"/>
  <c r="S241" i="56"/>
  <c r="I241" i="56" s="1"/>
  <c r="G241" i="56" s="1"/>
  <c r="AH240" i="56"/>
  <c r="AG240" i="56"/>
  <c r="AE240" i="56"/>
  <c r="AD240" i="56"/>
  <c r="Y240" i="56"/>
  <c r="V240" i="56"/>
  <c r="I240" i="56"/>
  <c r="AH239" i="56"/>
  <c r="AG239" i="56"/>
  <c r="AE239" i="56"/>
  <c r="AD239" i="56"/>
  <c r="Y239" i="56"/>
  <c r="V239" i="56"/>
  <c r="I239" i="56"/>
  <c r="G239" i="56" s="1"/>
  <c r="AH238" i="56"/>
  <c r="AG238" i="56"/>
  <c r="AF238" i="56"/>
  <c r="AE238" i="56"/>
  <c r="AD238" i="56"/>
  <c r="Z238" i="56"/>
  <c r="Y238" i="56"/>
  <c r="V238" i="56"/>
  <c r="I238" i="56"/>
  <c r="G238" i="56"/>
  <c r="R237" i="56"/>
  <c r="Q237" i="56"/>
  <c r="M237" i="56"/>
  <c r="AG236" i="56"/>
  <c r="AF236" i="56"/>
  <c r="AD236" i="56"/>
  <c r="Y236" i="56"/>
  <c r="V236" i="56"/>
  <c r="S236" i="56"/>
  <c r="R236" i="56"/>
  <c r="P236" i="56"/>
  <c r="K236" i="56"/>
  <c r="H236" i="56"/>
  <c r="C236" i="56"/>
  <c r="AG235" i="56"/>
  <c r="Z235" i="56"/>
  <c r="Y235" i="56"/>
  <c r="V235" i="56"/>
  <c r="S235" i="56"/>
  <c r="L235" i="56"/>
  <c r="K235" i="56"/>
  <c r="H235" i="56"/>
  <c r="C235" i="56"/>
  <c r="AG234" i="56"/>
  <c r="W234" i="56"/>
  <c r="V234" i="56"/>
  <c r="AH234" i="56" s="1"/>
  <c r="S234" i="56"/>
  <c r="I234" i="56" s="1"/>
  <c r="H234" i="56"/>
  <c r="T234" i="56" s="1"/>
  <c r="C234" i="56"/>
  <c r="AD233" i="56"/>
  <c r="AD232" i="56" s="1"/>
  <c r="Y233" i="56"/>
  <c r="W233" i="56"/>
  <c r="W232" i="56" s="1"/>
  <c r="V233" i="56"/>
  <c r="AH233" i="56" s="1"/>
  <c r="P233" i="56"/>
  <c r="K233" i="56"/>
  <c r="H233" i="56"/>
  <c r="T233" i="56" s="1"/>
  <c r="C233" i="56"/>
  <c r="AG232" i="56"/>
  <c r="AG229" i="56" s="1"/>
  <c r="AF232" i="56"/>
  <c r="AF229" i="56" s="1"/>
  <c r="AE232" i="56"/>
  <c r="AE229" i="56" s="1"/>
  <c r="AC232" i="56"/>
  <c r="AB232" i="56"/>
  <c r="AB229" i="56" s="1"/>
  <c r="AA232" i="56"/>
  <c r="AA229" i="56" s="1"/>
  <c r="Z232" i="56"/>
  <c r="Y232" i="56"/>
  <c r="V232" i="56"/>
  <c r="S232" i="56"/>
  <c r="R232" i="56"/>
  <c r="R229" i="56" s="1"/>
  <c r="Q232" i="56"/>
  <c r="O232" i="56"/>
  <c r="O229" i="56" s="1"/>
  <c r="N232" i="56"/>
  <c r="N229" i="56" s="1"/>
  <c r="M232" i="56"/>
  <c r="M229" i="56" s="1"/>
  <c r="L232" i="56"/>
  <c r="K232" i="56"/>
  <c r="J232" i="56"/>
  <c r="F232" i="56"/>
  <c r="F229" i="56" s="1"/>
  <c r="E232" i="56"/>
  <c r="E229" i="56" s="1"/>
  <c r="D232" i="56"/>
  <c r="D229" i="56" s="1"/>
  <c r="AG231" i="56"/>
  <c r="Y231" i="56"/>
  <c r="W231" i="56" s="1"/>
  <c r="V231" i="56"/>
  <c r="S231" i="56"/>
  <c r="K231" i="56"/>
  <c r="H231" i="56"/>
  <c r="C231" i="56"/>
  <c r="AG230" i="56"/>
  <c r="AD230" i="56"/>
  <c r="Z230" i="56"/>
  <c r="Y230" i="56"/>
  <c r="Y229" i="56" s="1"/>
  <c r="V230" i="56"/>
  <c r="S230" i="56"/>
  <c r="P230" i="56"/>
  <c r="L230" i="56"/>
  <c r="K230" i="56"/>
  <c r="H230" i="56"/>
  <c r="C230" i="56"/>
  <c r="AC229" i="56"/>
  <c r="Z229" i="56"/>
  <c r="X229" i="56"/>
  <c r="Q229" i="56"/>
  <c r="J229" i="56"/>
  <c r="AG226" i="56"/>
  <c r="AF226" i="56"/>
  <c r="AE226" i="56"/>
  <c r="AD226" i="56"/>
  <c r="AC226" i="56"/>
  <c r="AB226" i="56"/>
  <c r="AA226" i="56"/>
  <c r="Z226" i="56"/>
  <c r="Y226" i="56"/>
  <c r="V226" i="56"/>
  <c r="I226" i="56"/>
  <c r="G226" i="56" s="1"/>
  <c r="AG225" i="56"/>
  <c r="AF225" i="56"/>
  <c r="AE225" i="56"/>
  <c r="AD225" i="56"/>
  <c r="AC225" i="56"/>
  <c r="AB225" i="56"/>
  <c r="AA225" i="56"/>
  <c r="Z225" i="56"/>
  <c r="Y225" i="56"/>
  <c r="I225" i="56"/>
  <c r="H225" i="56"/>
  <c r="W224" i="56"/>
  <c r="U224" i="56" s="1"/>
  <c r="I224" i="56"/>
  <c r="G224" i="56" s="1"/>
  <c r="C224" i="56"/>
  <c r="AG223" i="56"/>
  <c r="AF223" i="56"/>
  <c r="AE223" i="56"/>
  <c r="AD223" i="56"/>
  <c r="AC223" i="56"/>
  <c r="AB223" i="56"/>
  <c r="AA223" i="56"/>
  <c r="Z223" i="56"/>
  <c r="Y223" i="56"/>
  <c r="V223" i="56"/>
  <c r="I223" i="56"/>
  <c r="G223" i="56" s="1"/>
  <c r="X222" i="56"/>
  <c r="X221" i="56" s="1"/>
  <c r="X28" i="56" s="1"/>
  <c r="T222" i="56"/>
  <c r="T221" i="56" s="1"/>
  <c r="S222" i="56"/>
  <c r="S221" i="56" s="1"/>
  <c r="S28" i="56" s="1"/>
  <c r="R222" i="56"/>
  <c r="R221" i="56" s="1"/>
  <c r="Q222" i="56"/>
  <c r="Q221" i="56" s="1"/>
  <c r="Q28" i="56" s="1"/>
  <c r="P222" i="56"/>
  <c r="P221" i="56" s="1"/>
  <c r="O222" i="56"/>
  <c r="N222" i="56"/>
  <c r="N221" i="56" s="1"/>
  <c r="M222" i="56"/>
  <c r="M221" i="56" s="1"/>
  <c r="M28" i="56" s="1"/>
  <c r="L222" i="56"/>
  <c r="L221" i="56" s="1"/>
  <c r="K222" i="56"/>
  <c r="K221" i="56" s="1"/>
  <c r="K28" i="56" s="1"/>
  <c r="J222" i="56"/>
  <c r="J221" i="56" s="1"/>
  <c r="H222" i="56"/>
  <c r="H221" i="56" s="1"/>
  <c r="H28" i="56" s="1"/>
  <c r="F222" i="56"/>
  <c r="F221" i="56" s="1"/>
  <c r="E222" i="56"/>
  <c r="E221" i="56" s="1"/>
  <c r="E28" i="56" s="1"/>
  <c r="D222" i="56"/>
  <c r="D221" i="56" s="1"/>
  <c r="C222" i="56"/>
  <c r="C221" i="56" s="1"/>
  <c r="C28" i="56" s="1"/>
  <c r="O221" i="56"/>
  <c r="O28" i="56" s="1"/>
  <c r="W220" i="56"/>
  <c r="U220" i="56" s="1"/>
  <c r="I220" i="56"/>
  <c r="G220" i="56" s="1"/>
  <c r="AG219" i="56"/>
  <c r="Z219" i="56"/>
  <c r="Y219" i="56"/>
  <c r="V219" i="56"/>
  <c r="S219" i="56"/>
  <c r="L219" i="56"/>
  <c r="K219" i="56"/>
  <c r="H219" i="56"/>
  <c r="C219" i="56"/>
  <c r="W218" i="56"/>
  <c r="U218" i="56" s="1"/>
  <c r="I218" i="56"/>
  <c r="G218" i="56" s="1"/>
  <c r="W217" i="56"/>
  <c r="U217" i="56" s="1"/>
  <c r="I217" i="56"/>
  <c r="G217" i="56" s="1"/>
  <c r="AH216" i="56"/>
  <c r="W216" i="56"/>
  <c r="U216" i="56"/>
  <c r="T216" i="56"/>
  <c r="I216" i="56"/>
  <c r="C216" i="56"/>
  <c r="AG215" i="56"/>
  <c r="W215" i="56" s="1"/>
  <c r="Y215" i="56"/>
  <c r="V215" i="56"/>
  <c r="S215" i="56"/>
  <c r="K215" i="56"/>
  <c r="H215" i="56"/>
  <c r="T215" i="56" s="1"/>
  <c r="C215" i="56"/>
  <c r="AH214" i="56"/>
  <c r="W214" i="56"/>
  <c r="T214" i="56"/>
  <c r="I214" i="56"/>
  <c r="C214" i="56"/>
  <c r="AL213" i="56"/>
  <c r="AI213" i="56"/>
  <c r="AH212" i="56"/>
  <c r="AG212" i="56"/>
  <c r="W212" i="56" s="1"/>
  <c r="V212" i="56"/>
  <c r="S212" i="56"/>
  <c r="I212" i="56"/>
  <c r="H212" i="56"/>
  <c r="C212" i="56"/>
  <c r="AG211" i="56"/>
  <c r="Y211" i="56"/>
  <c r="V211" i="56"/>
  <c r="S211" i="56"/>
  <c r="L211" i="56"/>
  <c r="K211" i="56"/>
  <c r="I211" i="56" s="1"/>
  <c r="H211" i="56"/>
  <c r="C211" i="56"/>
  <c r="AH210" i="56"/>
  <c r="Y210" i="56"/>
  <c r="W210" i="56" s="1"/>
  <c r="V210" i="56"/>
  <c r="T210" i="56"/>
  <c r="K210" i="56"/>
  <c r="I210" i="56" s="1"/>
  <c r="G210" i="56" s="1"/>
  <c r="H210" i="56"/>
  <c r="C210" i="56"/>
  <c r="AC209" i="56"/>
  <c r="W209" i="56" s="1"/>
  <c r="AB209" i="56"/>
  <c r="V209" i="56"/>
  <c r="O209" i="56"/>
  <c r="N209" i="56"/>
  <c r="H209" i="56"/>
  <c r="T209" i="56" s="1"/>
  <c r="C209" i="56"/>
  <c r="W208" i="56"/>
  <c r="U208" i="56" s="1"/>
  <c r="I208" i="56"/>
  <c r="G208" i="56" s="1"/>
  <c r="AG207" i="56"/>
  <c r="Y207" i="56"/>
  <c r="W207" i="56"/>
  <c r="V207" i="56"/>
  <c r="S207" i="56"/>
  <c r="K207" i="56"/>
  <c r="H207" i="56"/>
  <c r="T207" i="56" s="1"/>
  <c r="C207" i="56"/>
  <c r="AG206" i="56"/>
  <c r="Y206" i="56"/>
  <c r="Y205" i="56" s="1"/>
  <c r="V206" i="56"/>
  <c r="S206" i="56"/>
  <c r="S205" i="56" s="1"/>
  <c r="K206" i="56"/>
  <c r="H206" i="56"/>
  <c r="C206" i="56"/>
  <c r="AG205" i="56"/>
  <c r="AF205" i="56"/>
  <c r="AE205" i="56"/>
  <c r="AC205" i="56"/>
  <c r="AB205" i="56"/>
  <c r="AA205" i="56"/>
  <c r="Z205" i="56"/>
  <c r="X205" i="56"/>
  <c r="R205" i="56"/>
  <c r="Q205" i="56"/>
  <c r="O205" i="56"/>
  <c r="N205" i="56"/>
  <c r="M205" i="56"/>
  <c r="L205" i="56"/>
  <c r="J205" i="56"/>
  <c r="F205" i="56"/>
  <c r="E205" i="56"/>
  <c r="D205" i="56"/>
  <c r="W204" i="56"/>
  <c r="U204" i="56" s="1"/>
  <c r="AI204" i="56" s="1"/>
  <c r="AJ204" i="56" s="1"/>
  <c r="I204" i="56"/>
  <c r="G204" i="56" s="1"/>
  <c r="AH203" i="56"/>
  <c r="W203" i="56"/>
  <c r="T203" i="56"/>
  <c r="I203" i="56"/>
  <c r="W202" i="56"/>
  <c r="V202" i="56"/>
  <c r="AH202" i="56" s="1"/>
  <c r="I202" i="56"/>
  <c r="G202" i="56" s="1"/>
  <c r="H202" i="56"/>
  <c r="T202" i="56" s="1"/>
  <c r="C202" i="56"/>
  <c r="AH201" i="56"/>
  <c r="AG201" i="56"/>
  <c r="Z201" i="56"/>
  <c r="W201" i="56" s="1"/>
  <c r="Y201" i="56"/>
  <c r="V201" i="56"/>
  <c r="T201" i="56"/>
  <c r="S201" i="56"/>
  <c r="L201" i="56"/>
  <c r="K201" i="56"/>
  <c r="H201" i="56"/>
  <c r="C201" i="56"/>
  <c r="AH200" i="56"/>
  <c r="W200" i="56"/>
  <c r="T200" i="56"/>
  <c r="I200" i="56"/>
  <c r="AH199" i="56"/>
  <c r="W199" i="56"/>
  <c r="T199" i="56"/>
  <c r="I199" i="56"/>
  <c r="G199" i="56"/>
  <c r="AG198" i="56"/>
  <c r="Y198" i="56"/>
  <c r="W198" i="56" s="1"/>
  <c r="V198" i="56"/>
  <c r="S198" i="56"/>
  <c r="K198" i="56"/>
  <c r="I198" i="56" s="1"/>
  <c r="H198" i="56"/>
  <c r="C198" i="56"/>
  <c r="AG197" i="56"/>
  <c r="Z197" i="56"/>
  <c r="Z196" i="56" s="1"/>
  <c r="Y197" i="56"/>
  <c r="V197" i="56"/>
  <c r="S197" i="56"/>
  <c r="L197" i="56"/>
  <c r="L196" i="56" s="1"/>
  <c r="K197" i="56"/>
  <c r="H197" i="56"/>
  <c r="H196" i="56" s="1"/>
  <c r="C197" i="56"/>
  <c r="AG196" i="56"/>
  <c r="AF196" i="56"/>
  <c r="AE196" i="56"/>
  <c r="AC196" i="56"/>
  <c r="AB196" i="56"/>
  <c r="AA196" i="56"/>
  <c r="X196" i="56"/>
  <c r="S196" i="56"/>
  <c r="R196" i="56"/>
  <c r="Q196" i="56"/>
  <c r="O196" i="56"/>
  <c r="N196" i="56"/>
  <c r="M196" i="56"/>
  <c r="J196" i="56"/>
  <c r="F196" i="56"/>
  <c r="E196" i="56"/>
  <c r="D196" i="56"/>
  <c r="AG195" i="56"/>
  <c r="Y195" i="56"/>
  <c r="W195" i="56"/>
  <c r="V195" i="56"/>
  <c r="S195" i="56"/>
  <c r="K195" i="56"/>
  <c r="H195" i="56"/>
  <c r="H193" i="56" s="1"/>
  <c r="C195" i="56"/>
  <c r="AG194" i="56"/>
  <c r="AG193" i="56" s="1"/>
  <c r="Z194" i="56"/>
  <c r="Z193" i="56" s="1"/>
  <c r="Y194" i="56"/>
  <c r="AH194" i="56" s="1"/>
  <c r="V194" i="56"/>
  <c r="S194" i="56"/>
  <c r="L194" i="56"/>
  <c r="K194" i="56"/>
  <c r="H194" i="56"/>
  <c r="C194" i="56"/>
  <c r="AF193" i="56"/>
  <c r="AE193" i="56"/>
  <c r="AC193" i="56"/>
  <c r="AB193" i="56"/>
  <c r="AA193" i="56"/>
  <c r="X193" i="56"/>
  <c r="S193" i="56"/>
  <c r="R193" i="56"/>
  <c r="Q193" i="56"/>
  <c r="O193" i="56"/>
  <c r="N193" i="56"/>
  <c r="M193" i="56"/>
  <c r="L193" i="56"/>
  <c r="J193" i="56"/>
  <c r="F193" i="56"/>
  <c r="E193" i="56"/>
  <c r="D193" i="56"/>
  <c r="C193" i="56"/>
  <c r="AH192" i="56"/>
  <c r="W192" i="56"/>
  <c r="T192" i="56"/>
  <c r="I192" i="56"/>
  <c r="C192" i="56"/>
  <c r="AG191" i="56"/>
  <c r="AG190" i="56" s="1"/>
  <c r="Y191" i="56"/>
  <c r="AD191" i="56" s="1"/>
  <c r="V191" i="56"/>
  <c r="S191" i="56"/>
  <c r="K191" i="56"/>
  <c r="K190" i="56" s="1"/>
  <c r="H191" i="56"/>
  <c r="H190" i="56" s="1"/>
  <c r="C191" i="56"/>
  <c r="AF190" i="56"/>
  <c r="AE190" i="56"/>
  <c r="AC190" i="56"/>
  <c r="AB190" i="56"/>
  <c r="AA190" i="56"/>
  <c r="Z190" i="56"/>
  <c r="Y190" i="56"/>
  <c r="X190" i="56"/>
  <c r="S190" i="56"/>
  <c r="R190" i="56"/>
  <c r="Q190" i="56"/>
  <c r="O190" i="56"/>
  <c r="N190" i="56"/>
  <c r="M190" i="56"/>
  <c r="L190" i="56"/>
  <c r="J190" i="56"/>
  <c r="F190" i="56"/>
  <c r="E190" i="56"/>
  <c r="D190" i="56"/>
  <c r="C190" i="56"/>
  <c r="AG189" i="56"/>
  <c r="AF189" i="56"/>
  <c r="AA189" i="56"/>
  <c r="AA187" i="56" s="1"/>
  <c r="Z189" i="56"/>
  <c r="Y189" i="56"/>
  <c r="V189" i="56"/>
  <c r="S189" i="56"/>
  <c r="R189" i="56"/>
  <c r="M189" i="56"/>
  <c r="L189" i="56"/>
  <c r="K189" i="56"/>
  <c r="I189" i="56" s="1"/>
  <c r="H189" i="56"/>
  <c r="AG188" i="56"/>
  <c r="AF188" i="56"/>
  <c r="AF187" i="56" s="1"/>
  <c r="AA188" i="56"/>
  <c r="Z188" i="56"/>
  <c r="Y188" i="56"/>
  <c r="Y187" i="56" s="1"/>
  <c r="V188" i="56"/>
  <c r="S188" i="56"/>
  <c r="R188" i="56"/>
  <c r="M188" i="56"/>
  <c r="L188" i="56"/>
  <c r="L187" i="56" s="1"/>
  <c r="K188" i="56"/>
  <c r="H188" i="56"/>
  <c r="C188" i="56"/>
  <c r="C187" i="56" s="1"/>
  <c r="AG187" i="56"/>
  <c r="AE187" i="56"/>
  <c r="AC187" i="56"/>
  <c r="AB187" i="56"/>
  <c r="X187" i="56"/>
  <c r="Q187" i="56"/>
  <c r="O187" i="56"/>
  <c r="N187" i="56"/>
  <c r="M187" i="56"/>
  <c r="J187" i="56"/>
  <c r="F187" i="56"/>
  <c r="E187" i="56"/>
  <c r="D187" i="56"/>
  <c r="AG186" i="56"/>
  <c r="AB186" i="56"/>
  <c r="AB184" i="56" s="1"/>
  <c r="AA186" i="56"/>
  <c r="Z186" i="56"/>
  <c r="Y186" i="56"/>
  <c r="V186" i="56"/>
  <c r="S186" i="56"/>
  <c r="N186" i="56"/>
  <c r="N184" i="56" s="1"/>
  <c r="M186" i="56"/>
  <c r="L186" i="56"/>
  <c r="K186" i="56"/>
  <c r="I186" i="56" s="1"/>
  <c r="H186" i="56"/>
  <c r="C186" i="56"/>
  <c r="AH185" i="56"/>
  <c r="AG185" i="56"/>
  <c r="AG184" i="56" s="1"/>
  <c r="Z185" i="56"/>
  <c r="Y185" i="56"/>
  <c r="Y184" i="56" s="1"/>
  <c r="V185" i="56"/>
  <c r="S185" i="56"/>
  <c r="L185" i="56"/>
  <c r="L184" i="56" s="1"/>
  <c r="K185" i="56"/>
  <c r="H185" i="56"/>
  <c r="C185" i="56"/>
  <c r="AF184" i="56"/>
  <c r="AE184" i="56"/>
  <c r="AC184" i="56"/>
  <c r="AA184" i="56"/>
  <c r="Z184" i="56"/>
  <c r="X184" i="56"/>
  <c r="S184" i="56"/>
  <c r="R184" i="56"/>
  <c r="Q184" i="56"/>
  <c r="O184" i="56"/>
  <c r="M184" i="56"/>
  <c r="J184" i="56"/>
  <c r="H184" i="56"/>
  <c r="F184" i="56"/>
  <c r="E184" i="56"/>
  <c r="D184" i="56"/>
  <c r="AG183" i="56"/>
  <c r="AB183" i="56"/>
  <c r="AA183" i="56"/>
  <c r="Z183" i="56"/>
  <c r="Y183" i="56"/>
  <c r="V183" i="56"/>
  <c r="S183" i="56"/>
  <c r="N183" i="56"/>
  <c r="M183" i="56"/>
  <c r="L183" i="56"/>
  <c r="K183" i="56"/>
  <c r="H183" i="56"/>
  <c r="C183" i="56"/>
  <c r="AG182" i="56"/>
  <c r="Z182" i="56"/>
  <c r="Y182" i="56"/>
  <c r="V182" i="56"/>
  <c r="S182" i="56"/>
  <c r="S181" i="56" s="1"/>
  <c r="L182" i="56"/>
  <c r="K182" i="56"/>
  <c r="H182" i="56"/>
  <c r="C182" i="56"/>
  <c r="AF181" i="56"/>
  <c r="AE181" i="56"/>
  <c r="AC181" i="56"/>
  <c r="AB181" i="56"/>
  <c r="AA181" i="56"/>
  <c r="X181" i="56"/>
  <c r="R181" i="56"/>
  <c r="Q181" i="56"/>
  <c r="O181" i="56"/>
  <c r="N181" i="56"/>
  <c r="M181" i="56"/>
  <c r="K181" i="56"/>
  <c r="J181" i="56"/>
  <c r="F181" i="56"/>
  <c r="E181" i="56"/>
  <c r="D181" i="56"/>
  <c r="AG180" i="56"/>
  <c r="AB180" i="56"/>
  <c r="Z180" i="56"/>
  <c r="Y180" i="56"/>
  <c r="W180" i="56" s="1"/>
  <c r="V180" i="56"/>
  <c r="S180" i="56"/>
  <c r="N180" i="56"/>
  <c r="L180" i="56"/>
  <c r="K180" i="56"/>
  <c r="I180" i="56"/>
  <c r="H180" i="56"/>
  <c r="C180" i="56"/>
  <c r="AG177" i="56"/>
  <c r="AF177" i="56"/>
  <c r="AE177" i="56"/>
  <c r="AD177" i="56"/>
  <c r="AC177" i="56"/>
  <c r="AB177" i="56"/>
  <c r="AA177" i="56"/>
  <c r="Z177" i="56"/>
  <c r="Y177" i="56"/>
  <c r="X177" i="56"/>
  <c r="V177" i="56"/>
  <c r="T177" i="56"/>
  <c r="I177" i="56"/>
  <c r="W176" i="56"/>
  <c r="V176" i="56"/>
  <c r="U176" i="56" s="1"/>
  <c r="R176" i="56"/>
  <c r="Q176" i="56"/>
  <c r="O176" i="56"/>
  <c r="N176" i="56"/>
  <c r="M176" i="56"/>
  <c r="M171" i="56" s="1"/>
  <c r="M170" i="56" s="1"/>
  <c r="M26" i="56" s="1"/>
  <c r="J176" i="56"/>
  <c r="W175" i="56"/>
  <c r="V175" i="56"/>
  <c r="U175" i="56" s="1"/>
  <c r="R175" i="56"/>
  <c r="Q175" i="56"/>
  <c r="O175" i="56"/>
  <c r="N175" i="56"/>
  <c r="N171" i="56" s="1"/>
  <c r="N170" i="56" s="1"/>
  <c r="N26" i="56" s="1"/>
  <c r="J175" i="56"/>
  <c r="W174" i="56"/>
  <c r="U174" i="56" s="1"/>
  <c r="V174" i="56"/>
  <c r="R174" i="56"/>
  <c r="Q174" i="56"/>
  <c r="L174" i="56"/>
  <c r="L171" i="56" s="1"/>
  <c r="L170" i="56" s="1"/>
  <c r="J174" i="56"/>
  <c r="I174" i="56" s="1"/>
  <c r="AG173" i="56"/>
  <c r="AF173" i="56"/>
  <c r="AE173" i="56"/>
  <c r="AE171" i="56" s="1"/>
  <c r="AE170" i="56" s="1"/>
  <c r="AE26" i="56" s="1"/>
  <c r="AD173" i="56"/>
  <c r="AC173" i="56"/>
  <c r="AB173" i="56"/>
  <c r="AB171" i="56" s="1"/>
  <c r="AB170" i="56" s="1"/>
  <c r="AB26" i="56" s="1"/>
  <c r="AA173" i="56"/>
  <c r="AA171" i="56" s="1"/>
  <c r="AA170" i="56" s="1"/>
  <c r="AA26" i="56" s="1"/>
  <c r="Z173" i="56"/>
  <c r="Y173" i="56"/>
  <c r="X173" i="56"/>
  <c r="V173" i="56"/>
  <c r="T173" i="56"/>
  <c r="I173" i="56"/>
  <c r="W172" i="56"/>
  <c r="U172" i="56" s="1"/>
  <c r="AI172" i="56" s="1"/>
  <c r="I172" i="56"/>
  <c r="G172" i="56" s="1"/>
  <c r="AF171" i="56"/>
  <c r="AF170" i="56" s="1"/>
  <c r="AF26" i="56" s="1"/>
  <c r="X171" i="56"/>
  <c r="X170" i="56" s="1"/>
  <c r="X26" i="56" s="1"/>
  <c r="S171" i="56"/>
  <c r="S170" i="56" s="1"/>
  <c r="S26" i="56" s="1"/>
  <c r="R171" i="56"/>
  <c r="R170" i="56" s="1"/>
  <c r="O171" i="56"/>
  <c r="K171" i="56"/>
  <c r="K170" i="56" s="1"/>
  <c r="K26" i="56" s="1"/>
  <c r="H171" i="56"/>
  <c r="F171" i="56"/>
  <c r="F170" i="56" s="1"/>
  <c r="F26" i="56" s="1"/>
  <c r="E171" i="56"/>
  <c r="D171" i="56"/>
  <c r="D170" i="56" s="1"/>
  <c r="D26" i="56" s="1"/>
  <c r="C171" i="56"/>
  <c r="C170" i="56" s="1"/>
  <c r="O170" i="56"/>
  <c r="O26" i="56" s="1"/>
  <c r="H170" i="56"/>
  <c r="E170" i="56"/>
  <c r="W169" i="56"/>
  <c r="U169" i="56" s="1"/>
  <c r="I169" i="56"/>
  <c r="G169" i="56" s="1"/>
  <c r="G168" i="56" s="1"/>
  <c r="G167" i="56" s="1"/>
  <c r="AH168" i="56"/>
  <c r="AG168" i="56"/>
  <c r="AF168" i="56"/>
  <c r="AE168" i="56"/>
  <c r="AD168" i="56"/>
  <c r="AC168" i="56"/>
  <c r="AB168" i="56"/>
  <c r="AA168" i="56"/>
  <c r="Z168" i="56"/>
  <c r="Y168" i="56"/>
  <c r="X168" i="56"/>
  <c r="V168" i="56"/>
  <c r="T168" i="56"/>
  <c r="T167" i="56" s="1"/>
  <c r="S168" i="56"/>
  <c r="R168" i="56"/>
  <c r="R167" i="56" s="1"/>
  <c r="AF167" i="56" s="1"/>
  <c r="Q168" i="56"/>
  <c r="P168" i="56"/>
  <c r="P167" i="56" s="1"/>
  <c r="O168" i="56"/>
  <c r="O167" i="56" s="1"/>
  <c r="AC167" i="56" s="1"/>
  <c r="AC25" i="56" s="1"/>
  <c r="N168" i="56"/>
  <c r="N167" i="56" s="1"/>
  <c r="AB167" i="56" s="1"/>
  <c r="AB25" i="56" s="1"/>
  <c r="M168" i="56"/>
  <c r="L168" i="56"/>
  <c r="L167" i="56" s="1"/>
  <c r="K168" i="56"/>
  <c r="K167" i="56" s="1"/>
  <c r="J168" i="56"/>
  <c r="J167" i="56" s="1"/>
  <c r="X167" i="56" s="1"/>
  <c r="H168" i="56"/>
  <c r="H167" i="56" s="1"/>
  <c r="F168" i="56"/>
  <c r="F167" i="56" s="1"/>
  <c r="F25" i="56" s="1"/>
  <c r="E168" i="56"/>
  <c r="D168" i="56"/>
  <c r="D167" i="56" s="1"/>
  <c r="C168" i="56"/>
  <c r="C167" i="56" s="1"/>
  <c r="C25" i="56" s="1"/>
  <c r="S167" i="56"/>
  <c r="AG167" i="56" s="1"/>
  <c r="AG25" i="56" s="1"/>
  <c r="Q167" i="56"/>
  <c r="AE167" i="56" s="1"/>
  <c r="AE25" i="56" s="1"/>
  <c r="M167" i="56"/>
  <c r="AA167" i="56" s="1"/>
  <c r="AA25" i="56" s="1"/>
  <c r="E167" i="56"/>
  <c r="AG166" i="56"/>
  <c r="Z166" i="56"/>
  <c r="Z165" i="56" s="1"/>
  <c r="Z24" i="56" s="1"/>
  <c r="Y166" i="56"/>
  <c r="V166" i="56"/>
  <c r="V165" i="56" s="1"/>
  <c r="S166" i="56"/>
  <c r="L166" i="56"/>
  <c r="L165" i="56" s="1"/>
  <c r="L24" i="56" s="1"/>
  <c r="K166" i="56"/>
  <c r="H166" i="56"/>
  <c r="C166" i="56"/>
  <c r="AG165" i="56"/>
  <c r="AG24" i="56" s="1"/>
  <c r="AF165" i="56"/>
  <c r="AF24" i="56" s="1"/>
  <c r="AE165" i="56"/>
  <c r="AD165" i="56"/>
  <c r="AD24" i="56" s="1"/>
  <c r="AC165" i="56"/>
  <c r="AC24" i="56" s="1"/>
  <c r="AB165" i="56"/>
  <c r="AB24" i="56" s="1"/>
  <c r="AA165" i="56"/>
  <c r="X165" i="56"/>
  <c r="X24" i="56" s="1"/>
  <c r="R165" i="56"/>
  <c r="Q165" i="56"/>
  <c r="Q24" i="56" s="1"/>
  <c r="P165" i="56"/>
  <c r="O165" i="56"/>
  <c r="N165" i="56"/>
  <c r="M165" i="56"/>
  <c r="M24" i="56" s="1"/>
  <c r="K165" i="56"/>
  <c r="J165" i="56"/>
  <c r="F165" i="56"/>
  <c r="F24" i="56" s="1"/>
  <c r="E165" i="56"/>
  <c r="E24" i="56" s="1"/>
  <c r="D165" i="56"/>
  <c r="C165" i="56"/>
  <c r="AG164" i="56"/>
  <c r="AG158" i="56" s="1"/>
  <c r="AG157" i="56" s="1"/>
  <c r="AG23" i="56" s="1"/>
  <c r="S164" i="56"/>
  <c r="I164" i="56"/>
  <c r="G164" i="56" s="1"/>
  <c r="W163" i="56"/>
  <c r="U163" i="56" s="1"/>
  <c r="I163" i="56"/>
  <c r="G163" i="56" s="1"/>
  <c r="AI162" i="56"/>
  <c r="W162" i="56"/>
  <c r="U162" i="56" s="1"/>
  <c r="I162" i="56"/>
  <c r="G162" i="56" s="1"/>
  <c r="C162" i="56"/>
  <c r="W161" i="56"/>
  <c r="U161" i="56" s="1"/>
  <c r="I161" i="56"/>
  <c r="G161" i="56" s="1"/>
  <c r="AG160" i="56"/>
  <c r="W160" i="56"/>
  <c r="U160" i="56" s="1"/>
  <c r="S160" i="56"/>
  <c r="I160" i="56" s="1"/>
  <c r="G160" i="56" s="1"/>
  <c r="W159" i="56"/>
  <c r="U159" i="56" s="1"/>
  <c r="I159" i="56"/>
  <c r="G159" i="56" s="1"/>
  <c r="AH158" i="56"/>
  <c r="AH157" i="56" s="1"/>
  <c r="AF158" i="56"/>
  <c r="AF157" i="56" s="1"/>
  <c r="AF23" i="56" s="1"/>
  <c r="AE158" i="56"/>
  <c r="AE157" i="56" s="1"/>
  <c r="AE23" i="56" s="1"/>
  <c r="AD158" i="56"/>
  <c r="AD157" i="56" s="1"/>
  <c r="AD23" i="56" s="1"/>
  <c r="AC158" i="56"/>
  <c r="AB158" i="56"/>
  <c r="AB157" i="56" s="1"/>
  <c r="AB23" i="56" s="1"/>
  <c r="AA158" i="56"/>
  <c r="AA157" i="56" s="1"/>
  <c r="AA23" i="56" s="1"/>
  <c r="Z158" i="56"/>
  <c r="Z157" i="56" s="1"/>
  <c r="Z23" i="56" s="1"/>
  <c r="Y158" i="56"/>
  <c r="X158" i="56"/>
  <c r="X157" i="56" s="1"/>
  <c r="V158" i="56"/>
  <c r="V157" i="56" s="1"/>
  <c r="V23" i="56" s="1"/>
  <c r="T158" i="56"/>
  <c r="T157" i="56" s="1"/>
  <c r="R158" i="56"/>
  <c r="R157" i="56" s="1"/>
  <c r="R23" i="56" s="1"/>
  <c r="Q158" i="56"/>
  <c r="Q157" i="56" s="1"/>
  <c r="Q23" i="56" s="1"/>
  <c r="P158" i="56"/>
  <c r="P157" i="56" s="1"/>
  <c r="O158" i="56"/>
  <c r="N158" i="56"/>
  <c r="N157" i="56" s="1"/>
  <c r="N23" i="56" s="1"/>
  <c r="M158" i="56"/>
  <c r="M157" i="56" s="1"/>
  <c r="M23" i="56" s="1"/>
  <c r="L158" i="56"/>
  <c r="L157" i="56" s="1"/>
  <c r="L23" i="56" s="1"/>
  <c r="K158" i="56"/>
  <c r="K157" i="56" s="1"/>
  <c r="J158" i="56"/>
  <c r="J157" i="56" s="1"/>
  <c r="J23" i="56" s="1"/>
  <c r="H158" i="56"/>
  <c r="H157" i="56" s="1"/>
  <c r="H23" i="56" s="1"/>
  <c r="F158" i="56"/>
  <c r="E158" i="56"/>
  <c r="E157" i="56" s="1"/>
  <c r="E23" i="56" s="1"/>
  <c r="D158" i="56"/>
  <c r="D157" i="56" s="1"/>
  <c r="D23" i="56" s="1"/>
  <c r="C158" i="56"/>
  <c r="C157" i="56" s="1"/>
  <c r="C23" i="56" s="1"/>
  <c r="AC157" i="56"/>
  <c r="AC23" i="56" s="1"/>
  <c r="Y157" i="56"/>
  <c r="Y23" i="56" s="1"/>
  <c r="O157" i="56"/>
  <c r="F157" i="56"/>
  <c r="F23" i="56" s="1"/>
  <c r="AH156" i="56"/>
  <c r="W156" i="56"/>
  <c r="T156" i="56"/>
  <c r="I156" i="56"/>
  <c r="C156" i="56"/>
  <c r="AH155" i="56"/>
  <c r="W155" i="56"/>
  <c r="T155" i="56"/>
  <c r="I155" i="56"/>
  <c r="C155" i="56"/>
  <c r="AH154" i="56"/>
  <c r="W154" i="56"/>
  <c r="T154" i="56"/>
  <c r="I154" i="56"/>
  <c r="G154" i="56" s="1"/>
  <c r="C154" i="56"/>
  <c r="AG153" i="56"/>
  <c r="Y153" i="56"/>
  <c r="W153" i="56"/>
  <c r="V153" i="56"/>
  <c r="S153" i="56"/>
  <c r="K153" i="56"/>
  <c r="H153" i="56"/>
  <c r="T153" i="56" s="1"/>
  <c r="C153" i="56"/>
  <c r="AG152" i="56"/>
  <c r="Y152" i="56"/>
  <c r="V152" i="56"/>
  <c r="S152" i="56"/>
  <c r="K152" i="56"/>
  <c r="H152" i="56"/>
  <c r="C152" i="56"/>
  <c r="X151" i="56"/>
  <c r="X149" i="56" s="1"/>
  <c r="X148" i="56" s="1"/>
  <c r="J151" i="56"/>
  <c r="J149" i="56" s="1"/>
  <c r="J148" i="56" s="1"/>
  <c r="J22" i="56" s="1"/>
  <c r="F151" i="56"/>
  <c r="F149" i="56" s="1"/>
  <c r="F148" i="56" s="1"/>
  <c r="F22" i="56" s="1"/>
  <c r="E151" i="56"/>
  <c r="E149" i="56" s="1"/>
  <c r="E148" i="56" s="1"/>
  <c r="E22" i="56" s="1"/>
  <c r="D151" i="56"/>
  <c r="W150" i="56"/>
  <c r="I150" i="56"/>
  <c r="G150" i="56" s="1"/>
  <c r="AG149" i="56"/>
  <c r="AG148" i="56" s="1"/>
  <c r="AG22" i="56" s="1"/>
  <c r="AF149" i="56"/>
  <c r="AF148" i="56" s="1"/>
  <c r="AF22" i="56" s="1"/>
  <c r="AE149" i="56"/>
  <c r="AE148" i="56" s="1"/>
  <c r="AE22" i="56" s="1"/>
  <c r="AD149" i="56"/>
  <c r="AD148" i="56" s="1"/>
  <c r="AD22" i="56" s="1"/>
  <c r="AC149" i="56"/>
  <c r="AC148" i="56" s="1"/>
  <c r="AC22" i="56" s="1"/>
  <c r="AB149" i="56"/>
  <c r="AB148" i="56" s="1"/>
  <c r="AB22" i="56" s="1"/>
  <c r="AA149" i="56"/>
  <c r="AA148" i="56" s="1"/>
  <c r="AA22" i="56" s="1"/>
  <c r="Z149" i="56"/>
  <c r="Z148" i="56" s="1"/>
  <c r="Z22" i="56" s="1"/>
  <c r="Y149" i="56"/>
  <c r="Y148" i="56" s="1"/>
  <c r="Y22" i="56" s="1"/>
  <c r="V149" i="56"/>
  <c r="V148" i="56" s="1"/>
  <c r="S149" i="56"/>
  <c r="S148" i="56" s="1"/>
  <c r="S22" i="56" s="1"/>
  <c r="R149" i="56"/>
  <c r="R148" i="56" s="1"/>
  <c r="R22" i="56" s="1"/>
  <c r="Q149" i="56"/>
  <c r="Q148" i="56" s="1"/>
  <c r="Q22" i="56" s="1"/>
  <c r="P149" i="56"/>
  <c r="O149" i="56"/>
  <c r="O148" i="56" s="1"/>
  <c r="N149" i="56"/>
  <c r="N148" i="56" s="1"/>
  <c r="N22" i="56" s="1"/>
  <c r="M149" i="56"/>
  <c r="M148" i="56" s="1"/>
  <c r="M22" i="56" s="1"/>
  <c r="L149" i="56"/>
  <c r="K149" i="56"/>
  <c r="K148" i="56" s="1"/>
  <c r="K22" i="56" s="1"/>
  <c r="H149" i="56"/>
  <c r="H148" i="56" s="1"/>
  <c r="H22" i="56" s="1"/>
  <c r="D149" i="56"/>
  <c r="D148" i="56" s="1"/>
  <c r="D22" i="56" s="1"/>
  <c r="P148" i="56"/>
  <c r="L148" i="56"/>
  <c r="L22" i="56" s="1"/>
  <c r="R147" i="56"/>
  <c r="P147" i="56"/>
  <c r="P21" i="56" s="1"/>
  <c r="J147" i="56"/>
  <c r="F147" i="56"/>
  <c r="F21" i="56" s="1"/>
  <c r="E147" i="56"/>
  <c r="D147" i="56"/>
  <c r="D21" i="56" s="1"/>
  <c r="AH146" i="56"/>
  <c r="W146" i="56"/>
  <c r="T146" i="56"/>
  <c r="I146" i="56"/>
  <c r="G146" i="56" s="1"/>
  <c r="C146" i="56"/>
  <c r="AG145" i="56"/>
  <c r="AF145" i="56"/>
  <c r="AE145" i="56"/>
  <c r="AD145" i="56"/>
  <c r="AC145" i="56"/>
  <c r="AB145" i="56"/>
  <c r="AA145" i="56"/>
  <c r="Z145" i="56"/>
  <c r="Y145" i="56"/>
  <c r="X145" i="56"/>
  <c r="V145" i="56"/>
  <c r="AH145" i="56" s="1"/>
  <c r="T145" i="56"/>
  <c r="I145" i="56"/>
  <c r="C145" i="56"/>
  <c r="AG144" i="56"/>
  <c r="AF144" i="56"/>
  <c r="AD144" i="56"/>
  <c r="X144" i="56"/>
  <c r="S144" i="56"/>
  <c r="Q144" i="56"/>
  <c r="AE144" i="56" s="1"/>
  <c r="O144" i="56"/>
  <c r="AC144" i="56" s="1"/>
  <c r="N144" i="56"/>
  <c r="AB144" i="56" s="1"/>
  <c r="M144" i="56"/>
  <c r="AA144" i="56" s="1"/>
  <c r="L144" i="56"/>
  <c r="Z144" i="56" s="1"/>
  <c r="K144" i="56"/>
  <c r="Y144" i="56" s="1"/>
  <c r="H144" i="56"/>
  <c r="T144" i="56" s="1"/>
  <c r="C144" i="56"/>
  <c r="AF143" i="56"/>
  <c r="AD143" i="56"/>
  <c r="X143" i="56"/>
  <c r="S143" i="56"/>
  <c r="AG143" i="56" s="1"/>
  <c r="Q143" i="56"/>
  <c r="AE143" i="56" s="1"/>
  <c r="O143" i="56"/>
  <c r="AC143" i="56" s="1"/>
  <c r="N143" i="56"/>
  <c r="AB143" i="56" s="1"/>
  <c r="M143" i="56"/>
  <c r="AA143" i="56" s="1"/>
  <c r="L143" i="56"/>
  <c r="K143" i="56"/>
  <c r="Y143" i="56" s="1"/>
  <c r="H143" i="56"/>
  <c r="C143" i="56"/>
  <c r="AF142" i="56"/>
  <c r="AD142" i="56"/>
  <c r="X142" i="56"/>
  <c r="S142" i="56"/>
  <c r="AG142" i="56" s="1"/>
  <c r="Q142" i="56"/>
  <c r="AE142" i="56" s="1"/>
  <c r="O142" i="56"/>
  <c r="AC142" i="56" s="1"/>
  <c r="N142" i="56"/>
  <c r="AB142" i="56" s="1"/>
  <c r="M142" i="56"/>
  <c r="AA142" i="56" s="1"/>
  <c r="L142" i="56"/>
  <c r="Z142" i="56" s="1"/>
  <c r="K142" i="56"/>
  <c r="Y142" i="56" s="1"/>
  <c r="H142" i="56"/>
  <c r="C142" i="56"/>
  <c r="AF141" i="56"/>
  <c r="AD141" i="56"/>
  <c r="AB141" i="56"/>
  <c r="X141" i="56"/>
  <c r="S141" i="56"/>
  <c r="AG141" i="56" s="1"/>
  <c r="Q141" i="56"/>
  <c r="AE141" i="56" s="1"/>
  <c r="O141" i="56"/>
  <c r="AC141" i="56" s="1"/>
  <c r="N141" i="56"/>
  <c r="M141" i="56"/>
  <c r="AA141" i="56" s="1"/>
  <c r="L141" i="56"/>
  <c r="Z141" i="56" s="1"/>
  <c r="K141" i="56"/>
  <c r="H141" i="56"/>
  <c r="C141" i="56"/>
  <c r="AG140" i="56"/>
  <c r="AF140" i="56"/>
  <c r="AD140" i="56"/>
  <c r="X140" i="56"/>
  <c r="S140" i="56"/>
  <c r="Q140" i="56"/>
  <c r="AE140" i="56" s="1"/>
  <c r="O140" i="56"/>
  <c r="AC140" i="56" s="1"/>
  <c r="N140" i="56"/>
  <c r="AB140" i="56" s="1"/>
  <c r="M140" i="56"/>
  <c r="AA140" i="56" s="1"/>
  <c r="L140" i="56"/>
  <c r="Z140" i="56" s="1"/>
  <c r="K140" i="56"/>
  <c r="H140" i="56"/>
  <c r="V140" i="56" s="1"/>
  <c r="C140" i="56"/>
  <c r="AF139" i="56"/>
  <c r="AD139" i="56"/>
  <c r="X139" i="56"/>
  <c r="S139" i="56"/>
  <c r="AG139" i="56" s="1"/>
  <c r="Q139" i="56"/>
  <c r="AE139" i="56" s="1"/>
  <c r="O139" i="56"/>
  <c r="AC139" i="56" s="1"/>
  <c r="N139" i="56"/>
  <c r="AB139" i="56" s="1"/>
  <c r="M139" i="56"/>
  <c r="AA139" i="56" s="1"/>
  <c r="L139" i="56"/>
  <c r="Z139" i="56" s="1"/>
  <c r="K139" i="56"/>
  <c r="Y139" i="56" s="1"/>
  <c r="H139" i="56"/>
  <c r="C139" i="56"/>
  <c r="AF138" i="56"/>
  <c r="AD138" i="56"/>
  <c r="X138" i="56"/>
  <c r="S138" i="56"/>
  <c r="AG138" i="56" s="1"/>
  <c r="Q138" i="56"/>
  <c r="AE138" i="56" s="1"/>
  <c r="O138" i="56"/>
  <c r="AC138" i="56" s="1"/>
  <c r="N138" i="56"/>
  <c r="AB138" i="56" s="1"/>
  <c r="M138" i="56"/>
  <c r="AA138" i="56" s="1"/>
  <c r="L138" i="56"/>
  <c r="Z138" i="56" s="1"/>
  <c r="K138" i="56"/>
  <c r="Y138" i="56" s="1"/>
  <c r="H138" i="56"/>
  <c r="C138" i="56"/>
  <c r="AF137" i="56"/>
  <c r="AD137" i="56"/>
  <c r="X137" i="56"/>
  <c r="S137" i="56"/>
  <c r="AG137" i="56" s="1"/>
  <c r="Q137" i="56"/>
  <c r="AE137" i="56" s="1"/>
  <c r="O137" i="56"/>
  <c r="AC137" i="56" s="1"/>
  <c r="N137" i="56"/>
  <c r="M137" i="56"/>
  <c r="AA137" i="56" s="1"/>
  <c r="L137" i="56"/>
  <c r="Z137" i="56" s="1"/>
  <c r="K137" i="56"/>
  <c r="Y137" i="56" s="1"/>
  <c r="H137" i="56"/>
  <c r="V137" i="56" s="1"/>
  <c r="C137" i="56"/>
  <c r="AG136" i="56"/>
  <c r="AF136" i="56"/>
  <c r="AD136" i="56"/>
  <c r="X136" i="56"/>
  <c r="S136" i="56"/>
  <c r="Q136" i="56"/>
  <c r="AE136" i="56" s="1"/>
  <c r="O136" i="56"/>
  <c r="N136" i="56"/>
  <c r="AB136" i="56" s="1"/>
  <c r="M136" i="56"/>
  <c r="AA136" i="56" s="1"/>
  <c r="L136" i="56"/>
  <c r="Z136" i="56" s="1"/>
  <c r="K136" i="56"/>
  <c r="H136" i="56"/>
  <c r="V136" i="56" s="1"/>
  <c r="C136" i="56"/>
  <c r="AF135" i="56"/>
  <c r="AD135" i="56"/>
  <c r="X135" i="56"/>
  <c r="S135" i="56"/>
  <c r="Q135" i="56"/>
  <c r="O135" i="56"/>
  <c r="AC135" i="56" s="1"/>
  <c r="N135" i="56"/>
  <c r="AB135" i="56" s="1"/>
  <c r="M135" i="56"/>
  <c r="AA135" i="56" s="1"/>
  <c r="L135" i="56"/>
  <c r="K135" i="56"/>
  <c r="Y135" i="56" s="1"/>
  <c r="H135" i="56"/>
  <c r="C135" i="56"/>
  <c r="R134" i="56"/>
  <c r="P134" i="56"/>
  <c r="M134" i="56"/>
  <c r="J134" i="56"/>
  <c r="H134" i="56"/>
  <c r="F134" i="56"/>
  <c r="E134" i="56"/>
  <c r="D134" i="56"/>
  <c r="AF133" i="56"/>
  <c r="AD133" i="56"/>
  <c r="AC133" i="56"/>
  <c r="AB133" i="56"/>
  <c r="Y133" i="56"/>
  <c r="X133" i="56"/>
  <c r="S133" i="56"/>
  <c r="AG133" i="56" s="1"/>
  <c r="Q133" i="56"/>
  <c r="AE133" i="56" s="1"/>
  <c r="M133" i="56"/>
  <c r="AA133" i="56" s="1"/>
  <c r="L133" i="56"/>
  <c r="Z133" i="56" s="1"/>
  <c r="K133" i="56"/>
  <c r="H133" i="56"/>
  <c r="V133" i="56" s="1"/>
  <c r="C133" i="56"/>
  <c r="AF132" i="56"/>
  <c r="AD132" i="56"/>
  <c r="AC132" i="56"/>
  <c r="X132" i="56"/>
  <c r="S132" i="56"/>
  <c r="AG132" i="56" s="1"/>
  <c r="Q132" i="56"/>
  <c r="AE132" i="56" s="1"/>
  <c r="N132" i="56"/>
  <c r="M132" i="56"/>
  <c r="L132" i="56"/>
  <c r="Z132" i="56" s="1"/>
  <c r="K132" i="56"/>
  <c r="T132" i="56" s="1"/>
  <c r="H132" i="56"/>
  <c r="C132" i="56"/>
  <c r="AF131" i="56"/>
  <c r="AE131" i="56"/>
  <c r="AD131" i="56"/>
  <c r="AC131" i="56"/>
  <c r="Z131" i="56"/>
  <c r="Y131" i="56"/>
  <c r="X131" i="56"/>
  <c r="S131" i="56"/>
  <c r="AG131" i="56" s="1"/>
  <c r="N131" i="56"/>
  <c r="AB131" i="56" s="1"/>
  <c r="M131" i="56"/>
  <c r="AA131" i="56" s="1"/>
  <c r="L131" i="56"/>
  <c r="K131" i="56"/>
  <c r="H131" i="56"/>
  <c r="C131" i="56"/>
  <c r="W130" i="56"/>
  <c r="U130" i="56" s="1"/>
  <c r="I130" i="56"/>
  <c r="G130" i="56" s="1"/>
  <c r="C130" i="56"/>
  <c r="W129" i="56"/>
  <c r="I129" i="56"/>
  <c r="G129" i="56" s="1"/>
  <c r="C129" i="56"/>
  <c r="W128" i="56"/>
  <c r="U128" i="56" s="1"/>
  <c r="I128" i="56"/>
  <c r="G128" i="56" s="1"/>
  <c r="C128" i="56"/>
  <c r="W127" i="56"/>
  <c r="U127" i="56" s="1"/>
  <c r="I127" i="56"/>
  <c r="C127" i="56"/>
  <c r="W126" i="56"/>
  <c r="U126" i="56" s="1"/>
  <c r="I126" i="56"/>
  <c r="G126" i="56" s="1"/>
  <c r="C126" i="56"/>
  <c r="AH125" i="56"/>
  <c r="AG125" i="56"/>
  <c r="AF125" i="56"/>
  <c r="AE125" i="56"/>
  <c r="AD125" i="56"/>
  <c r="AC125" i="56"/>
  <c r="AB125" i="56"/>
  <c r="AA125" i="56"/>
  <c r="Z125" i="56"/>
  <c r="Y125" i="56"/>
  <c r="X125" i="56"/>
  <c r="V125" i="56"/>
  <c r="T125" i="56"/>
  <c r="S125" i="56"/>
  <c r="R125" i="56"/>
  <c r="Q125" i="56"/>
  <c r="P125" i="56"/>
  <c r="O125" i="56"/>
  <c r="N125" i="56"/>
  <c r="M125" i="56"/>
  <c r="L125" i="56"/>
  <c r="K125" i="56"/>
  <c r="J125" i="56"/>
  <c r="H125" i="56"/>
  <c r="F125" i="56"/>
  <c r="C125" i="56"/>
  <c r="AF124" i="56"/>
  <c r="AD124" i="56"/>
  <c r="AC124" i="56"/>
  <c r="AB124" i="56"/>
  <c r="X124" i="56"/>
  <c r="S124" i="56"/>
  <c r="AG124" i="56" s="1"/>
  <c r="Q124" i="56"/>
  <c r="AE124" i="56" s="1"/>
  <c r="M124" i="56"/>
  <c r="L124" i="56"/>
  <c r="K124" i="56"/>
  <c r="Y124" i="56" s="1"/>
  <c r="H124" i="56"/>
  <c r="C124" i="56"/>
  <c r="AG123" i="56"/>
  <c r="AF123" i="56"/>
  <c r="AE123" i="56"/>
  <c r="AD123" i="56"/>
  <c r="AC123" i="56"/>
  <c r="AB123" i="56"/>
  <c r="AB122" i="56" s="1"/>
  <c r="X123" i="56"/>
  <c r="S123" i="56"/>
  <c r="M123" i="56"/>
  <c r="AA123" i="56" s="1"/>
  <c r="L123" i="56"/>
  <c r="Z123" i="56" s="1"/>
  <c r="K123" i="56"/>
  <c r="H123" i="56"/>
  <c r="V123" i="56" s="1"/>
  <c r="C123" i="56"/>
  <c r="C122" i="56" s="1"/>
  <c r="R122" i="56"/>
  <c r="Q122" i="56"/>
  <c r="P122" i="56"/>
  <c r="O122" i="56"/>
  <c r="N122" i="56"/>
  <c r="J122" i="56"/>
  <c r="F122" i="56"/>
  <c r="E122" i="56"/>
  <c r="D122" i="56"/>
  <c r="AF121" i="56"/>
  <c r="AD121" i="56"/>
  <c r="AD147" i="56" s="1"/>
  <c r="AD21" i="56" s="1"/>
  <c r="S121" i="56"/>
  <c r="Q121" i="56"/>
  <c r="Q147" i="56" s="1"/>
  <c r="Q21" i="56" s="1"/>
  <c r="O121" i="56"/>
  <c r="O147" i="56" s="1"/>
  <c r="N121" i="56"/>
  <c r="AB121" i="56" s="1"/>
  <c r="M121" i="56"/>
  <c r="AA121" i="56" s="1"/>
  <c r="L121" i="56"/>
  <c r="K121" i="56"/>
  <c r="H121" i="56"/>
  <c r="C121" i="56"/>
  <c r="W120" i="56"/>
  <c r="U120" i="56" s="1"/>
  <c r="I120" i="56"/>
  <c r="G120" i="56" s="1"/>
  <c r="C120" i="56"/>
  <c r="AG119" i="56"/>
  <c r="AF119" i="56"/>
  <c r="AD119" i="56"/>
  <c r="X119" i="56"/>
  <c r="T119" i="56"/>
  <c r="S119" i="56"/>
  <c r="Q119" i="56"/>
  <c r="AE119" i="56" s="1"/>
  <c r="O119" i="56"/>
  <c r="AC119" i="56" s="1"/>
  <c r="N119" i="56"/>
  <c r="AB119" i="56" s="1"/>
  <c r="M119" i="56"/>
  <c r="AA119" i="56" s="1"/>
  <c r="L119" i="56"/>
  <c r="Z119" i="56" s="1"/>
  <c r="K119" i="56"/>
  <c r="Y119" i="56" s="1"/>
  <c r="I119" i="56"/>
  <c r="G119" i="56" s="1"/>
  <c r="H119" i="56"/>
  <c r="V119" i="56" s="1"/>
  <c r="AF118" i="56"/>
  <c r="AD118" i="56"/>
  <c r="AB118" i="56"/>
  <c r="X118" i="56"/>
  <c r="S118" i="56"/>
  <c r="AG118" i="56" s="1"/>
  <c r="Q118" i="56"/>
  <c r="AE118" i="56" s="1"/>
  <c r="O118" i="56"/>
  <c r="AC118" i="56" s="1"/>
  <c r="N118" i="56"/>
  <c r="M118" i="56"/>
  <c r="AA118" i="56" s="1"/>
  <c r="L118" i="56"/>
  <c r="Z118" i="56" s="1"/>
  <c r="K118" i="56"/>
  <c r="Y118" i="56" s="1"/>
  <c r="H118" i="56"/>
  <c r="V118" i="56" s="1"/>
  <c r="AG117" i="56"/>
  <c r="AF117" i="56"/>
  <c r="AD117" i="56"/>
  <c r="AB117" i="56"/>
  <c r="X117" i="56"/>
  <c r="S117" i="56"/>
  <c r="Q117" i="56"/>
  <c r="AE117" i="56" s="1"/>
  <c r="O117" i="56"/>
  <c r="AC117" i="56" s="1"/>
  <c r="N117" i="56"/>
  <c r="M117" i="56"/>
  <c r="AA117" i="56" s="1"/>
  <c r="L117" i="56"/>
  <c r="Z117" i="56" s="1"/>
  <c r="K117" i="56"/>
  <c r="H117" i="56"/>
  <c r="AG116" i="56"/>
  <c r="AF116" i="56"/>
  <c r="AD116" i="56"/>
  <c r="AB116" i="56"/>
  <c r="X116" i="56"/>
  <c r="S116" i="56"/>
  <c r="Q116" i="56"/>
  <c r="AE116" i="56" s="1"/>
  <c r="O116" i="56"/>
  <c r="AC116" i="56" s="1"/>
  <c r="N116" i="56"/>
  <c r="M116" i="56"/>
  <c r="AA116" i="56" s="1"/>
  <c r="L116" i="56"/>
  <c r="Z116" i="56" s="1"/>
  <c r="K116" i="56"/>
  <c r="Y116" i="56" s="1"/>
  <c r="H116" i="56"/>
  <c r="V116" i="56" s="1"/>
  <c r="AG115" i="56"/>
  <c r="AF115" i="56"/>
  <c r="AD115" i="56"/>
  <c r="X115" i="56"/>
  <c r="T115" i="56"/>
  <c r="S115" i="56"/>
  <c r="Q115" i="56"/>
  <c r="AE115" i="56" s="1"/>
  <c r="O115" i="56"/>
  <c r="AC115" i="56" s="1"/>
  <c r="N115" i="56"/>
  <c r="AB115" i="56" s="1"/>
  <c r="M115" i="56"/>
  <c r="AA115" i="56" s="1"/>
  <c r="L115" i="56"/>
  <c r="Z115" i="56" s="1"/>
  <c r="K115" i="56"/>
  <c r="Y115" i="56" s="1"/>
  <c r="I115" i="56"/>
  <c r="H115" i="56"/>
  <c r="V115" i="56" s="1"/>
  <c r="AF114" i="56"/>
  <c r="AD114" i="56"/>
  <c r="AB114" i="56"/>
  <c r="X114" i="56"/>
  <c r="S114" i="56"/>
  <c r="AG114" i="56" s="1"/>
  <c r="Q114" i="56"/>
  <c r="AE114" i="56" s="1"/>
  <c r="O114" i="56"/>
  <c r="AC114" i="56" s="1"/>
  <c r="N114" i="56"/>
  <c r="M114" i="56"/>
  <c r="AA114" i="56" s="1"/>
  <c r="L114" i="56"/>
  <c r="Z114" i="56" s="1"/>
  <c r="K114" i="56"/>
  <c r="Y114" i="56" s="1"/>
  <c r="H114" i="56"/>
  <c r="V114" i="56" s="1"/>
  <c r="AG113" i="56"/>
  <c r="AF113" i="56"/>
  <c r="AD113" i="56"/>
  <c r="AC113" i="56"/>
  <c r="AB113" i="56"/>
  <c r="X113" i="56"/>
  <c r="S113" i="56"/>
  <c r="Q113" i="56"/>
  <c r="AE113" i="56" s="1"/>
  <c r="M113" i="56"/>
  <c r="L113" i="56"/>
  <c r="Z113" i="56" s="1"/>
  <c r="K113" i="56"/>
  <c r="Y113" i="56" s="1"/>
  <c r="H113" i="56"/>
  <c r="F113" i="56"/>
  <c r="AF112" i="56"/>
  <c r="AD112" i="56"/>
  <c r="AC112" i="56"/>
  <c r="AB112" i="56"/>
  <c r="X112" i="56"/>
  <c r="S112" i="56"/>
  <c r="AG112" i="56" s="1"/>
  <c r="Q112" i="56"/>
  <c r="AE112" i="56" s="1"/>
  <c r="M112" i="56"/>
  <c r="AA112" i="56" s="1"/>
  <c r="L112" i="56"/>
  <c r="K112" i="56"/>
  <c r="H112" i="56"/>
  <c r="V112" i="56" s="1"/>
  <c r="F112" i="56"/>
  <c r="AF111" i="56"/>
  <c r="AD111" i="56"/>
  <c r="AC111" i="56"/>
  <c r="AB111" i="56"/>
  <c r="X111" i="56"/>
  <c r="S111" i="56"/>
  <c r="Q111" i="56"/>
  <c r="M111" i="56"/>
  <c r="AA111" i="56" s="1"/>
  <c r="L111" i="56"/>
  <c r="Z111" i="56" s="1"/>
  <c r="K111" i="56"/>
  <c r="H111" i="56"/>
  <c r="V111" i="56" s="1"/>
  <c r="F111" i="56"/>
  <c r="F110" i="56" s="1"/>
  <c r="R110" i="56"/>
  <c r="P110" i="56"/>
  <c r="O110" i="56"/>
  <c r="J110" i="56"/>
  <c r="E110" i="56"/>
  <c r="D110" i="56"/>
  <c r="C110" i="56"/>
  <c r="AF109" i="56"/>
  <c r="AE109" i="56"/>
  <c r="AC109" i="56"/>
  <c r="AB109" i="56"/>
  <c r="Z109" i="56"/>
  <c r="Y109" i="56"/>
  <c r="X109" i="56"/>
  <c r="S109" i="56"/>
  <c r="AG109" i="56" s="1"/>
  <c r="M109" i="56"/>
  <c r="AA109" i="56" s="1"/>
  <c r="L109" i="56"/>
  <c r="K109" i="56"/>
  <c r="H109" i="56"/>
  <c r="V109" i="56" s="1"/>
  <c r="W108" i="56"/>
  <c r="U108" i="56" s="1"/>
  <c r="I108" i="56"/>
  <c r="G108" i="56" s="1"/>
  <c r="C108" i="56"/>
  <c r="W107" i="56"/>
  <c r="U107" i="56"/>
  <c r="I107" i="56"/>
  <c r="G107" i="56" s="1"/>
  <c r="C107" i="56"/>
  <c r="AG106" i="56"/>
  <c r="AF106" i="56"/>
  <c r="AE106" i="56"/>
  <c r="AD106" i="56"/>
  <c r="AC106" i="56"/>
  <c r="AB106" i="56"/>
  <c r="AA106" i="56"/>
  <c r="Z106" i="56"/>
  <c r="Y106" i="56"/>
  <c r="X106" i="56"/>
  <c r="V106" i="56"/>
  <c r="T106" i="56"/>
  <c r="G106" i="56" s="1"/>
  <c r="I106" i="56"/>
  <c r="C106" i="56"/>
  <c r="W105" i="56"/>
  <c r="U105" i="56" s="1"/>
  <c r="I105" i="56"/>
  <c r="G105" i="56" s="1"/>
  <c r="C105" i="56"/>
  <c r="AF104" i="56"/>
  <c r="AE104" i="56"/>
  <c r="AD104" i="56"/>
  <c r="AC104" i="56"/>
  <c r="AB104" i="56"/>
  <c r="X104" i="56"/>
  <c r="S104" i="56"/>
  <c r="AG104" i="56" s="1"/>
  <c r="M104" i="56"/>
  <c r="AA104" i="56" s="1"/>
  <c r="L104" i="56"/>
  <c r="K104" i="56"/>
  <c r="H104" i="56"/>
  <c r="V104" i="56" s="1"/>
  <c r="AF103" i="56"/>
  <c r="AE103" i="56"/>
  <c r="AC103" i="56"/>
  <c r="AB103" i="56"/>
  <c r="AA103" i="56"/>
  <c r="X103" i="56"/>
  <c r="S103" i="56"/>
  <c r="AG103" i="56" s="1"/>
  <c r="L103" i="56"/>
  <c r="Z103" i="56" s="1"/>
  <c r="K103" i="56"/>
  <c r="Y103" i="56" s="1"/>
  <c r="H103" i="56"/>
  <c r="V103" i="56" s="1"/>
  <c r="AF102" i="56"/>
  <c r="AE102" i="56"/>
  <c r="AC102" i="56"/>
  <c r="AA102" i="56"/>
  <c r="X102" i="56"/>
  <c r="S102" i="56"/>
  <c r="AG102" i="56" s="1"/>
  <c r="L102" i="56"/>
  <c r="Z102" i="56" s="1"/>
  <c r="K102" i="56"/>
  <c r="H102" i="56"/>
  <c r="V102" i="56" s="1"/>
  <c r="AG99" i="56"/>
  <c r="AF99" i="56"/>
  <c r="AF19" i="56" s="1"/>
  <c r="AE99" i="56"/>
  <c r="AE19" i="56" s="1"/>
  <c r="AD99" i="56"/>
  <c r="AD19" i="56" s="1"/>
  <c r="AC99" i="56"/>
  <c r="AB99" i="56"/>
  <c r="AB19" i="56" s="1"/>
  <c r="AA99" i="56"/>
  <c r="AA19" i="56" s="1"/>
  <c r="Z99" i="56"/>
  <c r="Z19" i="56" s="1"/>
  <c r="Y99" i="56"/>
  <c r="X99" i="56"/>
  <c r="X19" i="56" s="1"/>
  <c r="V99" i="56"/>
  <c r="S99" i="56"/>
  <c r="S19" i="56" s="1"/>
  <c r="R99" i="56"/>
  <c r="Q99" i="56"/>
  <c r="Q19" i="56" s="1"/>
  <c r="P99" i="56"/>
  <c r="P19" i="56" s="1"/>
  <c r="O99" i="56"/>
  <c r="O19" i="56" s="1"/>
  <c r="N99" i="56"/>
  <c r="M99" i="56"/>
  <c r="M19" i="56" s="1"/>
  <c r="L99" i="56"/>
  <c r="L19" i="56" s="1"/>
  <c r="K99" i="56"/>
  <c r="K19" i="56" s="1"/>
  <c r="J99" i="56"/>
  <c r="J19" i="56" s="1"/>
  <c r="H99" i="56"/>
  <c r="F99" i="56"/>
  <c r="F19" i="56" s="1"/>
  <c r="E99" i="56"/>
  <c r="E19" i="56" s="1"/>
  <c r="D99" i="56"/>
  <c r="D19" i="56" s="1"/>
  <c r="C99" i="56"/>
  <c r="AH98" i="56"/>
  <c r="W98" i="56"/>
  <c r="T98" i="56"/>
  <c r="I98" i="56"/>
  <c r="G98" i="56"/>
  <c r="AG97" i="56"/>
  <c r="W97" i="56"/>
  <c r="V97" i="56"/>
  <c r="S97" i="56"/>
  <c r="I97" i="56" s="1"/>
  <c r="G97" i="56" s="1"/>
  <c r="H97" i="56"/>
  <c r="T97" i="56" s="1"/>
  <c r="C97" i="56"/>
  <c r="AH96" i="56"/>
  <c r="X96" i="56"/>
  <c r="W96" i="56" s="1"/>
  <c r="T96" i="56"/>
  <c r="I96" i="56"/>
  <c r="AH95" i="56"/>
  <c r="W95" i="56"/>
  <c r="T95" i="56"/>
  <c r="I95" i="56"/>
  <c r="AH94" i="56"/>
  <c r="AH99" i="56" s="1"/>
  <c r="W94" i="56"/>
  <c r="T94" i="56"/>
  <c r="I94" i="56"/>
  <c r="I99" i="56" s="1"/>
  <c r="I19" i="56" s="1"/>
  <c r="AH93" i="56"/>
  <c r="X93" i="56"/>
  <c r="T93" i="56"/>
  <c r="I93" i="56"/>
  <c r="AH92" i="56"/>
  <c r="W92" i="56"/>
  <c r="T92" i="56"/>
  <c r="I92" i="56"/>
  <c r="AL91" i="56"/>
  <c r="AI91" i="56"/>
  <c r="AG90" i="56"/>
  <c r="AF90" i="56"/>
  <c r="AE90" i="56"/>
  <c r="AD90" i="56"/>
  <c r="AD18" i="56" s="1"/>
  <c r="AC90" i="56"/>
  <c r="AB90" i="56"/>
  <c r="AA90" i="56"/>
  <c r="AA18" i="56" s="1"/>
  <c r="Z90" i="56"/>
  <c r="Z18" i="56" s="1"/>
  <c r="Y90" i="56"/>
  <c r="V90" i="56"/>
  <c r="R90" i="56"/>
  <c r="R18" i="56" s="1"/>
  <c r="Q90" i="56"/>
  <c r="Q18" i="56" s="1"/>
  <c r="P90" i="56"/>
  <c r="O90" i="56"/>
  <c r="O18" i="56" s="1"/>
  <c r="N90" i="56"/>
  <c r="N18" i="56" s="1"/>
  <c r="M90" i="56"/>
  <c r="M18" i="56" s="1"/>
  <c r="L90" i="56"/>
  <c r="K90" i="56"/>
  <c r="K18" i="56" s="1"/>
  <c r="J90" i="56"/>
  <c r="J18" i="56" s="1"/>
  <c r="H90" i="56"/>
  <c r="H18" i="56" s="1"/>
  <c r="F90" i="56"/>
  <c r="E90" i="56"/>
  <c r="E18" i="56" s="1"/>
  <c r="D90" i="56"/>
  <c r="D18" i="56" s="1"/>
  <c r="C90" i="56"/>
  <c r="C18" i="56" s="1"/>
  <c r="AF89" i="56"/>
  <c r="AE89" i="56"/>
  <c r="AE17" i="56" s="1"/>
  <c r="AD89" i="56"/>
  <c r="AD17" i="56" s="1"/>
  <c r="AC89" i="56"/>
  <c r="AC17" i="56" s="1"/>
  <c r="AB89" i="56"/>
  <c r="AA89" i="56"/>
  <c r="AA17" i="56" s="1"/>
  <c r="X89" i="56"/>
  <c r="R89" i="56"/>
  <c r="R17" i="56" s="1"/>
  <c r="Q89" i="56"/>
  <c r="P89" i="56"/>
  <c r="O89" i="56"/>
  <c r="O17" i="56" s="1"/>
  <c r="N89" i="56"/>
  <c r="N17" i="56" s="1"/>
  <c r="M89" i="56"/>
  <c r="K89" i="56"/>
  <c r="K17" i="56" s="1"/>
  <c r="J89" i="56"/>
  <c r="J17" i="56" s="1"/>
  <c r="F89" i="56"/>
  <c r="F17" i="56" s="1"/>
  <c r="E89" i="56"/>
  <c r="D89" i="56"/>
  <c r="AG88" i="56"/>
  <c r="AF88" i="56"/>
  <c r="AA88" i="56"/>
  <c r="Z88" i="56"/>
  <c r="Y88" i="56"/>
  <c r="W88" i="56" s="1"/>
  <c r="V88" i="56"/>
  <c r="S88" i="56"/>
  <c r="R88" i="56"/>
  <c r="M88" i="56"/>
  <c r="L88" i="56"/>
  <c r="K88" i="56"/>
  <c r="I88" i="56" s="1"/>
  <c r="H88" i="56"/>
  <c r="AG87" i="56"/>
  <c r="Z87" i="56"/>
  <c r="Z89" i="56" s="1"/>
  <c r="Y87" i="56"/>
  <c r="V87" i="56"/>
  <c r="V49" i="56" s="1"/>
  <c r="V48" i="56" s="1"/>
  <c r="S87" i="56"/>
  <c r="S89" i="56" s="1"/>
  <c r="S17" i="56" s="1"/>
  <c r="L87" i="56"/>
  <c r="L89" i="56" s="1"/>
  <c r="L17" i="56" s="1"/>
  <c r="K87" i="56"/>
  <c r="H87" i="56"/>
  <c r="C87" i="56"/>
  <c r="C89" i="56" s="1"/>
  <c r="C17" i="56" s="1"/>
  <c r="AH86" i="56"/>
  <c r="W86" i="56"/>
  <c r="U86" i="56" s="1"/>
  <c r="S86" i="56"/>
  <c r="R86" i="56"/>
  <c r="M86" i="56"/>
  <c r="L86" i="56"/>
  <c r="K86" i="56"/>
  <c r="H86" i="56"/>
  <c r="AH85" i="56"/>
  <c r="W85" i="56"/>
  <c r="S85" i="56"/>
  <c r="R85" i="56"/>
  <c r="M85" i="56"/>
  <c r="L85" i="56"/>
  <c r="K85" i="56"/>
  <c r="H85" i="56"/>
  <c r="AH84" i="56"/>
  <c r="W84" i="56"/>
  <c r="S84" i="56"/>
  <c r="R84" i="56"/>
  <c r="M84" i="56"/>
  <c r="L84" i="56"/>
  <c r="K84" i="56"/>
  <c r="H84" i="56"/>
  <c r="T84" i="56" s="1"/>
  <c r="AH83" i="56"/>
  <c r="W83" i="56"/>
  <c r="R83" i="56"/>
  <c r="M83" i="56"/>
  <c r="L83" i="56"/>
  <c r="K83" i="56"/>
  <c r="H83" i="56"/>
  <c r="AH82" i="56"/>
  <c r="W82" i="56"/>
  <c r="S82" i="56"/>
  <c r="R82" i="56"/>
  <c r="M82" i="56"/>
  <c r="L82" i="56"/>
  <c r="K82" i="56"/>
  <c r="H82" i="56"/>
  <c r="AH81" i="56"/>
  <c r="W81" i="56"/>
  <c r="S81" i="56"/>
  <c r="R81" i="56"/>
  <c r="M81" i="56"/>
  <c r="I81" i="56" s="1"/>
  <c r="L81" i="56"/>
  <c r="K81" i="56"/>
  <c r="H81" i="56"/>
  <c r="AH80" i="56"/>
  <c r="W80" i="56"/>
  <c r="S80" i="56"/>
  <c r="R80" i="56"/>
  <c r="M80" i="56"/>
  <c r="L80" i="56"/>
  <c r="K80" i="56"/>
  <c r="I80" i="56"/>
  <c r="H80" i="56"/>
  <c r="AH79" i="56"/>
  <c r="W79" i="56"/>
  <c r="S79" i="56"/>
  <c r="R79" i="56"/>
  <c r="M79" i="56"/>
  <c r="L79" i="56"/>
  <c r="K79" i="56"/>
  <c r="H79" i="56"/>
  <c r="AH78" i="56"/>
  <c r="W78" i="56"/>
  <c r="S78" i="56"/>
  <c r="R78" i="56"/>
  <c r="M78" i="56"/>
  <c r="L78" i="56"/>
  <c r="K78" i="56"/>
  <c r="H78" i="56"/>
  <c r="AH77" i="56"/>
  <c r="W77" i="56"/>
  <c r="S77" i="56"/>
  <c r="R77" i="56"/>
  <c r="M77" i="56"/>
  <c r="L77" i="56"/>
  <c r="K77" i="56"/>
  <c r="H77" i="56"/>
  <c r="AH76" i="56"/>
  <c r="W76" i="56"/>
  <c r="R76" i="56"/>
  <c r="M76" i="56"/>
  <c r="L76" i="56"/>
  <c r="K76" i="56"/>
  <c r="H76" i="56"/>
  <c r="AH75" i="56"/>
  <c r="W75" i="56"/>
  <c r="U75" i="56" s="1"/>
  <c r="S75" i="56"/>
  <c r="R75" i="56"/>
  <c r="M75" i="56"/>
  <c r="L75" i="56"/>
  <c r="K75" i="56"/>
  <c r="H75" i="56"/>
  <c r="AH74" i="56"/>
  <c r="W74" i="56"/>
  <c r="S74" i="56"/>
  <c r="R74" i="56"/>
  <c r="M74" i="56"/>
  <c r="L74" i="56"/>
  <c r="K74" i="56"/>
  <c r="H74" i="56"/>
  <c r="AH73" i="56"/>
  <c r="W73" i="56"/>
  <c r="S73" i="56"/>
  <c r="R73" i="56"/>
  <c r="M73" i="56"/>
  <c r="L73" i="56"/>
  <c r="K73" i="56"/>
  <c r="H73" i="56"/>
  <c r="AH72" i="56"/>
  <c r="W72" i="56"/>
  <c r="R72" i="56"/>
  <c r="M72" i="56"/>
  <c r="L72" i="56"/>
  <c r="K72" i="56"/>
  <c r="H72" i="56"/>
  <c r="AH71" i="56"/>
  <c r="W71" i="56"/>
  <c r="U71" i="56" s="1"/>
  <c r="S71" i="56"/>
  <c r="R71" i="56"/>
  <c r="M71" i="56"/>
  <c r="L71" i="56"/>
  <c r="K71" i="56"/>
  <c r="I71" i="56" s="1"/>
  <c r="H71" i="56"/>
  <c r="AH70" i="56"/>
  <c r="W70" i="56"/>
  <c r="U70" i="56" s="1"/>
  <c r="S70" i="56"/>
  <c r="R70" i="56"/>
  <c r="M70" i="56"/>
  <c r="L70" i="56"/>
  <c r="T70" i="56" s="1"/>
  <c r="K70" i="56"/>
  <c r="H70" i="56"/>
  <c r="AH69" i="56"/>
  <c r="W69" i="56"/>
  <c r="U69" i="56" s="1"/>
  <c r="S69" i="56"/>
  <c r="R69" i="56"/>
  <c r="M69" i="56"/>
  <c r="K69" i="56"/>
  <c r="I69" i="56" s="1"/>
  <c r="H69" i="56"/>
  <c r="AH68" i="56"/>
  <c r="W68" i="56"/>
  <c r="S68" i="56"/>
  <c r="R68" i="56"/>
  <c r="M68" i="56"/>
  <c r="L68" i="56"/>
  <c r="K68" i="56"/>
  <c r="H68" i="56"/>
  <c r="AH67" i="56"/>
  <c r="U67" i="56" s="1"/>
  <c r="W67" i="56"/>
  <c r="R67" i="56"/>
  <c r="M67" i="56"/>
  <c r="L67" i="56"/>
  <c r="K67" i="56"/>
  <c r="H67" i="56"/>
  <c r="AH66" i="56"/>
  <c r="U66" i="56" s="1"/>
  <c r="W66" i="56"/>
  <c r="S66" i="56"/>
  <c r="R66" i="56"/>
  <c r="M66" i="56"/>
  <c r="K66" i="56"/>
  <c r="I66" i="56"/>
  <c r="H66" i="56"/>
  <c r="AH65" i="56"/>
  <c r="W65" i="56"/>
  <c r="S65" i="56"/>
  <c r="R65" i="56"/>
  <c r="M65" i="56"/>
  <c r="L65" i="56"/>
  <c r="K65" i="56"/>
  <c r="H65" i="56"/>
  <c r="AH64" i="56"/>
  <c r="U64" i="56" s="1"/>
  <c r="W64" i="56"/>
  <c r="S64" i="56"/>
  <c r="R64" i="56"/>
  <c r="M64" i="56"/>
  <c r="L64" i="56"/>
  <c r="K64" i="56"/>
  <c r="H64" i="56"/>
  <c r="AH63" i="56"/>
  <c r="U63" i="56" s="1"/>
  <c r="W63" i="56"/>
  <c r="S63" i="56"/>
  <c r="R63" i="56"/>
  <c r="M63" i="56"/>
  <c r="K63" i="56"/>
  <c r="H63" i="56"/>
  <c r="AH62" i="56"/>
  <c r="W62" i="56"/>
  <c r="S62" i="56"/>
  <c r="R62" i="56"/>
  <c r="M62" i="56"/>
  <c r="L62" i="56"/>
  <c r="K62" i="56"/>
  <c r="H62" i="56"/>
  <c r="AH61" i="56"/>
  <c r="W61" i="56"/>
  <c r="S61" i="56"/>
  <c r="R61" i="56"/>
  <c r="M61" i="56"/>
  <c r="L61" i="56"/>
  <c r="K61" i="56"/>
  <c r="I61" i="56" s="1"/>
  <c r="H61" i="56"/>
  <c r="AH60" i="56"/>
  <c r="W60" i="56"/>
  <c r="R60" i="56"/>
  <c r="M60" i="56"/>
  <c r="K60" i="56"/>
  <c r="H60" i="56"/>
  <c r="AH59" i="56"/>
  <c r="W59" i="56"/>
  <c r="S59" i="56"/>
  <c r="R59" i="56"/>
  <c r="M59" i="56"/>
  <c r="L59" i="56"/>
  <c r="K59" i="56"/>
  <c r="H59" i="56"/>
  <c r="AH58" i="56"/>
  <c r="W58" i="56"/>
  <c r="S58" i="56"/>
  <c r="R58" i="56"/>
  <c r="M58" i="56"/>
  <c r="L58" i="56"/>
  <c r="K58" i="56"/>
  <c r="H58" i="56"/>
  <c r="AH57" i="56"/>
  <c r="U57" i="56" s="1"/>
  <c r="W57" i="56"/>
  <c r="S57" i="56"/>
  <c r="R57" i="56"/>
  <c r="M57" i="56"/>
  <c r="L57" i="56"/>
  <c r="K57" i="56"/>
  <c r="H57" i="56"/>
  <c r="AH56" i="56"/>
  <c r="W56" i="56"/>
  <c r="R56" i="56"/>
  <c r="M56" i="56"/>
  <c r="K56" i="56"/>
  <c r="I56" i="56" s="1"/>
  <c r="H56" i="56"/>
  <c r="AH55" i="56"/>
  <c r="U55" i="56" s="1"/>
  <c r="W55" i="56"/>
  <c r="S55" i="56"/>
  <c r="R55" i="56"/>
  <c r="M55" i="56"/>
  <c r="L55" i="56"/>
  <c r="K55" i="56"/>
  <c r="H55" i="56"/>
  <c r="AH54" i="56"/>
  <c r="U54" i="56" s="1"/>
  <c r="W54" i="56"/>
  <c r="S54" i="56"/>
  <c r="R54" i="56"/>
  <c r="M54" i="56"/>
  <c r="L54" i="56"/>
  <c r="K54" i="56"/>
  <c r="H54" i="56"/>
  <c r="AH53" i="56"/>
  <c r="W53" i="56"/>
  <c r="U53" i="56" s="1"/>
  <c r="R53" i="56"/>
  <c r="M53" i="56"/>
  <c r="L53" i="56"/>
  <c r="I53" i="56" s="1"/>
  <c r="K53" i="56"/>
  <c r="H53" i="56"/>
  <c r="AH52" i="56"/>
  <c r="W52" i="56"/>
  <c r="S52" i="56"/>
  <c r="R52" i="56"/>
  <c r="M52" i="56"/>
  <c r="L52" i="56"/>
  <c r="K52" i="56"/>
  <c r="H52" i="56"/>
  <c r="T52" i="56" s="1"/>
  <c r="AH51" i="56"/>
  <c r="W51" i="56"/>
  <c r="S51" i="56"/>
  <c r="R51" i="56"/>
  <c r="M51" i="56"/>
  <c r="L51" i="56"/>
  <c r="K51" i="56"/>
  <c r="H51" i="56"/>
  <c r="AH50" i="56"/>
  <c r="W50" i="56"/>
  <c r="T50" i="56"/>
  <c r="R50" i="56"/>
  <c r="M50" i="56"/>
  <c r="K50" i="56"/>
  <c r="I50" i="56"/>
  <c r="H50" i="56"/>
  <c r="C50" i="56"/>
  <c r="C49" i="56" s="1"/>
  <c r="C48" i="56" s="1"/>
  <c r="AF49" i="56"/>
  <c r="AF48" i="56" s="1"/>
  <c r="AE49" i="56"/>
  <c r="AE48" i="56" s="1"/>
  <c r="AE47" i="56" s="1"/>
  <c r="AD49" i="56"/>
  <c r="AD48" i="56" s="1"/>
  <c r="AC49" i="56"/>
  <c r="AB49" i="56"/>
  <c r="AB48" i="56" s="1"/>
  <c r="AA49" i="56"/>
  <c r="AA48" i="56" s="1"/>
  <c r="AA47" i="56" s="1"/>
  <c r="X49" i="56"/>
  <c r="Q49" i="56"/>
  <c r="Q48" i="56" s="1"/>
  <c r="Q16" i="56" s="1"/>
  <c r="P49" i="56"/>
  <c r="P48" i="56" s="1"/>
  <c r="O49" i="56"/>
  <c r="O48" i="56" s="1"/>
  <c r="J49" i="56"/>
  <c r="J48" i="56" s="1"/>
  <c r="F49" i="56"/>
  <c r="F48" i="56" s="1"/>
  <c r="F47" i="56" s="1"/>
  <c r="E49" i="56"/>
  <c r="E48" i="56" s="1"/>
  <c r="D49" i="56"/>
  <c r="D48" i="56" s="1"/>
  <c r="AC48" i="56"/>
  <c r="AC16" i="56" s="1"/>
  <c r="X48" i="56"/>
  <c r="E47" i="56"/>
  <c r="AL46" i="56"/>
  <c r="AH42" i="56"/>
  <c r="AF42" i="56"/>
  <c r="AE42" i="56"/>
  <c r="AD42" i="56"/>
  <c r="AC42" i="56"/>
  <c r="AB42" i="56"/>
  <c r="AA42" i="56"/>
  <c r="Z42" i="56"/>
  <c r="Y42" i="56"/>
  <c r="X42" i="56"/>
  <c r="V42" i="56"/>
  <c r="T42" i="56"/>
  <c r="R42" i="56"/>
  <c r="Q42" i="56"/>
  <c r="P42" i="56"/>
  <c r="O42" i="56"/>
  <c r="N42" i="56"/>
  <c r="M42" i="56"/>
  <c r="L42" i="56"/>
  <c r="K42" i="56"/>
  <c r="J42" i="56"/>
  <c r="H42" i="56"/>
  <c r="F42" i="56"/>
  <c r="E42" i="56"/>
  <c r="D42" i="56"/>
  <c r="C42" i="56"/>
  <c r="AH41" i="56"/>
  <c r="AF41" i="56"/>
  <c r="AE41" i="56"/>
  <c r="AD41" i="56"/>
  <c r="AC41" i="56"/>
  <c r="AB41" i="56"/>
  <c r="AB39" i="56" s="1"/>
  <c r="AA41" i="56"/>
  <c r="Z41" i="56"/>
  <c r="Y41" i="56"/>
  <c r="X41" i="56"/>
  <c r="V41" i="56"/>
  <c r="T41" i="56"/>
  <c r="S41" i="56"/>
  <c r="R41" i="56"/>
  <c r="Q41" i="56"/>
  <c r="P41" i="56"/>
  <c r="O41" i="56"/>
  <c r="N41" i="56"/>
  <c r="M41" i="56"/>
  <c r="L41" i="56"/>
  <c r="K41" i="56"/>
  <c r="J41" i="56"/>
  <c r="I41" i="56"/>
  <c r="H41" i="56"/>
  <c r="G41" i="56"/>
  <c r="F41" i="56"/>
  <c r="E41" i="56"/>
  <c r="D41" i="56"/>
  <c r="C41" i="56"/>
  <c r="AF40" i="56"/>
  <c r="AD40" i="56"/>
  <c r="AD39" i="56" s="1"/>
  <c r="AB40" i="56"/>
  <c r="Z40" i="56"/>
  <c r="Y40" i="56"/>
  <c r="Y39" i="56" s="1"/>
  <c r="X40" i="56"/>
  <c r="V40" i="56"/>
  <c r="R40" i="56"/>
  <c r="R39" i="56" s="1"/>
  <c r="N40" i="56"/>
  <c r="N39" i="56" s="1"/>
  <c r="F40" i="56"/>
  <c r="F39" i="56" s="1"/>
  <c r="E40" i="56"/>
  <c r="D40" i="56"/>
  <c r="AF39" i="56"/>
  <c r="AH38" i="56"/>
  <c r="AF38" i="56"/>
  <c r="AE38" i="56"/>
  <c r="AD38" i="56"/>
  <c r="AC38" i="56"/>
  <c r="AB38" i="56"/>
  <c r="AA38" i="56"/>
  <c r="Z38" i="56"/>
  <c r="Y38" i="56"/>
  <c r="X38" i="56"/>
  <c r="V38" i="56"/>
  <c r="T38" i="56"/>
  <c r="R38" i="56"/>
  <c r="Q38" i="56"/>
  <c r="P38" i="56"/>
  <c r="P35" i="56" s="1"/>
  <c r="O38" i="56"/>
  <c r="N38" i="56"/>
  <c r="M38" i="56"/>
  <c r="L38" i="56"/>
  <c r="K38" i="56"/>
  <c r="J38" i="56"/>
  <c r="H38" i="56"/>
  <c r="F38" i="56"/>
  <c r="E38" i="56"/>
  <c r="D38" i="56"/>
  <c r="C38" i="56"/>
  <c r="AH37" i="56"/>
  <c r="AF37" i="56"/>
  <c r="AE37" i="56"/>
  <c r="AD37" i="56"/>
  <c r="AC37" i="56"/>
  <c r="AB37" i="56"/>
  <c r="AA37" i="56"/>
  <c r="Z37" i="56"/>
  <c r="Y37" i="56"/>
  <c r="Y35" i="56" s="1"/>
  <c r="X37" i="56"/>
  <c r="V37" i="56"/>
  <c r="T37" i="56"/>
  <c r="S37" i="56"/>
  <c r="R37" i="56"/>
  <c r="Q37" i="56"/>
  <c r="P37" i="56"/>
  <c r="O37" i="56"/>
  <c r="N37" i="56"/>
  <c r="M37" i="56"/>
  <c r="L37" i="56"/>
  <c r="K37" i="56"/>
  <c r="J37" i="56"/>
  <c r="I37" i="56"/>
  <c r="H37" i="56"/>
  <c r="G37" i="56"/>
  <c r="F37" i="56"/>
  <c r="E37" i="56"/>
  <c r="D37" i="56"/>
  <c r="C37" i="56"/>
  <c r="AH36" i="56"/>
  <c r="AF36" i="56"/>
  <c r="AF35" i="56" s="1"/>
  <c r="AE36" i="56"/>
  <c r="AD36" i="56"/>
  <c r="AD35" i="56" s="1"/>
  <c r="AC36" i="56"/>
  <c r="AB36" i="56"/>
  <c r="AB35" i="56" s="1"/>
  <c r="AA36" i="56"/>
  <c r="Z36" i="56"/>
  <c r="Z35" i="56" s="1"/>
  <c r="Y36" i="56"/>
  <c r="X36" i="56"/>
  <c r="V36" i="56"/>
  <c r="R36" i="56"/>
  <c r="Q36" i="56"/>
  <c r="Q35" i="56" s="1"/>
  <c r="P36" i="56"/>
  <c r="O36" i="56"/>
  <c r="O35" i="56" s="1"/>
  <c r="N36" i="56"/>
  <c r="M36" i="56"/>
  <c r="M35" i="56" s="1"/>
  <c r="L36" i="56"/>
  <c r="K36" i="56"/>
  <c r="K35" i="56" s="1"/>
  <c r="J36" i="56"/>
  <c r="H36" i="56"/>
  <c r="F36" i="56"/>
  <c r="E36" i="56"/>
  <c r="D36" i="56"/>
  <c r="C36" i="56"/>
  <c r="AC35" i="56"/>
  <c r="X35" i="56"/>
  <c r="H35" i="56"/>
  <c r="AE34" i="56"/>
  <c r="AA34" i="56"/>
  <c r="V34" i="56"/>
  <c r="S34" i="56"/>
  <c r="AG34" i="56" s="1"/>
  <c r="R34" i="56"/>
  <c r="AF34" i="56" s="1"/>
  <c r="Q34" i="56"/>
  <c r="P34" i="56"/>
  <c r="AD34" i="56" s="1"/>
  <c r="O34" i="56"/>
  <c r="AC34" i="56" s="1"/>
  <c r="N34" i="56"/>
  <c r="AB34" i="56" s="1"/>
  <c r="M34" i="56"/>
  <c r="L34" i="56"/>
  <c r="Z34" i="56" s="1"/>
  <c r="K34" i="56"/>
  <c r="Y34" i="56" s="1"/>
  <c r="J34" i="56"/>
  <c r="H34" i="56"/>
  <c r="F34" i="56"/>
  <c r="C34" i="56"/>
  <c r="AE33" i="56"/>
  <c r="AD33" i="56"/>
  <c r="AB33" i="56"/>
  <c r="AA33" i="56"/>
  <c r="Z33" i="56"/>
  <c r="R33" i="56"/>
  <c r="Q33" i="56"/>
  <c r="O33" i="56"/>
  <c r="N33" i="56"/>
  <c r="M33" i="56"/>
  <c r="J33" i="56"/>
  <c r="F33" i="56"/>
  <c r="E33" i="56"/>
  <c r="D33" i="56"/>
  <c r="AG32" i="56"/>
  <c r="AB32" i="56"/>
  <c r="O32" i="56"/>
  <c r="L32" i="56"/>
  <c r="J32" i="56"/>
  <c r="H32" i="56"/>
  <c r="D32" i="56"/>
  <c r="AG31" i="56"/>
  <c r="AB31" i="56"/>
  <c r="Y31" i="56"/>
  <c r="Q31" i="56"/>
  <c r="J31" i="56"/>
  <c r="E31" i="56"/>
  <c r="R28" i="56"/>
  <c r="P28" i="56"/>
  <c r="N28" i="56"/>
  <c r="L28" i="56"/>
  <c r="J28" i="56"/>
  <c r="F28" i="56"/>
  <c r="D28" i="56"/>
  <c r="R26" i="56"/>
  <c r="L26" i="56"/>
  <c r="H26" i="56"/>
  <c r="E26" i="56"/>
  <c r="C26" i="56"/>
  <c r="AF25" i="56"/>
  <c r="Q25" i="56"/>
  <c r="N25" i="56"/>
  <c r="E25" i="56"/>
  <c r="D25" i="56"/>
  <c r="AE24" i="56"/>
  <c r="AA24" i="56"/>
  <c r="V24" i="56"/>
  <c r="R24" i="56"/>
  <c r="P24" i="56"/>
  <c r="O24" i="56"/>
  <c r="N24" i="56"/>
  <c r="K24" i="56"/>
  <c r="J24" i="56"/>
  <c r="D24" i="56"/>
  <c r="C24" i="56"/>
  <c r="P23" i="56"/>
  <c r="O23" i="56"/>
  <c r="K23" i="56"/>
  <c r="P22" i="56"/>
  <c r="O22" i="56"/>
  <c r="R21" i="56"/>
  <c r="O21" i="56"/>
  <c r="J21" i="56"/>
  <c r="E21" i="56"/>
  <c r="AG19" i="56"/>
  <c r="AC19" i="56"/>
  <c r="Y19" i="56"/>
  <c r="R19" i="56"/>
  <c r="N19" i="56"/>
  <c r="H19" i="56"/>
  <c r="C19" i="56"/>
  <c r="AF18" i="56"/>
  <c r="AB18" i="56"/>
  <c r="P18" i="56"/>
  <c r="L18" i="56"/>
  <c r="F18" i="56"/>
  <c r="AF17" i="56"/>
  <c r="AB17" i="56"/>
  <c r="Z17" i="56"/>
  <c r="X17" i="56"/>
  <c r="Q17" i="56"/>
  <c r="P17" i="56"/>
  <c r="M17" i="56"/>
  <c r="E17" i="56"/>
  <c r="D17" i="56"/>
  <c r="E16" i="56"/>
  <c r="E15" i="56" s="1"/>
  <c r="U74" i="56" l="1"/>
  <c r="U76" i="56"/>
  <c r="U77" i="56"/>
  <c r="U78" i="56"/>
  <c r="U79" i="56"/>
  <c r="U85" i="56"/>
  <c r="U92" i="56"/>
  <c r="AF134" i="56"/>
  <c r="U155" i="56"/>
  <c r="Z171" i="56"/>
  <c r="Z170" i="56" s="1"/>
  <c r="Z26" i="56" s="1"/>
  <c r="D179" i="56"/>
  <c r="D178" i="56" s="1"/>
  <c r="D27" i="56" s="1"/>
  <c r="Q179" i="56"/>
  <c r="C181" i="56"/>
  <c r="F179" i="56"/>
  <c r="F178" i="56" s="1"/>
  <c r="F27" i="56" s="1"/>
  <c r="AI218" i="56"/>
  <c r="Y222" i="56"/>
  <c r="Y221" i="56" s="1"/>
  <c r="Y28" i="56" s="1"/>
  <c r="AC222" i="56"/>
  <c r="AC221" i="56" s="1"/>
  <c r="AC28" i="56" s="1"/>
  <c r="AG222" i="56"/>
  <c r="AG221" i="56" s="1"/>
  <c r="AG28" i="56" s="1"/>
  <c r="AD237" i="56"/>
  <c r="AL244" i="56"/>
  <c r="U279" i="56"/>
  <c r="J25" i="56"/>
  <c r="R25" i="56"/>
  <c r="M25" i="56"/>
  <c r="G95" i="56"/>
  <c r="G96" i="56"/>
  <c r="AI108" i="56"/>
  <c r="D101" i="56"/>
  <c r="D100" i="56" s="1"/>
  <c r="D20" i="56" s="1"/>
  <c r="AF122" i="56"/>
  <c r="AD122" i="56"/>
  <c r="AL159" i="56"/>
  <c r="AL172" i="56"/>
  <c r="U201" i="56"/>
  <c r="C251" i="56"/>
  <c r="U278" i="56"/>
  <c r="AD16" i="56"/>
  <c r="AD47" i="56"/>
  <c r="Y167" i="56"/>
  <c r="Y25" i="56" s="1"/>
  <c r="K25" i="56"/>
  <c r="Q178" i="56"/>
  <c r="Q27" i="56" s="1"/>
  <c r="Z237" i="56"/>
  <c r="S25" i="56"/>
  <c r="J101" i="56"/>
  <c r="J100" i="56" s="1"/>
  <c r="J20" i="56" s="1"/>
  <c r="F101" i="56"/>
  <c r="F100" i="56" s="1"/>
  <c r="F20" i="56" s="1"/>
  <c r="E101" i="56"/>
  <c r="E100" i="56" s="1"/>
  <c r="E20" i="56" s="1"/>
  <c r="AC122" i="56"/>
  <c r="W145" i="56"/>
  <c r="U145" i="56" s="1"/>
  <c r="T171" i="56"/>
  <c r="T170" i="56" s="1"/>
  <c r="AD171" i="56"/>
  <c r="AD170" i="56" s="1"/>
  <c r="AD26" i="56" s="1"/>
  <c r="E179" i="56"/>
  <c r="E178" i="56" s="1"/>
  <c r="E27" i="56" s="1"/>
  <c r="M179" i="56"/>
  <c r="M178" i="56" s="1"/>
  <c r="M27" i="56" s="1"/>
  <c r="AC179" i="56"/>
  <c r="C196" i="56"/>
  <c r="G203" i="56"/>
  <c r="U214" i="56"/>
  <c r="E228" i="56"/>
  <c r="AH232" i="56"/>
  <c r="U234" i="56"/>
  <c r="AH237" i="56"/>
  <c r="AH249" i="56"/>
  <c r="AD249" i="56"/>
  <c r="O25" i="56"/>
  <c r="Q15" i="56"/>
  <c r="U68" i="56"/>
  <c r="AC47" i="56"/>
  <c r="AH109" i="56"/>
  <c r="G155" i="56"/>
  <c r="AL155" i="56" s="1"/>
  <c r="I168" i="56"/>
  <c r="I167" i="56" s="1"/>
  <c r="AA179" i="56"/>
  <c r="G200" i="56"/>
  <c r="AA222" i="56"/>
  <c r="AA221" i="56" s="1"/>
  <c r="AA28" i="56" s="1"/>
  <c r="AE222" i="56"/>
  <c r="AE221" i="56" s="1"/>
  <c r="AE28" i="56" s="1"/>
  <c r="W225" i="56"/>
  <c r="AF237" i="56"/>
  <c r="AK246" i="56"/>
  <c r="W252" i="56"/>
  <c r="G253" i="56"/>
  <c r="AH106" i="56"/>
  <c r="AD110" i="56"/>
  <c r="Q134" i="56"/>
  <c r="G177" i="56"/>
  <c r="W177" i="56"/>
  <c r="U200" i="56"/>
  <c r="U253" i="56"/>
  <c r="I255" i="56"/>
  <c r="G278" i="56"/>
  <c r="AL278" i="56" s="1"/>
  <c r="H25" i="56"/>
  <c r="V167" i="56"/>
  <c r="L25" i="56"/>
  <c r="Z167" i="56"/>
  <c r="Z25" i="56" s="1"/>
  <c r="AD167" i="56"/>
  <c r="AD25" i="56" s="1"/>
  <c r="P25" i="56"/>
  <c r="C35" i="56"/>
  <c r="Z39" i="56"/>
  <c r="Q47" i="56"/>
  <c r="S49" i="56"/>
  <c r="S48" i="56" s="1"/>
  <c r="I59" i="56"/>
  <c r="S90" i="56"/>
  <c r="S18" i="56" s="1"/>
  <c r="W99" i="56"/>
  <c r="U94" i="56"/>
  <c r="U99" i="56" s="1"/>
  <c r="V39" i="56"/>
  <c r="O47" i="56"/>
  <c r="L49" i="56"/>
  <c r="L48" i="56" s="1"/>
  <c r="L16" i="56" s="1"/>
  <c r="L15" i="56" s="1"/>
  <c r="R49" i="56"/>
  <c r="R48" i="56" s="1"/>
  <c r="R47" i="56" s="1"/>
  <c r="U56" i="56"/>
  <c r="U58" i="56"/>
  <c r="T59" i="56"/>
  <c r="U59" i="56"/>
  <c r="I60" i="56"/>
  <c r="I70" i="56"/>
  <c r="T72" i="56"/>
  <c r="I73" i="56"/>
  <c r="I74" i="56"/>
  <c r="I77" i="56"/>
  <c r="T81" i="56"/>
  <c r="U81" i="56"/>
  <c r="I82" i="56"/>
  <c r="U82" i="56"/>
  <c r="N83" i="56"/>
  <c r="G92" i="56"/>
  <c r="AI92" i="56" s="1"/>
  <c r="R101" i="56"/>
  <c r="R100" i="56" s="1"/>
  <c r="R20" i="56" s="1"/>
  <c r="AF110" i="56"/>
  <c r="K147" i="56"/>
  <c r="K21" i="56" s="1"/>
  <c r="L122" i="56"/>
  <c r="S122" i="56"/>
  <c r="AI128" i="56"/>
  <c r="AK128" i="56" s="1"/>
  <c r="N147" i="56"/>
  <c r="N21" i="56" s="1"/>
  <c r="AB132" i="56"/>
  <c r="AB147" i="56" s="1"/>
  <c r="AB21" i="56" s="1"/>
  <c r="W138" i="56"/>
  <c r="V141" i="56"/>
  <c r="T141" i="56"/>
  <c r="X134" i="56"/>
  <c r="J171" i="56"/>
  <c r="J170" i="56" s="1"/>
  <c r="J26" i="56" s="1"/>
  <c r="AL267" i="56"/>
  <c r="J313" i="56"/>
  <c r="J40" i="56"/>
  <c r="J39" i="56" s="1"/>
  <c r="I34" i="56"/>
  <c r="G34" i="56" s="1"/>
  <c r="X34" i="56"/>
  <c r="V117" i="56"/>
  <c r="T117" i="56"/>
  <c r="AE121" i="56"/>
  <c r="AE147" i="56" s="1"/>
  <c r="AE21" i="56" s="1"/>
  <c r="Y132" i="56"/>
  <c r="AE135" i="56"/>
  <c r="AE134" i="56" s="1"/>
  <c r="Y141" i="56"/>
  <c r="I141" i="56"/>
  <c r="W316" i="56"/>
  <c r="U317" i="56"/>
  <c r="F16" i="56"/>
  <c r="F15" i="56" s="1"/>
  <c r="F35" i="56"/>
  <c r="L35" i="56"/>
  <c r="V35" i="56"/>
  <c r="AA35" i="56"/>
  <c r="AE35" i="56"/>
  <c r="C40" i="56"/>
  <c r="C47" i="56"/>
  <c r="Z49" i="56"/>
  <c r="Z48" i="56" s="1"/>
  <c r="T60" i="56"/>
  <c r="U60" i="56"/>
  <c r="T61" i="56"/>
  <c r="U61" i="56"/>
  <c r="I62" i="56"/>
  <c r="U62" i="56"/>
  <c r="I63" i="56"/>
  <c r="U65" i="56"/>
  <c r="T71" i="56"/>
  <c r="G71" i="56" s="1"/>
  <c r="I72" i="56"/>
  <c r="U72" i="56"/>
  <c r="U73" i="56"/>
  <c r="T77" i="56"/>
  <c r="I78" i="56"/>
  <c r="I79" i="56"/>
  <c r="N84" i="56"/>
  <c r="I84" i="56" s="1"/>
  <c r="G84" i="56" s="1"/>
  <c r="U84" i="56"/>
  <c r="I87" i="56"/>
  <c r="I89" i="56" s="1"/>
  <c r="I17" i="56" s="1"/>
  <c r="AD15" i="56"/>
  <c r="T90" i="56"/>
  <c r="Q110" i="56"/>
  <c r="Q101" i="56" s="1"/>
  <c r="Q100" i="56" s="1"/>
  <c r="Q20" i="56" s="1"/>
  <c r="AE111" i="56"/>
  <c r="Y117" i="56"/>
  <c r="W117" i="56" s="1"/>
  <c r="I117" i="56"/>
  <c r="G117" i="56" s="1"/>
  <c r="I131" i="56"/>
  <c r="I138" i="56"/>
  <c r="W139" i="56"/>
  <c r="AH152" i="56"/>
  <c r="S158" i="56"/>
  <c r="S157" i="56" s="1"/>
  <c r="S23" i="56" s="1"/>
  <c r="AI159" i="56"/>
  <c r="G158" i="56"/>
  <c r="G157" i="56" s="1"/>
  <c r="W164" i="56"/>
  <c r="G173" i="56"/>
  <c r="H89" i="56"/>
  <c r="H17" i="56" s="1"/>
  <c r="T87" i="56"/>
  <c r="T89" i="56" s="1"/>
  <c r="V144" i="56"/>
  <c r="X39" i="56"/>
  <c r="I114" i="56"/>
  <c r="N110" i="56"/>
  <c r="T114" i="56"/>
  <c r="I116" i="56"/>
  <c r="T116" i="56"/>
  <c r="I118" i="56"/>
  <c r="T118" i="56"/>
  <c r="I142" i="56"/>
  <c r="T142" i="56"/>
  <c r="T185" i="56"/>
  <c r="Y171" i="56"/>
  <c r="Y170" i="56" s="1"/>
  <c r="Y26" i="56" s="1"/>
  <c r="AC171" i="56"/>
  <c r="AC170" i="56" s="1"/>
  <c r="AC26" i="56" s="1"/>
  <c r="AG171" i="56"/>
  <c r="AG170" i="56" s="1"/>
  <c r="AG26" i="56" s="1"/>
  <c r="I176" i="56"/>
  <c r="G176" i="56" s="1"/>
  <c r="AI176" i="56" s="1"/>
  <c r="AK176" i="56" s="1"/>
  <c r="AF179" i="56"/>
  <c r="K184" i="56"/>
  <c r="AD185" i="56"/>
  <c r="N179" i="56"/>
  <c r="N178" i="56" s="1"/>
  <c r="N27" i="56" s="1"/>
  <c r="AH188" i="56"/>
  <c r="J179" i="56"/>
  <c r="J178" i="56" s="1"/>
  <c r="J27" i="56" s="1"/>
  <c r="AH206" i="56"/>
  <c r="W219" i="56"/>
  <c r="AH231" i="56"/>
  <c r="U231" i="56" s="1"/>
  <c r="C232" i="56"/>
  <c r="C229" i="56" s="1"/>
  <c r="H232" i="56"/>
  <c r="H229" i="56" s="1"/>
  <c r="W236" i="56"/>
  <c r="AI248" i="56"/>
  <c r="I252" i="56"/>
  <c r="T252" i="56"/>
  <c r="C249" i="56"/>
  <c r="G261" i="56"/>
  <c r="W262" i="56"/>
  <c r="T263" i="56"/>
  <c r="P269" i="56"/>
  <c r="W280" i="56"/>
  <c r="I284" i="56"/>
  <c r="T291" i="56"/>
  <c r="AI332" i="56"/>
  <c r="AJ332" i="56" s="1"/>
  <c r="M315" i="56"/>
  <c r="M314" i="56" s="1"/>
  <c r="Q315" i="56"/>
  <c r="Q314" i="56" s="1"/>
  <c r="U374" i="56"/>
  <c r="AH374" i="56"/>
  <c r="T385" i="56"/>
  <c r="G385" i="56" s="1"/>
  <c r="G387" i="56"/>
  <c r="T387" i="56"/>
  <c r="X354" i="56"/>
  <c r="Z354" i="56"/>
  <c r="V410" i="56"/>
  <c r="T410" i="56"/>
  <c r="AI450" i="56"/>
  <c r="AL450" i="56"/>
  <c r="Z472" i="56"/>
  <c r="AH477" i="56"/>
  <c r="AD477" i="56"/>
  <c r="W477" i="56" s="1"/>
  <c r="AH527" i="56"/>
  <c r="AD527" i="56"/>
  <c r="W527" i="56" s="1"/>
  <c r="S544" i="56"/>
  <c r="S543" i="56" s="1"/>
  <c r="I545" i="56"/>
  <c r="I591" i="56"/>
  <c r="X591" i="56"/>
  <c r="X22" i="56" s="1"/>
  <c r="X596" i="56"/>
  <c r="I596" i="56"/>
  <c r="T600" i="56"/>
  <c r="V600" i="56"/>
  <c r="H598" i="56"/>
  <c r="V598" i="56" s="1"/>
  <c r="W186" i="56"/>
  <c r="K187" i="56"/>
  <c r="AD188" i="56"/>
  <c r="AD187" i="56" s="1"/>
  <c r="R187" i="56"/>
  <c r="R179" i="56" s="1"/>
  <c r="R178" i="56" s="1"/>
  <c r="R27" i="56" s="1"/>
  <c r="AD206" i="56"/>
  <c r="AD205" i="56" s="1"/>
  <c r="C205" i="56"/>
  <c r="AI208" i="56"/>
  <c r="AK208" i="56" s="1"/>
  <c r="AH211" i="56"/>
  <c r="U212" i="56"/>
  <c r="AB222" i="56"/>
  <c r="AB221" i="56" s="1"/>
  <c r="AB28" i="56" s="1"/>
  <c r="AF222" i="56"/>
  <c r="AF221" i="56" s="1"/>
  <c r="AF28" i="56" s="1"/>
  <c r="T231" i="56"/>
  <c r="AH235" i="56"/>
  <c r="F228" i="56"/>
  <c r="W238" i="56"/>
  <c r="U238" i="56" s="1"/>
  <c r="S237" i="56"/>
  <c r="M228" i="56"/>
  <c r="AG251" i="56"/>
  <c r="AG249" i="56" s="1"/>
  <c r="I254" i="56"/>
  <c r="AJ259" i="56"/>
  <c r="T265" i="56"/>
  <c r="H271" i="56"/>
  <c r="H270" i="56" s="1"/>
  <c r="H31" i="56" s="1"/>
  <c r="P271" i="56"/>
  <c r="P270" i="56" s="1"/>
  <c r="P31" i="56" s="1"/>
  <c r="Z271" i="56"/>
  <c r="Z270" i="56" s="1"/>
  <c r="Z31" i="56" s="1"/>
  <c r="I275" i="56"/>
  <c r="W276" i="56"/>
  <c r="W277" i="56"/>
  <c r="U277" i="56" s="1"/>
  <c r="C283" i="56"/>
  <c r="C282" i="56" s="1"/>
  <c r="C32" i="56" s="1"/>
  <c r="P290" i="56"/>
  <c r="P33" i="56" s="1"/>
  <c r="C290" i="56"/>
  <c r="C33" i="56" s="1"/>
  <c r="L290" i="56"/>
  <c r="L33" i="56" s="1"/>
  <c r="W302" i="56"/>
  <c r="G304" i="56"/>
  <c r="V308" i="56"/>
  <c r="S316" i="56"/>
  <c r="AG316" i="56"/>
  <c r="AI319" i="56"/>
  <c r="AJ319" i="56" s="1"/>
  <c r="T330" i="56"/>
  <c r="U340" i="56"/>
  <c r="Z356" i="56"/>
  <c r="Z355" i="56" s="1"/>
  <c r="P354" i="56"/>
  <c r="AA354" i="56"/>
  <c r="T402" i="56"/>
  <c r="I420" i="56"/>
  <c r="AI426" i="56"/>
  <c r="W428" i="56"/>
  <c r="U432" i="56"/>
  <c r="U431" i="56" s="1"/>
  <c r="W431" i="56"/>
  <c r="AK486" i="56"/>
  <c r="AJ486" i="56"/>
  <c r="D507" i="56"/>
  <c r="AD509" i="56"/>
  <c r="W511" i="56"/>
  <c r="U511" i="56" s="1"/>
  <c r="P514" i="56"/>
  <c r="P175" i="56" s="1"/>
  <c r="P171" i="56" s="1"/>
  <c r="P170" i="56" s="1"/>
  <c r="P26" i="56" s="1"/>
  <c r="I515" i="56"/>
  <c r="I514" i="56" s="1"/>
  <c r="AH518" i="56"/>
  <c r="U518" i="56" s="1"/>
  <c r="AI518" i="56" s="1"/>
  <c r="G545" i="56"/>
  <c r="T545" i="56"/>
  <c r="AI574" i="56"/>
  <c r="AL574" i="56"/>
  <c r="Z589" i="56"/>
  <c r="I589" i="56"/>
  <c r="AC178" i="56"/>
  <c r="AC27" i="56" s="1"/>
  <c r="AG181" i="56"/>
  <c r="AG179" i="56" s="1"/>
  <c r="AG178" i="56" s="1"/>
  <c r="AG27" i="56" s="1"/>
  <c r="K229" i="56"/>
  <c r="T232" i="56"/>
  <c r="R228" i="56"/>
  <c r="R30" i="56" s="1"/>
  <c r="C237" i="56"/>
  <c r="AI253" i="56"/>
  <c r="AJ253" i="56" s="1"/>
  <c r="G291" i="56"/>
  <c r="AF293" i="56"/>
  <c r="AF290" i="56" s="1"/>
  <c r="AF33" i="56" s="1"/>
  <c r="G297" i="56"/>
  <c r="AI297" i="56" s="1"/>
  <c r="W305" i="56"/>
  <c r="AH307" i="56"/>
  <c r="T308" i="56"/>
  <c r="AA308" i="56"/>
  <c r="AE308" i="56"/>
  <c r="L315" i="56"/>
  <c r="L314" i="56" s="1"/>
  <c r="P315" i="56"/>
  <c r="P314" i="56" s="1"/>
  <c r="AH316" i="56"/>
  <c r="T320" i="56"/>
  <c r="AL322" i="56"/>
  <c r="G326" i="56"/>
  <c r="AI326" i="56" s="1"/>
  <c r="AC315" i="56"/>
  <c r="AC314" i="56" s="1"/>
  <c r="AI336" i="56"/>
  <c r="AJ336" i="56" s="1"/>
  <c r="AG338" i="56"/>
  <c r="G340" i="56"/>
  <c r="G338" i="56" s="1"/>
  <c r="W350" i="56"/>
  <c r="U350" i="56" s="1"/>
  <c r="T361" i="56"/>
  <c r="G361" i="56" s="1"/>
  <c r="AH361" i="56"/>
  <c r="U361" i="56" s="1"/>
  <c r="T366" i="56"/>
  <c r="G366" i="56" s="1"/>
  <c r="AH385" i="56"/>
  <c r="U385" i="56" s="1"/>
  <c r="G386" i="56"/>
  <c r="T390" i="56"/>
  <c r="G390" i="56"/>
  <c r="AK401" i="56"/>
  <c r="AJ401" i="56"/>
  <c r="AF402" i="56"/>
  <c r="R396" i="56"/>
  <c r="R354" i="56" s="1"/>
  <c r="V418" i="56"/>
  <c r="G418" i="56"/>
  <c r="T418" i="56"/>
  <c r="I470" i="56"/>
  <c r="V470" i="56"/>
  <c r="Z509" i="56"/>
  <c r="W510" i="56"/>
  <c r="I511" i="56"/>
  <c r="G511" i="56" s="1"/>
  <c r="P509" i="56"/>
  <c r="C514" i="56"/>
  <c r="E507" i="56"/>
  <c r="E352" i="56" s="1"/>
  <c r="E351" i="56" s="1"/>
  <c r="C555" i="56"/>
  <c r="AF751" i="56"/>
  <c r="J35" i="56"/>
  <c r="N35" i="56"/>
  <c r="R35" i="56"/>
  <c r="AH35" i="56"/>
  <c r="C39" i="56"/>
  <c r="U51" i="56"/>
  <c r="U52" i="56"/>
  <c r="H49" i="56"/>
  <c r="H48" i="56" s="1"/>
  <c r="H16" i="56" s="1"/>
  <c r="H15" i="56" s="1"/>
  <c r="T63" i="56"/>
  <c r="T66" i="56"/>
  <c r="G66" i="56" s="1"/>
  <c r="T80" i="56"/>
  <c r="G80" i="56" s="1"/>
  <c r="U80" i="56"/>
  <c r="U83" i="56"/>
  <c r="T86" i="56"/>
  <c r="N86" i="56"/>
  <c r="I86" i="56" s="1"/>
  <c r="T88" i="56"/>
  <c r="G88" i="56" s="1"/>
  <c r="U96" i="56"/>
  <c r="AI96" i="56" s="1"/>
  <c r="AJ96" i="56" s="1"/>
  <c r="AI105" i="56"/>
  <c r="AK105" i="56" s="1"/>
  <c r="C147" i="56"/>
  <c r="C21" i="56" s="1"/>
  <c r="AF147" i="56"/>
  <c r="AF21" i="56" s="1"/>
  <c r="AE122" i="56"/>
  <c r="C151" i="56"/>
  <c r="C149" i="56" s="1"/>
  <c r="C148" i="56" s="1"/>
  <c r="C22" i="56" s="1"/>
  <c r="U154" i="56"/>
  <c r="X179" i="56"/>
  <c r="X178" i="56" s="1"/>
  <c r="X27" i="56" s="1"/>
  <c r="O179" i="56"/>
  <c r="O178" i="56" s="1"/>
  <c r="O27" i="56" s="1"/>
  <c r="T186" i="56"/>
  <c r="G186" i="56" s="1"/>
  <c r="S187" i="56"/>
  <c r="S179" i="56" s="1"/>
  <c r="S178" i="56" s="1"/>
  <c r="S27" i="56" s="1"/>
  <c r="V187" i="56"/>
  <c r="U192" i="56"/>
  <c r="I195" i="56"/>
  <c r="V205" i="56"/>
  <c r="W211" i="56"/>
  <c r="AL217" i="56"/>
  <c r="Z222" i="56"/>
  <c r="Z221" i="56" s="1"/>
  <c r="Z28" i="56" s="1"/>
  <c r="AD222" i="56"/>
  <c r="AD221" i="56" s="1"/>
  <c r="AD28" i="56" s="1"/>
  <c r="I231" i="56"/>
  <c r="G231" i="56" s="1"/>
  <c r="L229" i="56"/>
  <c r="L228" i="56" s="1"/>
  <c r="L30" i="56" s="1"/>
  <c r="AF228" i="56"/>
  <c r="G234" i="56"/>
  <c r="Z228" i="56"/>
  <c r="I236" i="56"/>
  <c r="V237" i="56"/>
  <c r="G242" i="56"/>
  <c r="W243" i="56"/>
  <c r="AA228" i="56"/>
  <c r="AA30" i="56" s="1"/>
  <c r="H255" i="56"/>
  <c r="G257" i="56"/>
  <c r="AI258" i="56"/>
  <c r="AK258" i="56" s="1"/>
  <c r="U261" i="56"/>
  <c r="AL261" i="56" s="1"/>
  <c r="AH262" i="56"/>
  <c r="AH273" i="56"/>
  <c r="U273" i="56" s="1"/>
  <c r="I274" i="56"/>
  <c r="AD271" i="56"/>
  <c r="AD270" i="56" s="1"/>
  <c r="AD31" i="56" s="1"/>
  <c r="AH276" i="56"/>
  <c r="T280" i="56"/>
  <c r="AH280" i="56"/>
  <c r="U281" i="56"/>
  <c r="AI281" i="56" s="1"/>
  <c r="T284" i="56"/>
  <c r="T286" i="56"/>
  <c r="Q287" i="56"/>
  <c r="Q282" i="56" s="1"/>
  <c r="W289" i="56"/>
  <c r="Y290" i="56"/>
  <c r="Y33" i="56" s="1"/>
  <c r="G292" i="56"/>
  <c r="AI294" i="56"/>
  <c r="AJ294" i="56" s="1"/>
  <c r="U296" i="56"/>
  <c r="G298" i="56"/>
  <c r="W299" i="56"/>
  <c r="U299" i="56" s="1"/>
  <c r="AH302" i="56"/>
  <c r="T309" i="56"/>
  <c r="T36" i="56" s="1"/>
  <c r="Y308" i="56"/>
  <c r="AC308" i="56"/>
  <c r="AB308" i="56"/>
  <c r="AH312" i="56"/>
  <c r="H315" i="56"/>
  <c r="H314" i="56" s="1"/>
  <c r="AL319" i="56"/>
  <c r="G324" i="56"/>
  <c r="AI324" i="56" s="1"/>
  <c r="AK324" i="56" s="1"/>
  <c r="G327" i="56"/>
  <c r="AL327" i="56" s="1"/>
  <c r="AI331" i="56"/>
  <c r="W334" i="56"/>
  <c r="U334" i="56" s="1"/>
  <c r="G337" i="56"/>
  <c r="AH338" i="56"/>
  <c r="AG344" i="56"/>
  <c r="AI346" i="56"/>
  <c r="AJ346" i="56" s="1"/>
  <c r="AH315" i="56"/>
  <c r="AH314" i="56" s="1"/>
  <c r="AH40" i="56" s="1"/>
  <c r="AH39" i="56" s="1"/>
  <c r="I349" i="56"/>
  <c r="G349" i="56" s="1"/>
  <c r="AC354" i="56"/>
  <c r="U364" i="56"/>
  <c r="G365" i="56"/>
  <c r="U368" i="56"/>
  <c r="W387" i="56"/>
  <c r="U389" i="56"/>
  <c r="AD354" i="56"/>
  <c r="AL401" i="56"/>
  <c r="V409" i="56"/>
  <c r="P409" i="56"/>
  <c r="AD409" i="56" s="1"/>
  <c r="AA416" i="56"/>
  <c r="AE416" i="56"/>
  <c r="I419" i="56"/>
  <c r="L416" i="56"/>
  <c r="L407" i="56" s="1"/>
  <c r="L406" i="56" s="1"/>
  <c r="Z419" i="56"/>
  <c r="Z416" i="56" s="1"/>
  <c r="Z407" i="56" s="1"/>
  <c r="Z406" i="56" s="1"/>
  <c r="I422" i="56"/>
  <c r="AB422" i="56"/>
  <c r="V429" i="56"/>
  <c r="T429" i="56"/>
  <c r="T428" i="56" s="1"/>
  <c r="V453" i="56"/>
  <c r="T453" i="56"/>
  <c r="L462" i="56"/>
  <c r="L461" i="56" s="1"/>
  <c r="Z461" i="56" s="1"/>
  <c r="Z463" i="56"/>
  <c r="Z462" i="56" s="1"/>
  <c r="K465" i="56"/>
  <c r="K464" i="56" s="1"/>
  <c r="AG468" i="56"/>
  <c r="AG465" i="56" s="1"/>
  <c r="AG464" i="56" s="1"/>
  <c r="S465" i="56"/>
  <c r="S464" i="56" s="1"/>
  <c r="T476" i="56"/>
  <c r="P476" i="56"/>
  <c r="I476" i="56" s="1"/>
  <c r="H473" i="56"/>
  <c r="H472" i="56" s="1"/>
  <c r="AI500" i="56"/>
  <c r="AJ500" i="56" s="1"/>
  <c r="AH504" i="56"/>
  <c r="V502" i="56"/>
  <c r="V501" i="56" s="1"/>
  <c r="Q508" i="56"/>
  <c r="Q507" i="56" s="1"/>
  <c r="Q268" i="56" s="1"/>
  <c r="AE268" i="56" s="1"/>
  <c r="AG508" i="56"/>
  <c r="AG507" i="56" s="1"/>
  <c r="AH528" i="56"/>
  <c r="T532" i="56"/>
  <c r="T531" i="56" s="1"/>
  <c r="L531" i="56"/>
  <c r="L508" i="56" s="1"/>
  <c r="L507" i="56" s="1"/>
  <c r="P532" i="56"/>
  <c r="P531" i="56" s="1"/>
  <c r="V537" i="56"/>
  <c r="T537" i="56"/>
  <c r="G537" i="56" s="1"/>
  <c r="M582" i="56"/>
  <c r="M581" i="56" s="1"/>
  <c r="H582" i="56"/>
  <c r="H581" i="56" s="1"/>
  <c r="X592" i="56"/>
  <c r="X23" i="56" s="1"/>
  <c r="I592" i="56"/>
  <c r="X594" i="56"/>
  <c r="X25" i="56" s="1"/>
  <c r="I594" i="56"/>
  <c r="I25" i="56" s="1"/>
  <c r="AA601" i="56"/>
  <c r="AA32" i="56" s="1"/>
  <c r="M598" i="56"/>
  <c r="AA598" i="56" s="1"/>
  <c r="AA660" i="56"/>
  <c r="AA644" i="56" s="1"/>
  <c r="AA643" i="56" s="1"/>
  <c r="M644" i="56"/>
  <c r="M643" i="56" s="1"/>
  <c r="Q644" i="56"/>
  <c r="Q643" i="56" s="1"/>
  <c r="AE660" i="56"/>
  <c r="AE644" i="56" s="1"/>
  <c r="AE643" i="56" s="1"/>
  <c r="W850" i="56"/>
  <c r="Y849" i="56"/>
  <c r="W899" i="56"/>
  <c r="T408" i="56"/>
  <c r="AL415" i="56"/>
  <c r="C416" i="56"/>
  <c r="C407" i="56" s="1"/>
  <c r="C406" i="56" s="1"/>
  <c r="AB420" i="56"/>
  <c r="W425" i="56"/>
  <c r="D407" i="56"/>
  <c r="D406" i="56" s="1"/>
  <c r="D352" i="56" s="1"/>
  <c r="D351" i="56" s="1"/>
  <c r="J407" i="56"/>
  <c r="J406" i="56" s="1"/>
  <c r="R407" i="56"/>
  <c r="R406" i="56" s="1"/>
  <c r="C428" i="56"/>
  <c r="AG437" i="56"/>
  <c r="C445" i="56"/>
  <c r="C444" i="56" s="1"/>
  <c r="I468" i="56"/>
  <c r="AB465" i="56"/>
  <c r="AB464" i="56" s="1"/>
  <c r="AA465" i="56"/>
  <c r="AA464" i="56" s="1"/>
  <c r="G481" i="56"/>
  <c r="I510" i="56"/>
  <c r="C531" i="56"/>
  <c r="AH555" i="56"/>
  <c r="P582" i="56"/>
  <c r="P581" i="56" s="1"/>
  <c r="I585" i="56"/>
  <c r="AH593" i="56"/>
  <c r="AH595" i="56"/>
  <c r="X600" i="56"/>
  <c r="X31" i="56" s="1"/>
  <c r="I600" i="56"/>
  <c r="W602" i="56"/>
  <c r="AD633" i="56"/>
  <c r="AD630" i="56" s="1"/>
  <c r="P601" i="56"/>
  <c r="AD601" i="56" s="1"/>
  <c r="K613" i="56"/>
  <c r="O613" i="56"/>
  <c r="S613" i="56"/>
  <c r="AH650" i="56"/>
  <c r="AI671" i="56"/>
  <c r="AJ671" i="56" s="1"/>
  <c r="AG731" i="56"/>
  <c r="S730" i="56"/>
  <c r="AG751" i="56"/>
  <c r="G368" i="56"/>
  <c r="U370" i="56"/>
  <c r="AL370" i="56" s="1"/>
  <c r="T386" i="56"/>
  <c r="AF396" i="56"/>
  <c r="AF354" i="56" s="1"/>
  <c r="I402" i="56"/>
  <c r="P408" i="56"/>
  <c r="AL414" i="56"/>
  <c r="T419" i="56"/>
  <c r="Y416" i="56"/>
  <c r="Y407" i="56" s="1"/>
  <c r="Y406" i="56" s="1"/>
  <c r="Z428" i="56"/>
  <c r="AD428" i="56"/>
  <c r="W430" i="56"/>
  <c r="T438" i="56"/>
  <c r="R452" i="56"/>
  <c r="R451" i="56" s="1"/>
  <c r="AA452" i="56"/>
  <c r="AA451" i="56" s="1"/>
  <c r="AD452" i="56"/>
  <c r="AD451" i="56" s="1"/>
  <c r="K462" i="56"/>
  <c r="K461" i="56" s="1"/>
  <c r="Y461" i="56" s="1"/>
  <c r="R465" i="56"/>
  <c r="R464" i="56" s="1"/>
  <c r="G477" i="56"/>
  <c r="AL484" i="56"/>
  <c r="U487" i="56"/>
  <c r="X508" i="56"/>
  <c r="X507" i="56" s="1"/>
  <c r="AC508" i="56"/>
  <c r="AC507" i="56" s="1"/>
  <c r="AH510" i="56"/>
  <c r="AH509" i="56" s="1"/>
  <c r="C509" i="56"/>
  <c r="AE508" i="56"/>
  <c r="AE507" i="56" s="1"/>
  <c r="U516" i="56"/>
  <c r="AD522" i="56"/>
  <c r="W522" i="56" s="1"/>
  <c r="AD523" i="56"/>
  <c r="W523" i="56" s="1"/>
  <c r="U523" i="56" s="1"/>
  <c r="P526" i="56"/>
  <c r="I526" i="56" s="1"/>
  <c r="G526" i="56" s="1"/>
  <c r="P527" i="56"/>
  <c r="I527" i="56" s="1"/>
  <c r="G527" i="56" s="1"/>
  <c r="AD529" i="56"/>
  <c r="AH545" i="56"/>
  <c r="AH544" i="56" s="1"/>
  <c r="AH543" i="56" s="1"/>
  <c r="W563" i="56"/>
  <c r="AI566" i="56"/>
  <c r="AJ566" i="56" s="1"/>
  <c r="C584" i="56"/>
  <c r="T587" i="56"/>
  <c r="V587" i="56"/>
  <c r="V18" i="56" s="1"/>
  <c r="AE587" i="56"/>
  <c r="AE18" i="56" s="1"/>
  <c r="Q584" i="56"/>
  <c r="T594" i="56"/>
  <c r="T25" i="56" s="1"/>
  <c r="V594" i="56"/>
  <c r="Y601" i="56"/>
  <c r="Y32" i="56" s="1"/>
  <c r="K598" i="56"/>
  <c r="Y598" i="56" s="1"/>
  <c r="AH601" i="56"/>
  <c r="AH626" i="56"/>
  <c r="W628" i="56"/>
  <c r="P630" i="56"/>
  <c r="P614" i="56" s="1"/>
  <c r="P613" i="56" s="1"/>
  <c r="W650" i="56"/>
  <c r="AH651" i="56"/>
  <c r="AH653" i="56"/>
  <c r="U653" i="56" s="1"/>
  <c r="AI653" i="56" s="1"/>
  <c r="AJ653" i="56" s="1"/>
  <c r="Y660" i="56"/>
  <c r="K644" i="56"/>
  <c r="K643" i="56" s="1"/>
  <c r="AC660" i="56"/>
  <c r="O644" i="56"/>
  <c r="O643" i="56" s="1"/>
  <c r="AG660" i="56"/>
  <c r="S644" i="56"/>
  <c r="S643" i="56" s="1"/>
  <c r="G678" i="56"/>
  <c r="I677" i="56"/>
  <c r="Y675" i="56"/>
  <c r="Y674" i="56" s="1"/>
  <c r="AC675" i="56"/>
  <c r="AC674" i="56" s="1"/>
  <c r="AG675" i="56"/>
  <c r="W680" i="56"/>
  <c r="AA691" i="56"/>
  <c r="M675" i="56"/>
  <c r="M674" i="56" s="1"/>
  <c r="Z705" i="56"/>
  <c r="Z704" i="56" s="1"/>
  <c r="AD705" i="56"/>
  <c r="AD704" i="56" s="1"/>
  <c r="V735" i="56"/>
  <c r="V734" i="56" s="1"/>
  <c r="W743" i="56"/>
  <c r="G370" i="56"/>
  <c r="AH375" i="56"/>
  <c r="G382" i="56"/>
  <c r="S354" i="56"/>
  <c r="AI403" i="56"/>
  <c r="AI404" i="56"/>
  <c r="AI411" i="56"/>
  <c r="V412" i="56"/>
  <c r="AL413" i="56"/>
  <c r="AD416" i="56"/>
  <c r="W422" i="56"/>
  <c r="W438" i="56"/>
  <c r="AH445" i="56"/>
  <c r="AH444" i="56" s="1"/>
  <c r="AB452" i="56"/>
  <c r="AB451" i="56" s="1"/>
  <c r="AF452" i="56"/>
  <c r="AF451" i="56" s="1"/>
  <c r="G475" i="56"/>
  <c r="AH479" i="56"/>
  <c r="P480" i="56"/>
  <c r="I480" i="56" s="1"/>
  <c r="AI484" i="56"/>
  <c r="G487" i="56"/>
  <c r="G499" i="56"/>
  <c r="T506" i="56"/>
  <c r="G506" i="56" s="1"/>
  <c r="T510" i="56"/>
  <c r="T509" i="56" s="1"/>
  <c r="K508" i="56"/>
  <c r="O508" i="56"/>
  <c r="AA508" i="56"/>
  <c r="AA507" i="56" s="1"/>
  <c r="U520" i="56"/>
  <c r="P521" i="56"/>
  <c r="I521" i="56" s="1"/>
  <c r="U530" i="56"/>
  <c r="W545" i="56"/>
  <c r="U545" i="56" s="1"/>
  <c r="G546" i="56"/>
  <c r="AL546" i="56" s="1"/>
  <c r="P555" i="56"/>
  <c r="W559" i="56"/>
  <c r="W555" i="56" s="1"/>
  <c r="G561" i="56"/>
  <c r="AL561" i="56" s="1"/>
  <c r="C563" i="56"/>
  <c r="AL569" i="56"/>
  <c r="L582" i="56"/>
  <c r="L581" i="56" s="1"/>
  <c r="Z584" i="56"/>
  <c r="AD582" i="56"/>
  <c r="AD581" i="56" s="1"/>
  <c r="X585" i="56"/>
  <c r="X16" i="56" s="1"/>
  <c r="I587" i="56"/>
  <c r="AB584" i="56"/>
  <c r="AF584" i="56"/>
  <c r="W590" i="56"/>
  <c r="U590" i="56" s="1"/>
  <c r="AI590" i="56" s="1"/>
  <c r="AJ590" i="56" s="1"/>
  <c r="P598" i="56"/>
  <c r="AD598" i="56" s="1"/>
  <c r="G617" i="56"/>
  <c r="W618" i="56"/>
  <c r="W622" i="56"/>
  <c r="T630" i="56"/>
  <c r="T614" i="56" s="1"/>
  <c r="T613" i="56" s="1"/>
  <c r="W632" i="56"/>
  <c r="AB630" i="56"/>
  <c r="AB614" i="56" s="1"/>
  <c r="AB613" i="56" s="1"/>
  <c r="AF630" i="56"/>
  <c r="AF614" i="56" s="1"/>
  <c r="AF613" i="56" s="1"/>
  <c r="AH634" i="56"/>
  <c r="W652" i="56"/>
  <c r="U652" i="56" s="1"/>
  <c r="AI652" i="56" s="1"/>
  <c r="AJ652" i="56" s="1"/>
  <c r="W656" i="56"/>
  <c r="AH657" i="56"/>
  <c r="W664" i="56"/>
  <c r="Q675" i="56"/>
  <c r="Q674" i="56" s="1"/>
  <c r="I698" i="56"/>
  <c r="G698" i="56" s="1"/>
  <c r="AG698" i="56"/>
  <c r="W698" i="56" s="1"/>
  <c r="U698" i="56" s="1"/>
  <c r="AI698" i="56" s="1"/>
  <c r="AJ698" i="56" s="1"/>
  <c r="T705" i="56"/>
  <c r="T704" i="56" s="1"/>
  <c r="W722" i="56"/>
  <c r="C598" i="56"/>
  <c r="Y614" i="56"/>
  <c r="Y613" i="56" s="1"/>
  <c r="AC614" i="56"/>
  <c r="AC613" i="56" s="1"/>
  <c r="AH619" i="56"/>
  <c r="AH621" i="56"/>
  <c r="AH622" i="56"/>
  <c r="U622" i="56" s="1"/>
  <c r="AI622" i="56" s="1"/>
  <c r="AJ622" i="56" s="1"/>
  <c r="G623" i="56"/>
  <c r="G625" i="56"/>
  <c r="G628" i="56"/>
  <c r="W629" i="56"/>
  <c r="AH631" i="56"/>
  <c r="AH633" i="56"/>
  <c r="AA630" i="56"/>
  <c r="AA614" i="56" s="1"/>
  <c r="AA613" i="56" s="1"/>
  <c r="G647" i="56"/>
  <c r="W649" i="56"/>
  <c r="G651" i="56"/>
  <c r="AH652" i="56"/>
  <c r="W654" i="56"/>
  <c r="G655" i="56"/>
  <c r="AH656" i="56"/>
  <c r="W658" i="56"/>
  <c r="AH659" i="56"/>
  <c r="U659" i="56" s="1"/>
  <c r="AI659" i="56" s="1"/>
  <c r="AJ659" i="56" s="1"/>
  <c r="G680" i="56"/>
  <c r="X675" i="56"/>
  <c r="X674" i="56" s="1"/>
  <c r="AB675" i="56"/>
  <c r="AB674" i="56" s="1"/>
  <c r="AF675" i="56"/>
  <c r="AF674" i="56" s="1"/>
  <c r="AH686" i="56"/>
  <c r="W688" i="56"/>
  <c r="T691" i="56"/>
  <c r="T675" i="56" s="1"/>
  <c r="T674" i="56" s="1"/>
  <c r="G694" i="56"/>
  <c r="S696" i="56"/>
  <c r="S674" i="56" s="1"/>
  <c r="AG697" i="56"/>
  <c r="AI703" i="56"/>
  <c r="AJ703" i="56" s="1"/>
  <c r="M704" i="56"/>
  <c r="W716" i="56"/>
  <c r="W739" i="56"/>
  <c r="G744" i="56"/>
  <c r="W746" i="56"/>
  <c r="G747" i="56"/>
  <c r="W748" i="56"/>
  <c r="Z751" i="56"/>
  <c r="Z735" i="56" s="1"/>
  <c r="Z734" i="56" s="1"/>
  <c r="AD751" i="56"/>
  <c r="AD735" i="56" s="1"/>
  <c r="AD734" i="56" s="1"/>
  <c r="Y751" i="56"/>
  <c r="Y735" i="56" s="1"/>
  <c r="Y734" i="56" s="1"/>
  <c r="W754" i="56"/>
  <c r="AB751" i="56"/>
  <c r="AH756" i="56"/>
  <c r="W758" i="56"/>
  <c r="C734" i="56"/>
  <c r="G903" i="56"/>
  <c r="AG905" i="56"/>
  <c r="I905" i="56"/>
  <c r="G905" i="56" s="1"/>
  <c r="S902" i="56"/>
  <c r="W766" i="56"/>
  <c r="U791" i="56"/>
  <c r="AI791" i="56" s="1"/>
  <c r="AJ791" i="56" s="1"/>
  <c r="I811" i="56"/>
  <c r="G811" i="56" s="1"/>
  <c r="AG811" i="56"/>
  <c r="W811" i="56" s="1"/>
  <c r="U811" i="56" s="1"/>
  <c r="U577" i="56"/>
  <c r="AA584" i="56"/>
  <c r="AA582" i="56" s="1"/>
  <c r="AA581" i="56" s="1"/>
  <c r="F584" i="56"/>
  <c r="T596" i="56"/>
  <c r="V596" i="56"/>
  <c r="C613" i="56"/>
  <c r="AH618" i="56"/>
  <c r="G624" i="56"/>
  <c r="W625" i="56"/>
  <c r="G627" i="56"/>
  <c r="G629" i="56"/>
  <c r="V630" i="56"/>
  <c r="I633" i="56"/>
  <c r="G633" i="56" s="1"/>
  <c r="G630" i="56" s="1"/>
  <c r="W647" i="56"/>
  <c r="AB646" i="56"/>
  <c r="AB644" i="56" s="1"/>
  <c r="AB643" i="56" s="1"/>
  <c r="AF646" i="56"/>
  <c r="AF644" i="56" s="1"/>
  <c r="AF643" i="56" s="1"/>
  <c r="G649" i="56"/>
  <c r="W651" i="56"/>
  <c r="AH655" i="56"/>
  <c r="G659" i="56"/>
  <c r="AH661" i="56"/>
  <c r="W663" i="56"/>
  <c r="AH664" i="56"/>
  <c r="G669" i="56"/>
  <c r="R675" i="56"/>
  <c r="R674" i="56" s="1"/>
  <c r="P704" i="56"/>
  <c r="AB705" i="56"/>
  <c r="AB704" i="56" s="1"/>
  <c r="AH710" i="56"/>
  <c r="V707" i="56"/>
  <c r="V705" i="56" s="1"/>
  <c r="V704" i="56" s="1"/>
  <c r="W720" i="56"/>
  <c r="G724" i="56"/>
  <c r="AG727" i="56"/>
  <c r="S726" i="56"/>
  <c r="AG735" i="56"/>
  <c r="W750" i="56"/>
  <c r="W763" i="56"/>
  <c r="I789" i="56"/>
  <c r="G790" i="56"/>
  <c r="W813" i="56"/>
  <c r="AG812" i="56"/>
  <c r="T847" i="56"/>
  <c r="T846" i="56" s="1"/>
  <c r="C846" i="56"/>
  <c r="Y863" i="56"/>
  <c r="K847" i="56"/>
  <c r="K846" i="56" s="1"/>
  <c r="AC863" i="56"/>
  <c r="O847" i="56"/>
  <c r="O846" i="56" s="1"/>
  <c r="AG863" i="56"/>
  <c r="S847" i="56"/>
  <c r="W661" i="56"/>
  <c r="AH662" i="56"/>
  <c r="U662" i="56" s="1"/>
  <c r="AI662" i="56" s="1"/>
  <c r="AJ662" i="56" s="1"/>
  <c r="Z677" i="56"/>
  <c r="Z675" i="56" s="1"/>
  <c r="Z674" i="56" s="1"/>
  <c r="AD677" i="56"/>
  <c r="AD675" i="56" s="1"/>
  <c r="AD674" i="56" s="1"/>
  <c r="W682" i="56"/>
  <c r="W687" i="56"/>
  <c r="G688" i="56"/>
  <c r="W689" i="56"/>
  <c r="AH690" i="56"/>
  <c r="W693" i="56"/>
  <c r="AH694" i="56"/>
  <c r="J674" i="56"/>
  <c r="N674" i="56"/>
  <c r="F704" i="56"/>
  <c r="Y707" i="56"/>
  <c r="AC707" i="56"/>
  <c r="AG707" i="56"/>
  <c r="W742" i="56"/>
  <c r="AH747" i="56"/>
  <c r="K735" i="56"/>
  <c r="K734" i="56" s="1"/>
  <c r="W757" i="56"/>
  <c r="G758" i="56"/>
  <c r="W759" i="56"/>
  <c r="AH760" i="56"/>
  <c r="G761" i="56"/>
  <c r="AH763" i="56"/>
  <c r="G764" i="56"/>
  <c r="W777" i="56"/>
  <c r="AG783" i="56"/>
  <c r="W783" i="56" s="1"/>
  <c r="S782" i="56"/>
  <c r="S734" i="56" s="1"/>
  <c r="W803" i="56"/>
  <c r="AF817" i="56"/>
  <c r="AF816" i="56" s="1"/>
  <c r="AH827" i="56"/>
  <c r="G664" i="56"/>
  <c r="AH679" i="56"/>
  <c r="W681" i="56"/>
  <c r="AH684" i="56"/>
  <c r="G689" i="56"/>
  <c r="AH692" i="56"/>
  <c r="AH691" i="56" s="1"/>
  <c r="G693" i="56"/>
  <c r="W694" i="56"/>
  <c r="U694" i="56" s="1"/>
  <c r="AI694" i="56" s="1"/>
  <c r="AJ694" i="56" s="1"/>
  <c r="AH695" i="56"/>
  <c r="AH708" i="56"/>
  <c r="G710" i="56"/>
  <c r="AH715" i="56"/>
  <c r="AH717" i="56"/>
  <c r="AH723" i="56"/>
  <c r="N735" i="56"/>
  <c r="N734" i="56" s="1"/>
  <c r="I737" i="56"/>
  <c r="AH740" i="56"/>
  <c r="AH737" i="56" s="1"/>
  <c r="W741" i="56"/>
  <c r="G742" i="56"/>
  <c r="W744" i="56"/>
  <c r="AH745" i="56"/>
  <c r="G746" i="56"/>
  <c r="W747" i="56"/>
  <c r="L735" i="56"/>
  <c r="L734" i="56" s="1"/>
  <c r="P735" i="56"/>
  <c r="P734" i="56" s="1"/>
  <c r="AC751" i="56"/>
  <c r="W761" i="56"/>
  <c r="AH769" i="56"/>
  <c r="V770" i="56"/>
  <c r="T770" i="56"/>
  <c r="AI815" i="56"/>
  <c r="AJ815" i="56" s="1"/>
  <c r="W820" i="56"/>
  <c r="X819" i="56"/>
  <c r="X817" i="56" s="1"/>
  <c r="X816" i="56" s="1"/>
  <c r="W827" i="56"/>
  <c r="I870" i="56"/>
  <c r="G870" i="56" s="1"/>
  <c r="AG870" i="56"/>
  <c r="W870" i="56" s="1"/>
  <c r="U870" i="56" s="1"/>
  <c r="AI870" i="56" s="1"/>
  <c r="AJ870" i="56" s="1"/>
  <c r="N877" i="56"/>
  <c r="N876" i="56" s="1"/>
  <c r="AB893" i="56"/>
  <c r="AB877" i="56" s="1"/>
  <c r="AB876" i="56" s="1"/>
  <c r="AG900" i="56"/>
  <c r="W900" i="56" s="1"/>
  <c r="U900" i="56" s="1"/>
  <c r="I900" i="56"/>
  <c r="G900" i="56" s="1"/>
  <c r="G898" i="56" s="1"/>
  <c r="S898" i="56"/>
  <c r="S876" i="56" s="1"/>
  <c r="T771" i="56"/>
  <c r="T775" i="56"/>
  <c r="AH777" i="56"/>
  <c r="W790" i="56"/>
  <c r="AH791" i="56"/>
  <c r="W799" i="56"/>
  <c r="AH804" i="56"/>
  <c r="S808" i="56"/>
  <c r="S786" i="56" s="1"/>
  <c r="I813" i="56"/>
  <c r="C817" i="56"/>
  <c r="C816" i="56" s="1"/>
  <c r="H816" i="56"/>
  <c r="W823" i="56"/>
  <c r="AH826" i="56"/>
  <c r="W829" i="56"/>
  <c r="G836" i="56"/>
  <c r="W837" i="56"/>
  <c r="J846" i="56"/>
  <c r="N846" i="56"/>
  <c r="R846" i="56"/>
  <c r="AH851" i="56"/>
  <c r="AH859" i="56"/>
  <c r="G860" i="56"/>
  <c r="AH862" i="56"/>
  <c r="W865" i="56"/>
  <c r="I869" i="56"/>
  <c r="G892" i="56"/>
  <c r="C877" i="56"/>
  <c r="C876" i="56" s="1"/>
  <c r="I904" i="56"/>
  <c r="G904" i="56" s="1"/>
  <c r="AI904" i="56" s="1"/>
  <c r="AJ904" i="56" s="1"/>
  <c r="AH792" i="56"/>
  <c r="W794" i="56"/>
  <c r="U794" i="56" s="1"/>
  <c r="AI794" i="56" s="1"/>
  <c r="AJ794" i="56" s="1"/>
  <c r="W795" i="56"/>
  <c r="AH798" i="56"/>
  <c r="AH802" i="56"/>
  <c r="W806" i="56"/>
  <c r="AI814" i="56"/>
  <c r="AJ814" i="56" s="1"/>
  <c r="AE817" i="56"/>
  <c r="AE816" i="56" s="1"/>
  <c r="AH820" i="56"/>
  <c r="AH822" i="56"/>
  <c r="W828" i="56"/>
  <c r="W831" i="56"/>
  <c r="W832" i="56"/>
  <c r="W836" i="56"/>
  <c r="Z847" i="56"/>
  <c r="Z846" i="56" s="1"/>
  <c r="AA849" i="56"/>
  <c r="AA847" i="56" s="1"/>
  <c r="AA846" i="56" s="1"/>
  <c r="AE849" i="56"/>
  <c r="AE847" i="56" s="1"/>
  <c r="AE846" i="56" s="1"/>
  <c r="W855" i="56"/>
  <c r="W859" i="56"/>
  <c r="AI874" i="56"/>
  <c r="AJ874" i="56" s="1"/>
  <c r="J877" i="56"/>
  <c r="J876" i="56" s="1"/>
  <c r="W881" i="56"/>
  <c r="AH882" i="56"/>
  <c r="W885" i="56"/>
  <c r="W889" i="56"/>
  <c r="AH892" i="56"/>
  <c r="Z877" i="56"/>
  <c r="Z876" i="56" s="1"/>
  <c r="AH896" i="56"/>
  <c r="T772" i="56"/>
  <c r="T774" i="56"/>
  <c r="T776" i="56"/>
  <c r="G777" i="56"/>
  <c r="AH794" i="56"/>
  <c r="AH795" i="56"/>
  <c r="U795" i="56" s="1"/>
  <c r="AI795" i="56" s="1"/>
  <c r="AJ795" i="56" s="1"/>
  <c r="W798" i="56"/>
  <c r="W802" i="56"/>
  <c r="W805" i="56"/>
  <c r="G806" i="56"/>
  <c r="W807" i="56"/>
  <c r="S812" i="56"/>
  <c r="Q816" i="56"/>
  <c r="W822" i="56"/>
  <c r="U822" i="56" s="1"/>
  <c r="AB819" i="56"/>
  <c r="W830" i="56"/>
  <c r="T833" i="56"/>
  <c r="G850" i="56"/>
  <c r="G849" i="56" s="1"/>
  <c r="W852" i="56"/>
  <c r="AD849" i="56"/>
  <c r="AH854" i="56"/>
  <c r="U854" i="56" s="1"/>
  <c r="AH856" i="56"/>
  <c r="G857" i="56"/>
  <c r="W857" i="56"/>
  <c r="W861" i="56"/>
  <c r="W863" i="56"/>
  <c r="W864" i="56"/>
  <c r="AH885" i="56"/>
  <c r="AH894" i="56"/>
  <c r="W896" i="56"/>
  <c r="AK108" i="56"/>
  <c r="AJ108" i="56"/>
  <c r="W34" i="56"/>
  <c r="D16" i="56"/>
  <c r="D15" i="56" s="1"/>
  <c r="D47" i="56"/>
  <c r="H47" i="56"/>
  <c r="G61" i="56"/>
  <c r="G70" i="56"/>
  <c r="AI70" i="56" s="1"/>
  <c r="P16" i="56"/>
  <c r="P15" i="56" s="1"/>
  <c r="P47" i="56"/>
  <c r="J16" i="56"/>
  <c r="J15" i="56" s="1"/>
  <c r="J47" i="56"/>
  <c r="V47" i="56"/>
  <c r="AB16" i="56"/>
  <c r="AB15" i="56" s="1"/>
  <c r="AB47" i="56"/>
  <c r="AF47" i="56"/>
  <c r="AF16" i="56"/>
  <c r="AF15" i="56" s="1"/>
  <c r="L47" i="56"/>
  <c r="R16" i="56"/>
  <c r="R15" i="56" s="1"/>
  <c r="G81" i="56"/>
  <c r="T64" i="56"/>
  <c r="T68" i="56"/>
  <c r="T69" i="56"/>
  <c r="G69" i="56" s="1"/>
  <c r="T79" i="56"/>
  <c r="G79" i="56" s="1"/>
  <c r="T83" i="56"/>
  <c r="Y111" i="56"/>
  <c r="AH111" i="56" s="1"/>
  <c r="I111" i="56"/>
  <c r="X147" i="56"/>
  <c r="X21" i="56" s="1"/>
  <c r="C16" i="56"/>
  <c r="C15" i="56" s="1"/>
  <c r="O16" i="56"/>
  <c r="O15" i="56" s="1"/>
  <c r="S16" i="56"/>
  <c r="S15" i="56" s="1"/>
  <c r="AA16" i="56"/>
  <c r="AA15" i="56" s="1"/>
  <c r="AE16" i="56"/>
  <c r="AH34" i="56"/>
  <c r="U34" i="56" s="1"/>
  <c r="AI34" i="56" s="1"/>
  <c r="AJ34" i="56" s="1"/>
  <c r="N51" i="56"/>
  <c r="N52" i="56"/>
  <c r="I52" i="56" s="1"/>
  <c r="G52" i="56" s="1"/>
  <c r="T53" i="56"/>
  <c r="G53" i="56" s="1"/>
  <c r="I54" i="56"/>
  <c r="T67" i="56"/>
  <c r="N67" i="56"/>
  <c r="I67" i="56" s="1"/>
  <c r="G67" i="56" s="1"/>
  <c r="T74" i="56"/>
  <c r="G74" i="56" s="1"/>
  <c r="I75" i="56"/>
  <c r="I83" i="56"/>
  <c r="G83" i="56" s="1"/>
  <c r="AI83" i="56" s="1"/>
  <c r="I104" i="56"/>
  <c r="Y104" i="56"/>
  <c r="T104" i="56"/>
  <c r="AE110" i="56"/>
  <c r="AE101" i="56" s="1"/>
  <c r="AE100" i="56" s="1"/>
  <c r="AE20" i="56" s="1"/>
  <c r="V113" i="56"/>
  <c r="H110" i="56"/>
  <c r="AI126" i="56"/>
  <c r="AL126" i="56"/>
  <c r="AJ128" i="56"/>
  <c r="U129" i="56"/>
  <c r="W125" i="56"/>
  <c r="V132" i="56"/>
  <c r="C134" i="56"/>
  <c r="C101" i="56" s="1"/>
  <c r="C100" i="56" s="1"/>
  <c r="C20" i="56" s="1"/>
  <c r="V138" i="56"/>
  <c r="T138" i="56"/>
  <c r="G138" i="56" s="1"/>
  <c r="W141" i="56"/>
  <c r="U150" i="56"/>
  <c r="AL163" i="56"/>
  <c r="AI163" i="56"/>
  <c r="AH166" i="56"/>
  <c r="AH165" i="56" s="1"/>
  <c r="AH24" i="56" s="1"/>
  <c r="W166" i="56"/>
  <c r="W165" i="56" s="1"/>
  <c r="Y165" i="56"/>
  <c r="Y24" i="56" s="1"/>
  <c r="AK172" i="56"/>
  <c r="AJ172" i="56"/>
  <c r="AH173" i="56"/>
  <c r="V171" i="56"/>
  <c r="V170" i="56" s="1"/>
  <c r="V26" i="56" s="1"/>
  <c r="G174" i="56"/>
  <c r="AI174" i="56" s="1"/>
  <c r="Q171" i="56"/>
  <c r="Q170" i="56" s="1"/>
  <c r="Q26" i="56" s="1"/>
  <c r="L181" i="56"/>
  <c r="L179" i="56" s="1"/>
  <c r="L178" i="56" s="1"/>
  <c r="L27" i="56" s="1"/>
  <c r="Z181" i="56"/>
  <c r="C184" i="56"/>
  <c r="P188" i="56"/>
  <c r="P187" i="56" s="1"/>
  <c r="H187" i="56"/>
  <c r="T188" i="56"/>
  <c r="K49" i="56"/>
  <c r="K48" i="56" s="1"/>
  <c r="T56" i="56"/>
  <c r="G56" i="56" s="1"/>
  <c r="N58" i="56"/>
  <c r="I58" i="56" s="1"/>
  <c r="T62" i="56"/>
  <c r="G62" i="56" s="1"/>
  <c r="N65" i="56"/>
  <c r="I65" i="56" s="1"/>
  <c r="T73" i="56"/>
  <c r="T78" i="56"/>
  <c r="G78" i="56" s="1"/>
  <c r="AL81" i="56"/>
  <c r="T82" i="56"/>
  <c r="G82" i="56" s="1"/>
  <c r="N85" i="56"/>
  <c r="I85" i="56" s="1"/>
  <c r="AG89" i="56"/>
  <c r="AG17" i="56" s="1"/>
  <c r="AG49" i="56"/>
  <c r="AG48" i="56" s="1"/>
  <c r="AH88" i="56"/>
  <c r="U88" i="56"/>
  <c r="T111" i="56"/>
  <c r="I112" i="56"/>
  <c r="Y112" i="56"/>
  <c r="T112" i="56"/>
  <c r="W114" i="56"/>
  <c r="W115" i="56"/>
  <c r="W116" i="56"/>
  <c r="W118" i="56"/>
  <c r="W119" i="56"/>
  <c r="S147" i="56"/>
  <c r="S21" i="56" s="1"/>
  <c r="AG121" i="56"/>
  <c r="AG147" i="56" s="1"/>
  <c r="AG21" i="56" s="1"/>
  <c r="I123" i="56"/>
  <c r="Y123" i="56"/>
  <c r="Y122" i="56" s="1"/>
  <c r="K122" i="56"/>
  <c r="T123" i="56"/>
  <c r="Z124" i="56"/>
  <c r="I124" i="56"/>
  <c r="G124" i="56" s="1"/>
  <c r="T124" i="56"/>
  <c r="AI130" i="56"/>
  <c r="AL130" i="56"/>
  <c r="T135" i="56"/>
  <c r="V135" i="56"/>
  <c r="T143" i="56"/>
  <c r="V143" i="56"/>
  <c r="M147" i="56"/>
  <c r="M21" i="56" s="1"/>
  <c r="AK162" i="56"/>
  <c r="AJ162" i="56"/>
  <c r="AH177" i="56"/>
  <c r="U177" i="56" s="1"/>
  <c r="W183" i="56"/>
  <c r="AH183" i="56"/>
  <c r="Y181" i="56"/>
  <c r="AH186" i="56"/>
  <c r="U186" i="56" s="1"/>
  <c r="AK218" i="56"/>
  <c r="AJ218" i="56"/>
  <c r="T55" i="56"/>
  <c r="T57" i="56"/>
  <c r="X122" i="56"/>
  <c r="W142" i="56"/>
  <c r="AH144" i="56"/>
  <c r="AD152" i="56"/>
  <c r="W152" i="56" s="1"/>
  <c r="AI154" i="56"/>
  <c r="AL154" i="56"/>
  <c r="AI160" i="56"/>
  <c r="AL160" i="56"/>
  <c r="S165" i="56"/>
  <c r="S24" i="56" s="1"/>
  <c r="I166" i="56"/>
  <c r="I165" i="56" s="1"/>
  <c r="U168" i="56"/>
  <c r="AI169" i="56"/>
  <c r="T182" i="56"/>
  <c r="P182" i="56"/>
  <c r="P181" i="56" s="1"/>
  <c r="H181" i="56"/>
  <c r="AH182" i="56"/>
  <c r="V181" i="56"/>
  <c r="AD182" i="56"/>
  <c r="AD181" i="56" s="1"/>
  <c r="U50" i="56"/>
  <c r="AH87" i="56"/>
  <c r="AH89" i="56" s="1"/>
  <c r="V89" i="56"/>
  <c r="V17" i="56" s="1"/>
  <c r="W109" i="56"/>
  <c r="U109" i="56" s="1"/>
  <c r="AG111" i="56"/>
  <c r="AG110" i="56" s="1"/>
  <c r="S110" i="56"/>
  <c r="T113" i="56"/>
  <c r="AH137" i="56"/>
  <c r="T140" i="56"/>
  <c r="I140" i="56"/>
  <c r="G50" i="56"/>
  <c r="M49" i="56"/>
  <c r="M48" i="56" s="1"/>
  <c r="T51" i="56"/>
  <c r="T54" i="56"/>
  <c r="I55" i="56"/>
  <c r="I57" i="56"/>
  <c r="T58" i="56"/>
  <c r="I64" i="56"/>
  <c r="G64" i="56" s="1"/>
  <c r="T65" i="56"/>
  <c r="I68" i="56"/>
  <c r="T75" i="56"/>
  <c r="I76" i="56"/>
  <c r="T76" i="56"/>
  <c r="T85" i="56"/>
  <c r="G87" i="56"/>
  <c r="G89" i="56" s="1"/>
  <c r="G17" i="56" s="1"/>
  <c r="Y89" i="56"/>
  <c r="W87" i="56"/>
  <c r="W89" i="56" s="1"/>
  <c r="Y49" i="56"/>
  <c r="Y48" i="56" s="1"/>
  <c r="T99" i="56"/>
  <c r="G94" i="56"/>
  <c r="Y102" i="56"/>
  <c r="AH102" i="56" s="1"/>
  <c r="T102" i="56"/>
  <c r="AH103" i="56"/>
  <c r="W106" i="56"/>
  <c r="U106" i="56" s="1"/>
  <c r="AL108" i="56"/>
  <c r="K110" i="56"/>
  <c r="V124" i="56"/>
  <c r="V122" i="56" s="1"/>
  <c r="H122" i="56"/>
  <c r="AA132" i="56"/>
  <c r="I132" i="56"/>
  <c r="G132" i="56" s="1"/>
  <c r="I133" i="56"/>
  <c r="Z135" i="56"/>
  <c r="L134" i="56"/>
  <c r="AA134" i="56"/>
  <c r="T137" i="56"/>
  <c r="I137" i="56"/>
  <c r="Y140" i="56"/>
  <c r="AH140" i="56" s="1"/>
  <c r="I143" i="56"/>
  <c r="G143" i="56" s="1"/>
  <c r="Z143" i="56"/>
  <c r="W143" i="56" s="1"/>
  <c r="W144" i="56"/>
  <c r="U144" i="56" s="1"/>
  <c r="AK159" i="56"/>
  <c r="AJ159" i="56"/>
  <c r="AI161" i="56"/>
  <c r="AL161" i="56"/>
  <c r="H165" i="56"/>
  <c r="H24" i="56" s="1"/>
  <c r="T166" i="56"/>
  <c r="T165" i="56" s="1"/>
  <c r="W167" i="56"/>
  <c r="W168" i="56"/>
  <c r="AL169" i="56"/>
  <c r="AF178" i="56"/>
  <c r="AF27" i="56" s="1"/>
  <c r="V184" i="56"/>
  <c r="AD190" i="56"/>
  <c r="W191" i="56"/>
  <c r="W190" i="56" s="1"/>
  <c r="V193" i="56"/>
  <c r="AH195" i="56"/>
  <c r="AH193" i="56" s="1"/>
  <c r="V196" i="56"/>
  <c r="AH198" i="56"/>
  <c r="U198" i="56" s="1"/>
  <c r="AK213" i="56"/>
  <c r="AJ213" i="56"/>
  <c r="AH230" i="56"/>
  <c r="AH229" i="56" s="1"/>
  <c r="V229" i="56"/>
  <c r="W239" i="56"/>
  <c r="U239" i="56" s="1"/>
  <c r="AE237" i="56"/>
  <c r="AE228" i="56" s="1"/>
  <c r="G240" i="56"/>
  <c r="I237" i="56"/>
  <c r="G245" i="56"/>
  <c r="G243" i="56" s="1"/>
  <c r="T243" i="56"/>
  <c r="T247" i="56"/>
  <c r="AK248" i="56"/>
  <c r="AJ248" i="56"/>
  <c r="AD256" i="56"/>
  <c r="AD255" i="56" s="1"/>
  <c r="V255" i="56"/>
  <c r="AH256" i="56"/>
  <c r="AH255" i="56" s="1"/>
  <c r="AL257" i="56"/>
  <c r="AI257" i="56"/>
  <c r="AK294" i="56"/>
  <c r="AJ324" i="56"/>
  <c r="AK91" i="56"/>
  <c r="AJ91" i="56"/>
  <c r="W93" i="56"/>
  <c r="X90" i="56"/>
  <c r="AF101" i="56"/>
  <c r="AF100" i="56" s="1"/>
  <c r="AF20" i="56" s="1"/>
  <c r="T103" i="56"/>
  <c r="P103" i="56"/>
  <c r="AL105" i="56"/>
  <c r="AI107" i="56"/>
  <c r="AL107" i="56"/>
  <c r="T109" i="56"/>
  <c r="X110" i="56"/>
  <c r="I113" i="56"/>
  <c r="AH114" i="56"/>
  <c r="AH115" i="56"/>
  <c r="AH116" i="56"/>
  <c r="AH117" i="56"/>
  <c r="AH118" i="56"/>
  <c r="AH119" i="56"/>
  <c r="H147" i="56"/>
  <c r="H21" i="56" s="1"/>
  <c r="T121" i="56"/>
  <c r="V121" i="56"/>
  <c r="T131" i="56"/>
  <c r="G131" i="56" s="1"/>
  <c r="V131" i="56"/>
  <c r="T133" i="56"/>
  <c r="AD134" i="56"/>
  <c r="T136" i="56"/>
  <c r="I136" i="56"/>
  <c r="K134" i="56"/>
  <c r="O134" i="56"/>
  <c r="O101" i="56" s="1"/>
  <c r="O100" i="56" s="1"/>
  <c r="AC136" i="56"/>
  <c r="AC134" i="56" s="1"/>
  <c r="N134" i="56"/>
  <c r="AB137" i="56"/>
  <c r="AB134" i="56" s="1"/>
  <c r="W140" i="56"/>
  <c r="V142" i="56"/>
  <c r="G142" i="56"/>
  <c r="P152" i="56"/>
  <c r="I152" i="56" s="1"/>
  <c r="T152" i="56"/>
  <c r="T151" i="56" s="1"/>
  <c r="T149" i="56" s="1"/>
  <c r="T148" i="56" s="1"/>
  <c r="AH153" i="56"/>
  <c r="G156" i="56"/>
  <c r="AL162" i="56"/>
  <c r="W173" i="56"/>
  <c r="AH180" i="56"/>
  <c r="AB179" i="56"/>
  <c r="AB178" i="56" s="1"/>
  <c r="AB27" i="56" s="1"/>
  <c r="P185" i="56"/>
  <c r="W189" i="56"/>
  <c r="Z187" i="56"/>
  <c r="AH189" i="56"/>
  <c r="AH187" i="56" s="1"/>
  <c r="T191" i="56"/>
  <c r="T190" i="56" s="1"/>
  <c r="G192" i="56"/>
  <c r="K193" i="56"/>
  <c r="AD194" i="56"/>
  <c r="AD193" i="56" s="1"/>
  <c r="T195" i="56"/>
  <c r="G195" i="56" s="1"/>
  <c r="K196" i="56"/>
  <c r="AD197" i="56"/>
  <c r="AD196" i="56" s="1"/>
  <c r="AH197" i="56"/>
  <c r="T198" i="56"/>
  <c r="G198" i="56" s="1"/>
  <c r="U199" i="56"/>
  <c r="I207" i="56"/>
  <c r="G207" i="56" s="1"/>
  <c r="K205" i="56"/>
  <c r="I209" i="56"/>
  <c r="G209" i="56" s="1"/>
  <c r="I215" i="56"/>
  <c r="G215" i="56" s="1"/>
  <c r="AI217" i="56"/>
  <c r="AL218" i="56"/>
  <c r="W223" i="56"/>
  <c r="W226" i="56"/>
  <c r="AH226" i="56"/>
  <c r="D228" i="56"/>
  <c r="AH236" i="56"/>
  <c r="U236" i="56" s="1"/>
  <c r="AG237" i="56"/>
  <c r="T237" i="56"/>
  <c r="AI245" i="56"/>
  <c r="AJ245" i="56" s="1"/>
  <c r="AL248" i="56"/>
  <c r="U250" i="56"/>
  <c r="T251" i="56"/>
  <c r="T249" i="56" s="1"/>
  <c r="AL253" i="56"/>
  <c r="T254" i="56"/>
  <c r="P255" i="56"/>
  <c r="U262" i="56"/>
  <c r="W274" i="56"/>
  <c r="AH274" i="56"/>
  <c r="AK328" i="56"/>
  <c r="AJ328" i="56"/>
  <c r="G342" i="56"/>
  <c r="AI343" i="56"/>
  <c r="G345" i="56"/>
  <c r="G344" i="56" s="1"/>
  <c r="I344" i="56"/>
  <c r="V190" i="56"/>
  <c r="AH191" i="56"/>
  <c r="AH190" i="56" s="1"/>
  <c r="W194" i="56"/>
  <c r="Y193" i="56"/>
  <c r="W197" i="56"/>
  <c r="Y196" i="56"/>
  <c r="AK204" i="56"/>
  <c r="T219" i="56"/>
  <c r="AI220" i="56"/>
  <c r="AL220" i="56"/>
  <c r="G222" i="56"/>
  <c r="G221" i="56" s="1"/>
  <c r="AH223" i="56"/>
  <c r="V225" i="56"/>
  <c r="G225" i="56"/>
  <c r="I230" i="56"/>
  <c r="AI234" i="56"/>
  <c r="W240" i="56"/>
  <c r="U240" i="56" s="1"/>
  <c r="Y237" i="56"/>
  <c r="Y228" i="56" s="1"/>
  <c r="AL242" i="56"/>
  <c r="AH254" i="56"/>
  <c r="U254" i="56" s="1"/>
  <c r="AL340" i="56"/>
  <c r="AI340" i="56"/>
  <c r="AL341" i="56"/>
  <c r="AI341" i="56"/>
  <c r="G93" i="56"/>
  <c r="I90" i="56"/>
  <c r="I18" i="56" s="1"/>
  <c r="U95" i="56"/>
  <c r="AH97" i="56"/>
  <c r="AH90" i="56" s="1"/>
  <c r="U98" i="56"/>
  <c r="Z104" i="56"/>
  <c r="I109" i="56"/>
  <c r="G109" i="56" s="1"/>
  <c r="Z112" i="56"/>
  <c r="AH112" i="56" s="1"/>
  <c r="L110" i="56"/>
  <c r="AB110" i="56"/>
  <c r="AA113" i="56"/>
  <c r="W113" i="56" s="1"/>
  <c r="M110" i="56"/>
  <c r="AC110" i="56"/>
  <c r="AI120" i="56"/>
  <c r="AL120" i="56"/>
  <c r="L147" i="56"/>
  <c r="L21" i="56" s="1"/>
  <c r="Z121" i="56"/>
  <c r="I121" i="56"/>
  <c r="Z122" i="56"/>
  <c r="AG122" i="56"/>
  <c r="AA124" i="56"/>
  <c r="AA122" i="56" s="1"/>
  <c r="M122" i="56"/>
  <c r="G127" i="56"/>
  <c r="G125" i="56" s="1"/>
  <c r="I125" i="56"/>
  <c r="AL128" i="56"/>
  <c r="W131" i="56"/>
  <c r="AH133" i="56"/>
  <c r="W133" i="56"/>
  <c r="AG135" i="56"/>
  <c r="AG134" i="56" s="1"/>
  <c r="S134" i="56"/>
  <c r="S101" i="56" s="1"/>
  <c r="S100" i="56" s="1"/>
  <c r="Y136" i="56"/>
  <c r="AH136" i="56" s="1"/>
  <c r="T139" i="56"/>
  <c r="V139" i="56"/>
  <c r="AH141" i="56"/>
  <c r="U141" i="56" s="1"/>
  <c r="I144" i="56"/>
  <c r="G144" i="56" s="1"/>
  <c r="G145" i="56"/>
  <c r="U146" i="56"/>
  <c r="I153" i="56"/>
  <c r="G153" i="56" s="1"/>
  <c r="U156" i="56"/>
  <c r="I158" i="56"/>
  <c r="I157" i="56" s="1"/>
  <c r="I23" i="56" s="1"/>
  <c r="T180" i="56"/>
  <c r="G180" i="56" s="1"/>
  <c r="I183" i="56"/>
  <c r="T183" i="56"/>
  <c r="AE179" i="56"/>
  <c r="AE178" i="56" s="1"/>
  <c r="AE27" i="56" s="1"/>
  <c r="I188" i="56"/>
  <c r="I187" i="56" s="1"/>
  <c r="T189" i="56"/>
  <c r="G189" i="56" s="1"/>
  <c r="P191" i="56"/>
  <c r="P190" i="56" s="1"/>
  <c r="P194" i="56"/>
  <c r="P193" i="56" s="1"/>
  <c r="T194" i="56"/>
  <c r="P197" i="56"/>
  <c r="P196" i="56" s="1"/>
  <c r="T197" i="56"/>
  <c r="I201" i="56"/>
  <c r="G201" i="56" s="1"/>
  <c r="AI201" i="56" s="1"/>
  <c r="U202" i="56"/>
  <c r="U203" i="56"/>
  <c r="AL204" i="56"/>
  <c r="P206" i="56"/>
  <c r="H205" i="56"/>
  <c r="T206" i="56"/>
  <c r="T205" i="56" s="1"/>
  <c r="AH207" i="56"/>
  <c r="U207" i="56" s="1"/>
  <c r="AL208" i="56"/>
  <c r="AH209" i="56"/>
  <c r="U209" i="56" s="1"/>
  <c r="U210" i="56"/>
  <c r="T211" i="56"/>
  <c r="G211" i="56" s="1"/>
  <c r="U211" i="56"/>
  <c r="T212" i="56"/>
  <c r="G212" i="56" s="1"/>
  <c r="AL212" i="56" s="1"/>
  <c r="G214" i="56"/>
  <c r="AH215" i="56"/>
  <c r="U215" i="56" s="1"/>
  <c r="G216" i="56"/>
  <c r="AI216" i="56" s="1"/>
  <c r="I219" i="56"/>
  <c r="G219" i="56" s="1"/>
  <c r="AH219" i="56"/>
  <c r="U219" i="56" s="1"/>
  <c r="I222" i="56"/>
  <c r="I221" i="56" s="1"/>
  <c r="AI224" i="56"/>
  <c r="AL224" i="56"/>
  <c r="Q228" i="56"/>
  <c r="T230" i="56"/>
  <c r="T229" i="56" s="1"/>
  <c r="S229" i="56"/>
  <c r="S228" i="56" s="1"/>
  <c r="W230" i="56"/>
  <c r="W229" i="56" s="1"/>
  <c r="AD229" i="56"/>
  <c r="K228" i="56"/>
  <c r="I233" i="56"/>
  <c r="P232" i="56"/>
  <c r="P229" i="56" s="1"/>
  <c r="T235" i="56"/>
  <c r="T236" i="56"/>
  <c r="G236" i="56" s="1"/>
  <c r="W241" i="56"/>
  <c r="U241" i="56" s="1"/>
  <c r="AI242" i="56"/>
  <c r="AI244" i="56"/>
  <c r="U243" i="56"/>
  <c r="P247" i="56"/>
  <c r="I247" i="56" s="1"/>
  <c r="AD247" i="56"/>
  <c r="W247" i="56" s="1"/>
  <c r="U247" i="56" s="1"/>
  <c r="I250" i="56"/>
  <c r="P249" i="56"/>
  <c r="W251" i="56"/>
  <c r="W249" i="56" s="1"/>
  <c r="U252" i="56"/>
  <c r="T256" i="56"/>
  <c r="T255" i="56" s="1"/>
  <c r="AL292" i="56"/>
  <c r="AI292" i="56"/>
  <c r="AK297" i="56"/>
  <c r="AJ297" i="56"/>
  <c r="AL350" i="56"/>
  <c r="AI350" i="56"/>
  <c r="I285" i="56"/>
  <c r="K283" i="56"/>
  <c r="K282" i="56" s="1"/>
  <c r="K32" i="56" s="1"/>
  <c r="AH288" i="56"/>
  <c r="U288" i="56" s="1"/>
  <c r="T289" i="56"/>
  <c r="G289" i="56" s="1"/>
  <c r="AI295" i="56"/>
  <c r="V290" i="56"/>
  <c r="V33" i="56" s="1"/>
  <c r="AH298" i="56"/>
  <c r="U298" i="56" s="1"/>
  <c r="U301" i="56"/>
  <c r="AL318" i="56"/>
  <c r="AI318" i="56"/>
  <c r="AL325" i="56"/>
  <c r="AI325" i="56"/>
  <c r="U338" i="56"/>
  <c r="AL338" i="56" s="1"/>
  <c r="AI339" i="56"/>
  <c r="W348" i="56"/>
  <c r="AG347" i="56"/>
  <c r="T359" i="56"/>
  <c r="G359" i="56" s="1"/>
  <c r="L356" i="56"/>
  <c r="L355" i="56" s="1"/>
  <c r="L354" i="56" s="1"/>
  <c r="I360" i="56"/>
  <c r="I356" i="56" s="1"/>
  <c r="I355" i="56" s="1"/>
  <c r="T374" i="56"/>
  <c r="G374" i="56" s="1"/>
  <c r="AL374" i="56" s="1"/>
  <c r="T380" i="56"/>
  <c r="G380" i="56" s="1"/>
  <c r="T384" i="56"/>
  <c r="G384" i="56" s="1"/>
  <c r="AH391" i="56"/>
  <c r="U391" i="56" s="1"/>
  <c r="AK411" i="56"/>
  <c r="AJ411" i="56"/>
  <c r="P235" i="56"/>
  <c r="I235" i="56" s="1"/>
  <c r="AD235" i="56"/>
  <c r="W235" i="56" s="1"/>
  <c r="U235" i="56" s="1"/>
  <c r="W256" i="56"/>
  <c r="W255" i="56" s="1"/>
  <c r="AJ264" i="56"/>
  <c r="AK264" i="56"/>
  <c r="G265" i="56"/>
  <c r="T274" i="56"/>
  <c r="G274" i="56" s="1"/>
  <c r="T275" i="56"/>
  <c r="G275" i="56"/>
  <c r="V271" i="56"/>
  <c r="V270" i="56" s="1"/>
  <c r="V31" i="56" s="1"/>
  <c r="S282" i="56"/>
  <c r="S32" i="56" s="1"/>
  <c r="AD287" i="56"/>
  <c r="AD282" i="56" s="1"/>
  <c r="AD32" i="56" s="1"/>
  <c r="H290" i="56"/>
  <c r="H33" i="56" s="1"/>
  <c r="S290" i="56"/>
  <c r="S33" i="56" s="1"/>
  <c r="AH293" i="56"/>
  <c r="AC293" i="56"/>
  <c r="AC290" i="56" s="1"/>
  <c r="AC33" i="56" s="1"/>
  <c r="I296" i="56"/>
  <c r="K290" i="56"/>
  <c r="K33" i="56" s="1"/>
  <c r="G299" i="56"/>
  <c r="AI299" i="56" s="1"/>
  <c r="AL300" i="56"/>
  <c r="AI300" i="56"/>
  <c r="U310" i="56"/>
  <c r="W309" i="56"/>
  <c r="AG311" i="56"/>
  <c r="W311" i="56" s="1"/>
  <c r="I311" i="56"/>
  <c r="G311" i="56" s="1"/>
  <c r="AA315" i="56"/>
  <c r="AA314" i="56" s="1"/>
  <c r="AE315" i="56"/>
  <c r="AE314" i="56" s="1"/>
  <c r="W320" i="56"/>
  <c r="AI323" i="56"/>
  <c r="AL328" i="56"/>
  <c r="AG330" i="56"/>
  <c r="AI333" i="56"/>
  <c r="AJ333" i="56" s="1"/>
  <c r="AI337" i="56"/>
  <c r="AJ337" i="56" s="1"/>
  <c r="T338" i="56"/>
  <c r="AL339" i="56"/>
  <c r="U345" i="56"/>
  <c r="W344" i="56"/>
  <c r="AI370" i="56"/>
  <c r="AL381" i="56"/>
  <c r="AI381" i="56"/>
  <c r="AI389" i="56"/>
  <c r="AL389" i="56"/>
  <c r="T391" i="56"/>
  <c r="G391" i="56" s="1"/>
  <c r="G114" i="56"/>
  <c r="G115" i="56"/>
  <c r="Y121" i="56"/>
  <c r="AC121" i="56"/>
  <c r="AC147" i="56" s="1"/>
  <c r="AC21" i="56" s="1"/>
  <c r="I135" i="56"/>
  <c r="I139" i="56"/>
  <c r="G139" i="56" s="1"/>
  <c r="G141" i="56"/>
  <c r="U233" i="56"/>
  <c r="AD263" i="56"/>
  <c r="W263" i="56" s="1"/>
  <c r="AH263" i="56"/>
  <c r="AI267" i="56"/>
  <c r="I269" i="56"/>
  <c r="T269" i="56"/>
  <c r="U272" i="56"/>
  <c r="AE271" i="56"/>
  <c r="AE270" i="56" s="1"/>
  <c r="AE31" i="56" s="1"/>
  <c r="I273" i="56"/>
  <c r="K271" i="56"/>
  <c r="K270" i="56" s="1"/>
  <c r="K31" i="56" s="1"/>
  <c r="R271" i="56"/>
  <c r="R270" i="56" s="1"/>
  <c r="R31" i="56" s="1"/>
  <c r="V283" i="56"/>
  <c r="V282" i="56" s="1"/>
  <c r="V32" i="56" s="1"/>
  <c r="AH284" i="56"/>
  <c r="AH285" i="56"/>
  <c r="U285" i="56" s="1"/>
  <c r="AH286" i="56"/>
  <c r="W286" i="56"/>
  <c r="AH289" i="56"/>
  <c r="I290" i="56"/>
  <c r="AG290" i="56"/>
  <c r="AG33" i="56" s="1"/>
  <c r="X293" i="56"/>
  <c r="T296" i="56"/>
  <c r="AL297" i="56"/>
  <c r="AL299" i="56"/>
  <c r="K315" i="56"/>
  <c r="K314" i="56" s="1"/>
  <c r="O315" i="56"/>
  <c r="O314" i="56" s="1"/>
  <c r="U316" i="56"/>
  <c r="AL317" i="56"/>
  <c r="AI317" i="56"/>
  <c r="S320" i="56"/>
  <c r="AL321" i="56"/>
  <c r="U320" i="56"/>
  <c r="AI321" i="56"/>
  <c r="AI322" i="56"/>
  <c r="AL329" i="56"/>
  <c r="AI329" i="56"/>
  <c r="AJ331" i="56"/>
  <c r="I333" i="56"/>
  <c r="G333" i="56" s="1"/>
  <c r="S330" i="56"/>
  <c r="W338" i="56"/>
  <c r="AL343" i="56"/>
  <c r="U342" i="56"/>
  <c r="S344" i="56"/>
  <c r="I347" i="56"/>
  <c r="G348" i="56"/>
  <c r="G347" i="56" s="1"/>
  <c r="N354" i="56"/>
  <c r="AL367" i="56"/>
  <c r="AI367" i="56"/>
  <c r="G373" i="56"/>
  <c r="T373" i="56"/>
  <c r="G383" i="56"/>
  <c r="T383" i="56"/>
  <c r="AI390" i="56"/>
  <c r="AL390" i="56"/>
  <c r="V399" i="56"/>
  <c r="T399" i="56"/>
  <c r="P102" i="56"/>
  <c r="I102" i="56" s="1"/>
  <c r="G102" i="56" s="1"/>
  <c r="AL258" i="56"/>
  <c r="AJ260" i="56"/>
  <c r="AJ258" i="56" s="1"/>
  <c r="U265" i="56"/>
  <c r="AH269" i="56"/>
  <c r="L271" i="56"/>
  <c r="L270" i="56" s="1"/>
  <c r="L31" i="56" s="1"/>
  <c r="L29" i="56" s="1"/>
  <c r="I272" i="56"/>
  <c r="S271" i="56"/>
  <c r="S270" i="56" s="1"/>
  <c r="S31" i="56" s="1"/>
  <c r="C271" i="56"/>
  <c r="C270" i="56" s="1"/>
  <c r="C31" i="56" s="1"/>
  <c r="T273" i="56"/>
  <c r="W275" i="56"/>
  <c r="AA271" i="56"/>
  <c r="AA270" i="56" s="1"/>
  <c r="AA31" i="56" s="1"/>
  <c r="AH275" i="56"/>
  <c r="T276" i="56"/>
  <c r="G276" i="56" s="1"/>
  <c r="T277" i="56"/>
  <c r="G277" i="56" s="1"/>
  <c r="AL277" i="56" s="1"/>
  <c r="G279" i="56"/>
  <c r="AL279" i="56" s="1"/>
  <c r="I280" i="56"/>
  <c r="G280" i="56" s="1"/>
  <c r="W284" i="56"/>
  <c r="T285" i="56"/>
  <c r="T283" i="56" s="1"/>
  <c r="I286" i="56"/>
  <c r="G286" i="56" s="1"/>
  <c r="P287" i="56"/>
  <c r="P282" i="56" s="1"/>
  <c r="P32" i="56" s="1"/>
  <c r="AE287" i="56"/>
  <c r="AE282" i="56" s="1"/>
  <c r="AH287" i="56"/>
  <c r="G288" i="56"/>
  <c r="U291" i="56"/>
  <c r="I293" i="56"/>
  <c r="G293" i="56" s="1"/>
  <c r="AH301" i="56"/>
  <c r="T302" i="56"/>
  <c r="G302" i="56" s="1"/>
  <c r="U302" i="56"/>
  <c r="G303" i="56"/>
  <c r="AH304" i="56"/>
  <c r="U304" i="56" s="1"/>
  <c r="T305" i="56"/>
  <c r="G305" i="56" s="1"/>
  <c r="U305" i="56"/>
  <c r="G306" i="56"/>
  <c r="AL306" i="56" s="1"/>
  <c r="W307" i="56"/>
  <c r="U307" i="56" s="1"/>
  <c r="AG309" i="56"/>
  <c r="S309" i="56"/>
  <c r="I310" i="56"/>
  <c r="W312" i="56"/>
  <c r="U312" i="56" s="1"/>
  <c r="T316" i="56"/>
  <c r="I316" i="56"/>
  <c r="AK319" i="56"/>
  <c r="I320" i="56"/>
  <c r="AG320" i="56"/>
  <c r="AL324" i="56"/>
  <c r="AL326" i="56"/>
  <c r="G331" i="56"/>
  <c r="G330" i="56" s="1"/>
  <c r="U331" i="56"/>
  <c r="U330" i="56" s="1"/>
  <c r="T342" i="56"/>
  <c r="AH349" i="56"/>
  <c r="AH313" i="56" s="1"/>
  <c r="U359" i="56"/>
  <c r="V356" i="56"/>
  <c r="V355" i="56" s="1"/>
  <c r="AH359" i="56"/>
  <c r="AI369" i="56"/>
  <c r="AL369" i="56"/>
  <c r="U372" i="56"/>
  <c r="AL376" i="56"/>
  <c r="AI376" i="56"/>
  <c r="AH394" i="56"/>
  <c r="U394" i="56" s="1"/>
  <c r="AK426" i="56"/>
  <c r="AJ426" i="56"/>
  <c r="P266" i="56"/>
  <c r="V266" i="56"/>
  <c r="AH268" i="56"/>
  <c r="AD269" i="56"/>
  <c r="W269" i="56" s="1"/>
  <c r="AH291" i="56"/>
  <c r="AH303" i="56"/>
  <c r="U303" i="56" s="1"/>
  <c r="AH311" i="56"/>
  <c r="AH308" i="56" s="1"/>
  <c r="T360" i="56"/>
  <c r="U362" i="56"/>
  <c r="G364" i="56"/>
  <c r="AI364" i="56" s="1"/>
  <c r="AI368" i="56"/>
  <c r="AH373" i="56"/>
  <c r="U373" i="56" s="1"/>
  <c r="U375" i="56"/>
  <c r="AK377" i="56"/>
  <c r="AJ377" i="56"/>
  <c r="G378" i="56"/>
  <c r="AL378" i="56" s="1"/>
  <c r="U380" i="56"/>
  <c r="AH383" i="56"/>
  <c r="U383" i="56" s="1"/>
  <c r="U384" i="56"/>
  <c r="AH386" i="56"/>
  <c r="U386" i="56"/>
  <c r="G388" i="56"/>
  <c r="AI388" i="56" s="1"/>
  <c r="AH395" i="56"/>
  <c r="O396" i="56"/>
  <c r="O354" i="56" s="1"/>
  <c r="I399" i="56"/>
  <c r="AL400" i="56"/>
  <c r="AI400" i="56"/>
  <c r="V402" i="56"/>
  <c r="G402" i="56"/>
  <c r="AG417" i="56"/>
  <c r="I417" i="56"/>
  <c r="G417" i="56" s="1"/>
  <c r="AC416" i="56"/>
  <c r="AC407" i="56" s="1"/>
  <c r="AC406" i="56" s="1"/>
  <c r="V427" i="56"/>
  <c r="T427" i="56"/>
  <c r="G427" i="56" s="1"/>
  <c r="AH429" i="56"/>
  <c r="U429" i="56" s="1"/>
  <c r="V428" i="56"/>
  <c r="AC455" i="56"/>
  <c r="W455" i="56" s="1"/>
  <c r="I455" i="56"/>
  <c r="AF465" i="56"/>
  <c r="AF464" i="56" s="1"/>
  <c r="AH357" i="56"/>
  <c r="W358" i="56"/>
  <c r="U358" i="56" s="1"/>
  <c r="AB356" i="56"/>
  <c r="AB355" i="56" s="1"/>
  <c r="G362" i="56"/>
  <c r="T363" i="56"/>
  <c r="G363" i="56" s="1"/>
  <c r="AH371" i="56"/>
  <c r="U371" i="56" s="1"/>
  <c r="T375" i="56"/>
  <c r="G375" i="56" s="1"/>
  <c r="U382" i="56"/>
  <c r="AH392" i="56"/>
  <c r="U392" i="56"/>
  <c r="W395" i="56"/>
  <c r="G397" i="56"/>
  <c r="T398" i="56"/>
  <c r="T396" i="56" s="1"/>
  <c r="W399" i="56"/>
  <c r="AJ403" i="56"/>
  <c r="AK403" i="56"/>
  <c r="AJ404" i="56"/>
  <c r="AK404" i="56"/>
  <c r="I409" i="56"/>
  <c r="G409" i="56" s="1"/>
  <c r="O416" i="56"/>
  <c r="O407" i="56" s="1"/>
  <c r="O406" i="56" s="1"/>
  <c r="AH419" i="56"/>
  <c r="AH422" i="56"/>
  <c r="AH423" i="56"/>
  <c r="W424" i="56"/>
  <c r="U424" i="56" s="1"/>
  <c r="AI440" i="56"/>
  <c r="AL440" i="56"/>
  <c r="AL442" i="56"/>
  <c r="AI442" i="56"/>
  <c r="AC454" i="56"/>
  <c r="AC452" i="56" s="1"/>
  <c r="AC451" i="56" s="1"/>
  <c r="O452" i="56"/>
  <c r="O451" i="56" s="1"/>
  <c r="T455" i="56"/>
  <c r="G455" i="56"/>
  <c r="Y457" i="56"/>
  <c r="Y452" i="56" s="1"/>
  <c r="Y451" i="56" s="1"/>
  <c r="K452" i="56"/>
  <c r="K451" i="56" s="1"/>
  <c r="I457" i="56"/>
  <c r="AG457" i="56"/>
  <c r="S452" i="56"/>
  <c r="S451" i="56" s="1"/>
  <c r="V458" i="56"/>
  <c r="T458" i="56"/>
  <c r="AI467" i="56"/>
  <c r="AL467" i="56"/>
  <c r="AH408" i="56"/>
  <c r="Q407" i="56"/>
  <c r="Q406" i="56" s="1"/>
  <c r="Q352" i="56" s="1"/>
  <c r="Q351" i="56" s="1"/>
  <c r="AE409" i="56"/>
  <c r="AE407" i="56" s="1"/>
  <c r="AE406" i="56" s="1"/>
  <c r="AE352" i="56" s="1"/>
  <c r="AE351" i="56" s="1"/>
  <c r="W409" i="56"/>
  <c r="U409" i="56" s="1"/>
  <c r="AH410" i="56"/>
  <c r="AI456" i="56"/>
  <c r="AL456" i="56"/>
  <c r="AI466" i="56"/>
  <c r="AK493" i="56"/>
  <c r="AJ493" i="56"/>
  <c r="P263" i="56"/>
  <c r="I263" i="56" s="1"/>
  <c r="H356" i="56"/>
  <c r="H355" i="56" s="1"/>
  <c r="T357" i="56"/>
  <c r="C356" i="56"/>
  <c r="C355" i="56" s="1"/>
  <c r="C354" i="56" s="1"/>
  <c r="AH360" i="56"/>
  <c r="U360" i="56"/>
  <c r="AH363" i="56"/>
  <c r="U363" i="56" s="1"/>
  <c r="T371" i="56"/>
  <c r="G371" i="56" s="1"/>
  <c r="AI378" i="56"/>
  <c r="U387" i="56"/>
  <c r="H396" i="56"/>
  <c r="AH398" i="56"/>
  <c r="V396" i="56"/>
  <c r="AG396" i="56"/>
  <c r="AG354" i="56" s="1"/>
  <c r="AB402" i="56"/>
  <c r="AB396" i="56" s="1"/>
  <c r="N396" i="56"/>
  <c r="AD408" i="56"/>
  <c r="I408" i="56"/>
  <c r="AF407" i="56"/>
  <c r="AF406" i="56" s="1"/>
  <c r="AH409" i="56"/>
  <c r="AL411" i="56"/>
  <c r="AG412" i="56"/>
  <c r="W412" i="56" s="1"/>
  <c r="U412" i="56" s="1"/>
  <c r="I412" i="56"/>
  <c r="AI413" i="56"/>
  <c r="AI414" i="56"/>
  <c r="AI415" i="56"/>
  <c r="X416" i="56"/>
  <c r="X407" i="56" s="1"/>
  <c r="X406" i="56" s="1"/>
  <c r="X352" i="56" s="1"/>
  <c r="X351" i="56" s="1"/>
  <c r="AF416" i="56"/>
  <c r="G421" i="56"/>
  <c r="V421" i="56"/>
  <c r="AB423" i="56"/>
  <c r="W423" i="56" s="1"/>
  <c r="U423" i="56" s="1"/>
  <c r="I423" i="56"/>
  <c r="N416" i="56"/>
  <c r="N407" i="56" s="1"/>
  <c r="N406" i="56" s="1"/>
  <c r="AH425" i="56"/>
  <c r="U425" i="56" s="1"/>
  <c r="I439" i="56"/>
  <c r="G439" i="56" s="1"/>
  <c r="M407" i="56"/>
  <c r="M406" i="56" s="1"/>
  <c r="M352" i="56" s="1"/>
  <c r="M351" i="56" s="1"/>
  <c r="AA439" i="56"/>
  <c r="W439" i="56" s="1"/>
  <c r="U439" i="56" s="1"/>
  <c r="G446" i="56"/>
  <c r="AL446" i="56" s="1"/>
  <c r="I445" i="56"/>
  <c r="I444" i="56" s="1"/>
  <c r="AK450" i="56"/>
  <c r="AJ450" i="56"/>
  <c r="V455" i="56"/>
  <c r="W458" i="56"/>
  <c r="AI482" i="56"/>
  <c r="AL482" i="56"/>
  <c r="AI492" i="56"/>
  <c r="AH405" i="56"/>
  <c r="U405" i="56" s="1"/>
  <c r="AH412" i="56"/>
  <c r="AH417" i="56"/>
  <c r="T420" i="56"/>
  <c r="G420" i="56" s="1"/>
  <c r="W421" i="56"/>
  <c r="I425" i="56"/>
  <c r="AL431" i="56"/>
  <c r="AI433" i="56"/>
  <c r="AL433" i="56"/>
  <c r="AI435" i="56"/>
  <c r="AL435" i="56"/>
  <c r="AH437" i="56"/>
  <c r="W437" i="56"/>
  <c r="G441" i="56"/>
  <c r="W447" i="56"/>
  <c r="AD445" i="56"/>
  <c r="AD444" i="56" s="1"/>
  <c r="G449" i="56"/>
  <c r="AI449" i="56" s="1"/>
  <c r="T454" i="56"/>
  <c r="G460" i="56"/>
  <c r="G459" i="56" s="1"/>
  <c r="H459" i="56"/>
  <c r="T460" i="56"/>
  <c r="T459" i="56" s="1"/>
  <c r="W468" i="56"/>
  <c r="AD470" i="56"/>
  <c r="AD465" i="56" s="1"/>
  <c r="AD464" i="56" s="1"/>
  <c r="P465" i="56"/>
  <c r="P464" i="56" s="1"/>
  <c r="AH470" i="56"/>
  <c r="V473" i="56"/>
  <c r="V472" i="56" s="1"/>
  <c r="T479" i="56"/>
  <c r="T473" i="56" s="1"/>
  <c r="P479" i="56"/>
  <c r="G483" i="56"/>
  <c r="T491" i="56"/>
  <c r="G491" i="56" s="1"/>
  <c r="AL545" i="56"/>
  <c r="AI545" i="56"/>
  <c r="AI570" i="56"/>
  <c r="AL570" i="56"/>
  <c r="Y469" i="56"/>
  <c r="Y465" i="56" s="1"/>
  <c r="Y464" i="56" s="1"/>
  <c r="AI471" i="56"/>
  <c r="AL471" i="56"/>
  <c r="AH474" i="56"/>
  <c r="AK484" i="56"/>
  <c r="AJ484" i="56"/>
  <c r="AH490" i="56"/>
  <c r="U490" i="56" s="1"/>
  <c r="AL492" i="56"/>
  <c r="AI512" i="56"/>
  <c r="AL512" i="56"/>
  <c r="AK558" i="56"/>
  <c r="AJ558" i="56"/>
  <c r="AK565" i="56"/>
  <c r="AJ565" i="56"/>
  <c r="G360" i="56"/>
  <c r="U365" i="56"/>
  <c r="Y396" i="56"/>
  <c r="Y354" i="56" s="1"/>
  <c r="P410" i="56"/>
  <c r="G412" i="56"/>
  <c r="H416" i="56"/>
  <c r="H407" i="56" s="1"/>
  <c r="H406" i="56" s="1"/>
  <c r="AG418" i="56"/>
  <c r="W418" i="56" s="1"/>
  <c r="W419" i="56"/>
  <c r="U419" i="56" s="1"/>
  <c r="V420" i="56"/>
  <c r="T422" i="56"/>
  <c r="G422" i="56" s="1"/>
  <c r="T425" i="56"/>
  <c r="G425" i="56" s="1"/>
  <c r="S428" i="56"/>
  <c r="S407" i="56" s="1"/>
  <c r="S406" i="56" s="1"/>
  <c r="X428" i="56"/>
  <c r="I429" i="56"/>
  <c r="AH430" i="56"/>
  <c r="U430" i="56" s="1"/>
  <c r="AI432" i="56"/>
  <c r="AL432" i="56"/>
  <c r="AI434" i="56"/>
  <c r="AL434" i="56"/>
  <c r="AI436" i="56"/>
  <c r="AL436" i="56"/>
  <c r="T437" i="56"/>
  <c r="G437" i="56" s="1"/>
  <c r="AH438" i="56"/>
  <c r="U438" i="56" s="1"/>
  <c r="AI441" i="56"/>
  <c r="AL441" i="56"/>
  <c r="AH443" i="56"/>
  <c r="Z453" i="56"/>
  <c r="I453" i="56"/>
  <c r="L452" i="56"/>
  <c r="L451" i="56" s="1"/>
  <c r="V454" i="56"/>
  <c r="H452" i="56"/>
  <c r="H451" i="56" s="1"/>
  <c r="AG452" i="56"/>
  <c r="AG451" i="56" s="1"/>
  <c r="I458" i="56"/>
  <c r="G458" i="56" s="1"/>
  <c r="AH460" i="56"/>
  <c r="AH459" i="56" s="1"/>
  <c r="T463" i="56"/>
  <c r="T462" i="56" s="1"/>
  <c r="T461" i="56" s="1"/>
  <c r="G463" i="56"/>
  <c r="G462" i="56" s="1"/>
  <c r="G461" i="56" s="1"/>
  <c r="AC463" i="56"/>
  <c r="AC462" i="56" s="1"/>
  <c r="O462" i="56"/>
  <c r="O461" i="56" s="1"/>
  <c r="AC461" i="56" s="1"/>
  <c r="V463" i="56"/>
  <c r="N465" i="56"/>
  <c r="N464" i="56" s="1"/>
  <c r="V468" i="56"/>
  <c r="G468" i="56"/>
  <c r="G465" i="56" s="1"/>
  <c r="G464" i="56" s="1"/>
  <c r="H465" i="56"/>
  <c r="H464" i="56" s="1"/>
  <c r="G474" i="56"/>
  <c r="U475" i="56"/>
  <c r="C473" i="56"/>
  <c r="C472" i="56" s="1"/>
  <c r="AH476" i="56"/>
  <c r="AD476" i="56"/>
  <c r="U479" i="56"/>
  <c r="U481" i="56"/>
  <c r="U483" i="56"/>
  <c r="AI485" i="56"/>
  <c r="AL485" i="56"/>
  <c r="AH491" i="56"/>
  <c r="U491" i="56" s="1"/>
  <c r="AK517" i="56"/>
  <c r="AJ517" i="56"/>
  <c r="G530" i="56"/>
  <c r="AI530" i="56" s="1"/>
  <c r="I528" i="56"/>
  <c r="AI533" i="56"/>
  <c r="AL533" i="56"/>
  <c r="U535" i="56"/>
  <c r="AI546" i="56"/>
  <c r="AI547" i="56"/>
  <c r="AL547" i="56"/>
  <c r="AI550" i="56"/>
  <c r="AL550" i="56"/>
  <c r="AK568" i="56"/>
  <c r="AJ568" i="56"/>
  <c r="AH418" i="56"/>
  <c r="G419" i="56"/>
  <c r="W420" i="56"/>
  <c r="U422" i="56"/>
  <c r="T423" i="56"/>
  <c r="G423" i="56" s="1"/>
  <c r="AL426" i="56"/>
  <c r="AG428" i="56"/>
  <c r="I430" i="56"/>
  <c r="G430" i="56" s="1"/>
  <c r="I438" i="56"/>
  <c r="G438" i="56" s="1"/>
  <c r="W443" i="56"/>
  <c r="H445" i="56"/>
  <c r="H444" i="56" s="1"/>
  <c r="P445" i="56"/>
  <c r="P444" i="56" s="1"/>
  <c r="G447" i="56"/>
  <c r="U448" i="56"/>
  <c r="T452" i="56"/>
  <c r="T451" i="56" s="1"/>
  <c r="I454" i="56"/>
  <c r="T457" i="56"/>
  <c r="AF463" i="56"/>
  <c r="AF462" i="56" s="1"/>
  <c r="R462" i="56"/>
  <c r="R461" i="56" s="1"/>
  <c r="AF461" i="56" s="1"/>
  <c r="AH461" i="56" s="1"/>
  <c r="O465" i="56"/>
  <c r="O464" i="56" s="1"/>
  <c r="I465" i="56"/>
  <c r="I464" i="56" s="1"/>
  <c r="AC465" i="56"/>
  <c r="AC464" i="56" s="1"/>
  <c r="I469" i="56"/>
  <c r="T470" i="56"/>
  <c r="G470" i="56" s="1"/>
  <c r="U478" i="56"/>
  <c r="AH480" i="56"/>
  <c r="AD480" i="56"/>
  <c r="W480" i="56" s="1"/>
  <c r="U480" i="56" s="1"/>
  <c r="AI487" i="56"/>
  <c r="AL487" i="56"/>
  <c r="AI488" i="56"/>
  <c r="AL488" i="56"/>
  <c r="AI489" i="56"/>
  <c r="AL489" i="56"/>
  <c r="T490" i="56"/>
  <c r="G490" i="56" s="1"/>
  <c r="AL493" i="56"/>
  <c r="T495" i="56"/>
  <c r="G495" i="56" s="1"/>
  <c r="AI496" i="56"/>
  <c r="AL496" i="56"/>
  <c r="AL516" i="56"/>
  <c r="AI516" i="56"/>
  <c r="AI511" i="56"/>
  <c r="AL511" i="56"/>
  <c r="AD513" i="56"/>
  <c r="W513" i="56" s="1"/>
  <c r="U513" i="56" s="1"/>
  <c r="AL517" i="56"/>
  <c r="AH521" i="56"/>
  <c r="AD521" i="56"/>
  <c r="W521" i="56" s="1"/>
  <c r="U521" i="56" s="1"/>
  <c r="AH526" i="56"/>
  <c r="AD526" i="56"/>
  <c r="W526" i="56" s="1"/>
  <c r="W524" i="56" s="1"/>
  <c r="T535" i="56"/>
  <c r="G535" i="56" s="1"/>
  <c r="AI552" i="56"/>
  <c r="AL552" i="56"/>
  <c r="G557" i="56"/>
  <c r="T556" i="56"/>
  <c r="T555" i="56" s="1"/>
  <c r="AI562" i="56"/>
  <c r="AL562" i="56"/>
  <c r="AL565" i="56"/>
  <c r="AI571" i="56"/>
  <c r="AL571" i="56"/>
  <c r="AI577" i="56"/>
  <c r="AL577" i="56"/>
  <c r="Y586" i="56"/>
  <c r="W586" i="56" s="1"/>
  <c r="T586" i="56"/>
  <c r="T17" i="56" s="1"/>
  <c r="AB582" i="56"/>
  <c r="AB581" i="56" s="1"/>
  <c r="W589" i="56"/>
  <c r="W591" i="56"/>
  <c r="U605" i="56"/>
  <c r="U624" i="56"/>
  <c r="AI624" i="56" s="1"/>
  <c r="AJ624" i="56" s="1"/>
  <c r="AI497" i="56"/>
  <c r="AL497" i="56"/>
  <c r="T498" i="56"/>
  <c r="G498" i="56"/>
  <c r="V498" i="56"/>
  <c r="AL505" i="56"/>
  <c r="H509" i="56"/>
  <c r="H508" i="56" s="1"/>
  <c r="W509" i="56"/>
  <c r="U510" i="56"/>
  <c r="T513" i="56"/>
  <c r="P513" i="56"/>
  <c r="I513" i="56" s="1"/>
  <c r="G513" i="56" s="1"/>
  <c r="AH513" i="56"/>
  <c r="T523" i="56"/>
  <c r="AD524" i="56"/>
  <c r="T525" i="56"/>
  <c r="T524" i="56" s="1"/>
  <c r="H524" i="56"/>
  <c r="P525" i="56"/>
  <c r="AH525" i="56"/>
  <c r="AH524" i="56" s="1"/>
  <c r="G529" i="56"/>
  <c r="AH532" i="56"/>
  <c r="AH531" i="56" s="1"/>
  <c r="T538" i="56"/>
  <c r="G538" i="56" s="1"/>
  <c r="V539" i="56"/>
  <c r="P539" i="56"/>
  <c r="T539" i="56"/>
  <c r="AH540" i="56"/>
  <c r="T541" i="56"/>
  <c r="W544" i="56"/>
  <c r="W543" i="56" s="1"/>
  <c r="I544" i="56"/>
  <c r="I543" i="56" s="1"/>
  <c r="T544" i="56"/>
  <c r="T543" i="56" s="1"/>
  <c r="AL548" i="56"/>
  <c r="U556" i="56"/>
  <c r="I563" i="56"/>
  <c r="AL568" i="56"/>
  <c r="AI569" i="56"/>
  <c r="T572" i="56"/>
  <c r="G572" i="56" s="1"/>
  <c r="AL573" i="56"/>
  <c r="AH576" i="56"/>
  <c r="U576" i="56" s="1"/>
  <c r="F582" i="56"/>
  <c r="Y587" i="56"/>
  <c r="K584" i="56"/>
  <c r="K582" i="56" s="1"/>
  <c r="K581" i="56" s="1"/>
  <c r="AC587" i="56"/>
  <c r="O584" i="56"/>
  <c r="O582" i="56" s="1"/>
  <c r="O581" i="56" s="1"/>
  <c r="AG587" i="56"/>
  <c r="S584" i="56"/>
  <c r="S582" i="56" s="1"/>
  <c r="AH600" i="56"/>
  <c r="AH598" i="56" s="1"/>
  <c r="G457" i="56"/>
  <c r="G469" i="56"/>
  <c r="G476" i="56"/>
  <c r="U477" i="56"/>
  <c r="G480" i="56"/>
  <c r="AL486" i="56"/>
  <c r="AI494" i="56"/>
  <c r="AL494" i="56"/>
  <c r="U495" i="56"/>
  <c r="I498" i="56"/>
  <c r="AK500" i="56"/>
  <c r="C502" i="56"/>
  <c r="C501" i="56" s="1"/>
  <c r="AI505" i="56"/>
  <c r="AH506" i="56"/>
  <c r="AH502" i="56" s="1"/>
  <c r="AH501" i="56" s="1"/>
  <c r="W506" i="56"/>
  <c r="X502" i="56"/>
  <c r="X501" i="56" s="1"/>
  <c r="I509" i="56"/>
  <c r="Z508" i="56"/>
  <c r="Z507" i="56" s="1"/>
  <c r="C508" i="56"/>
  <c r="C507" i="56" s="1"/>
  <c r="J508" i="56"/>
  <c r="J507" i="56" s="1"/>
  <c r="J268" i="56" s="1"/>
  <c r="J228" i="56" s="1"/>
  <c r="N508" i="56"/>
  <c r="N507" i="56" s="1"/>
  <c r="N268" i="56" s="1"/>
  <c r="AB268" i="56" s="1"/>
  <c r="AB228" i="56" s="1"/>
  <c r="S508" i="56"/>
  <c r="S507" i="56" s="1"/>
  <c r="AH515" i="56"/>
  <c r="AH514" i="56" s="1"/>
  <c r="AD515" i="56"/>
  <c r="G518" i="56"/>
  <c r="G520" i="56"/>
  <c r="AL520" i="56" s="1"/>
  <c r="AI520" i="56"/>
  <c r="V524" i="56"/>
  <c r="P528" i="56"/>
  <c r="W529" i="56"/>
  <c r="AD528" i="56"/>
  <c r="I532" i="56"/>
  <c r="AH535" i="56"/>
  <c r="G536" i="56"/>
  <c r="U536" i="56"/>
  <c r="AH537" i="56"/>
  <c r="W537" i="56"/>
  <c r="P540" i="56"/>
  <c r="AD540" i="56" s="1"/>
  <c r="W540" i="56" s="1"/>
  <c r="U540" i="56" s="1"/>
  <c r="T540" i="56"/>
  <c r="P541" i="56"/>
  <c r="AD541" i="56" s="1"/>
  <c r="Y541" i="56"/>
  <c r="W541" i="56" s="1"/>
  <c r="T542" i="56"/>
  <c r="G542" i="56"/>
  <c r="P542" i="56"/>
  <c r="I542" i="56" s="1"/>
  <c r="AH542" i="56"/>
  <c r="U542" i="56" s="1"/>
  <c r="AI553" i="56"/>
  <c r="AL553" i="56"/>
  <c r="U559" i="56"/>
  <c r="G560" i="56"/>
  <c r="AL560" i="56" s="1"/>
  <c r="AI561" i="56"/>
  <c r="AK566" i="56"/>
  <c r="AI567" i="56"/>
  <c r="AL567" i="56"/>
  <c r="AI573" i="56"/>
  <c r="AJ574" i="56"/>
  <c r="AK574" i="56"/>
  <c r="U578" i="56"/>
  <c r="I584" i="56"/>
  <c r="AE584" i="56"/>
  <c r="W585" i="56"/>
  <c r="AH594" i="56"/>
  <c r="AH596" i="56"/>
  <c r="W498" i="56"/>
  <c r="U499" i="56"/>
  <c r="AL500" i="56"/>
  <c r="T503" i="56"/>
  <c r="T502" i="56" s="1"/>
  <c r="T501" i="56" s="1"/>
  <c r="H502" i="56"/>
  <c r="H501" i="56" s="1"/>
  <c r="P503" i="56"/>
  <c r="G504" i="56"/>
  <c r="AD504" i="56"/>
  <c r="G510" i="56"/>
  <c r="G509" i="56" s="1"/>
  <c r="F507" i="56"/>
  <c r="F352" i="56" s="1"/>
  <c r="F351" i="56" s="1"/>
  <c r="K507" i="56"/>
  <c r="O507" i="56"/>
  <c r="O268" i="56" s="1"/>
  <c r="AC268" i="56" s="1"/>
  <c r="AC228" i="56" s="1"/>
  <c r="T514" i="56"/>
  <c r="G519" i="56"/>
  <c r="AL519" i="56" s="1"/>
  <c r="G523" i="56"/>
  <c r="AL523" i="56" s="1"/>
  <c r="U525" i="56"/>
  <c r="U534" i="56"/>
  <c r="G548" i="56"/>
  <c r="U549" i="56"/>
  <c r="U544" i="56" s="1"/>
  <c r="G551" i="56"/>
  <c r="I559" i="56"/>
  <c r="G564" i="56"/>
  <c r="AH564" i="56"/>
  <c r="V563" i="56"/>
  <c r="AL566" i="56"/>
  <c r="AH572" i="56"/>
  <c r="U572" i="56"/>
  <c r="T576" i="56"/>
  <c r="G576" i="56" s="1"/>
  <c r="V588" i="56"/>
  <c r="T588" i="56"/>
  <c r="W588" i="56"/>
  <c r="W19" i="56" s="1"/>
  <c r="AH592" i="56"/>
  <c r="AH23" i="56" s="1"/>
  <c r="U629" i="56"/>
  <c r="AI629" i="56" s="1"/>
  <c r="AJ629" i="56" s="1"/>
  <c r="T585" i="56"/>
  <c r="T584" i="56" s="1"/>
  <c r="AH586" i="56"/>
  <c r="AH587" i="56"/>
  <c r="T589" i="56"/>
  <c r="G589" i="56" s="1"/>
  <c r="T591" i="56"/>
  <c r="G591" i="56" s="1"/>
  <c r="T592" i="56"/>
  <c r="T23" i="56" s="1"/>
  <c r="W593" i="56"/>
  <c r="U593" i="56" s="1"/>
  <c r="W595" i="56"/>
  <c r="U595" i="56" s="1"/>
  <c r="W597" i="56"/>
  <c r="U597" i="56" s="1"/>
  <c r="W599" i="56"/>
  <c r="U599" i="56" s="1"/>
  <c r="AH602" i="56"/>
  <c r="U602" i="56" s="1"/>
  <c r="W603" i="56"/>
  <c r="W617" i="56"/>
  <c r="W620" i="56"/>
  <c r="W621" i="56"/>
  <c r="U621" i="56" s="1"/>
  <c r="AI621" i="56" s="1"/>
  <c r="AJ621" i="56" s="1"/>
  <c r="AH625" i="56"/>
  <c r="U625" i="56" s="1"/>
  <c r="AI625" i="56" s="1"/>
  <c r="AJ625" i="56" s="1"/>
  <c r="AH629" i="56"/>
  <c r="AH632" i="56"/>
  <c r="U632" i="56" s="1"/>
  <c r="AI632" i="56" s="1"/>
  <c r="AJ632" i="56" s="1"/>
  <c r="U670" i="56"/>
  <c r="W669" i="56"/>
  <c r="AH630" i="56"/>
  <c r="W636" i="56"/>
  <c r="AG635" i="56"/>
  <c r="AG613" i="56" s="1"/>
  <c r="W640" i="56"/>
  <c r="AG639" i="56"/>
  <c r="W646" i="56"/>
  <c r="U648" i="56"/>
  <c r="AI648" i="56" s="1"/>
  <c r="AJ648" i="56" s="1"/>
  <c r="U651" i="56"/>
  <c r="AI651" i="56" s="1"/>
  <c r="AJ651" i="56" s="1"/>
  <c r="G515" i="56"/>
  <c r="G521" i="56"/>
  <c r="U522" i="56"/>
  <c r="U527" i="56"/>
  <c r="AD532" i="56"/>
  <c r="AD531" i="56" s="1"/>
  <c r="H544" i="56"/>
  <c r="H543" i="56" s="1"/>
  <c r="T575" i="56"/>
  <c r="G575" i="56" s="1"/>
  <c r="AH575" i="56"/>
  <c r="U575" i="56" s="1"/>
  <c r="T579" i="56"/>
  <c r="G579" i="56" s="1"/>
  <c r="AH579" i="56"/>
  <c r="U579" i="56" s="1"/>
  <c r="J584" i="56"/>
  <c r="N584" i="56"/>
  <c r="R584" i="56"/>
  <c r="V585" i="56"/>
  <c r="X587" i="56"/>
  <c r="V589" i="56"/>
  <c r="V591" i="56"/>
  <c r="V22" i="56" s="1"/>
  <c r="W592" i="56"/>
  <c r="U592" i="56" s="1"/>
  <c r="T593" i="56"/>
  <c r="G593" i="56" s="1"/>
  <c r="W594" i="56"/>
  <c r="T595" i="56"/>
  <c r="T26" i="56" s="1"/>
  <c r="W596" i="56"/>
  <c r="U596" i="56" s="1"/>
  <c r="AI596" i="56" s="1"/>
  <c r="AJ596" i="56" s="1"/>
  <c r="T597" i="56"/>
  <c r="T28" i="56" s="1"/>
  <c r="J598" i="56"/>
  <c r="X598" i="56" s="1"/>
  <c r="N598" i="56"/>
  <c r="AB598" i="56" s="1"/>
  <c r="R598" i="56"/>
  <c r="AF598" i="56" s="1"/>
  <c r="AF582" i="56" s="1"/>
  <c r="AF581" i="56" s="1"/>
  <c r="T599" i="56"/>
  <c r="T598" i="56" s="1"/>
  <c r="W600" i="56"/>
  <c r="T601" i="56"/>
  <c r="T602" i="56"/>
  <c r="V603" i="56"/>
  <c r="T603" i="56"/>
  <c r="S607" i="56"/>
  <c r="S604" i="56" s="1"/>
  <c r="F604" i="56"/>
  <c r="S611" i="56"/>
  <c r="F608" i="56"/>
  <c r="Z616" i="56"/>
  <c r="Z614" i="56" s="1"/>
  <c r="Z613" i="56" s="1"/>
  <c r="AD616" i="56"/>
  <c r="AD614" i="56" s="1"/>
  <c r="AH617" i="56"/>
  <c r="AH616" i="56" s="1"/>
  <c r="W619" i="56"/>
  <c r="U619" i="56" s="1"/>
  <c r="AI619" i="56" s="1"/>
  <c r="AJ619" i="56" s="1"/>
  <c r="U631" i="56"/>
  <c r="Y644" i="56"/>
  <c r="Y643" i="56" s="1"/>
  <c r="AC644" i="56"/>
  <c r="AC643" i="56" s="1"/>
  <c r="AG644" i="56"/>
  <c r="U655" i="56"/>
  <c r="AI655" i="56" s="1"/>
  <c r="AJ655" i="56" s="1"/>
  <c r="U657" i="56"/>
  <c r="AI657" i="56" s="1"/>
  <c r="AJ657" i="56" s="1"/>
  <c r="U664" i="56"/>
  <c r="AI664" i="56" s="1"/>
  <c r="AJ664" i="56" s="1"/>
  <c r="W666" i="56"/>
  <c r="AG665" i="56"/>
  <c r="I593" i="56"/>
  <c r="I595" i="56"/>
  <c r="G595" i="56" s="1"/>
  <c r="I597" i="56"/>
  <c r="G597" i="56" s="1"/>
  <c r="I599" i="56"/>
  <c r="G599" i="56" s="1"/>
  <c r="Q601" i="56"/>
  <c r="I602" i="56"/>
  <c r="I603" i="56"/>
  <c r="G603" i="56" s="1"/>
  <c r="AG606" i="56"/>
  <c r="AG610" i="56"/>
  <c r="G616" i="56"/>
  <c r="V616" i="56"/>
  <c r="V614" i="56" s="1"/>
  <c r="V613" i="56" s="1"/>
  <c r="AH620" i="56"/>
  <c r="AH623" i="56"/>
  <c r="U623" i="56" s="1"/>
  <c r="AI623" i="56" s="1"/>
  <c r="AJ623" i="56" s="1"/>
  <c r="AH624" i="56"/>
  <c r="U626" i="56"/>
  <c r="AI626" i="56" s="1"/>
  <c r="AJ626" i="56" s="1"/>
  <c r="AH627" i="56"/>
  <c r="U627" i="56" s="1"/>
  <c r="AI627" i="56" s="1"/>
  <c r="AJ627" i="56" s="1"/>
  <c r="AH628" i="56"/>
  <c r="U628" i="56" s="1"/>
  <c r="AI628" i="56" s="1"/>
  <c r="AJ628" i="56" s="1"/>
  <c r="I630" i="56"/>
  <c r="I614" i="56" s="1"/>
  <c r="Q630" i="56"/>
  <c r="Q614" i="56" s="1"/>
  <c r="Q613" i="56" s="1"/>
  <c r="AE633" i="56"/>
  <c r="AE630" i="56" s="1"/>
  <c r="AE614" i="56" s="1"/>
  <c r="AE613" i="56" s="1"/>
  <c r="AD634" i="56"/>
  <c r="W634" i="56" s="1"/>
  <c r="U634" i="56" s="1"/>
  <c r="I634" i="56"/>
  <c r="G634" i="56" s="1"/>
  <c r="G646" i="56"/>
  <c r="G644" i="56" s="1"/>
  <c r="Z644" i="56"/>
  <c r="Z643" i="56" s="1"/>
  <c r="AD644" i="56"/>
  <c r="AD643" i="56" s="1"/>
  <c r="U649" i="56"/>
  <c r="AI649" i="56" s="1"/>
  <c r="AJ649" i="56" s="1"/>
  <c r="U650" i="56"/>
  <c r="AI650" i="56" s="1"/>
  <c r="AJ650" i="56" s="1"/>
  <c r="W660" i="56"/>
  <c r="AI667" i="56"/>
  <c r="AJ667" i="56" s="1"/>
  <c r="U681" i="56"/>
  <c r="AI681" i="56" s="1"/>
  <c r="AJ681" i="56" s="1"/>
  <c r="AH654" i="56"/>
  <c r="U654" i="56" s="1"/>
  <c r="AI654" i="56" s="1"/>
  <c r="AJ654" i="56" s="1"/>
  <c r="AH658" i="56"/>
  <c r="U658" i="56" s="1"/>
  <c r="AI658" i="56" s="1"/>
  <c r="AJ658" i="56" s="1"/>
  <c r="AH663" i="56"/>
  <c r="U663" i="56" s="1"/>
  <c r="AI663" i="56" s="1"/>
  <c r="AJ663" i="56" s="1"/>
  <c r="AH678" i="56"/>
  <c r="AH687" i="56"/>
  <c r="U687" i="56" s="1"/>
  <c r="AI687" i="56" s="1"/>
  <c r="AJ687" i="56" s="1"/>
  <c r="W697" i="56"/>
  <c r="AG696" i="56"/>
  <c r="G701" i="56"/>
  <c r="G700" i="56" s="1"/>
  <c r="I700" i="56"/>
  <c r="G708" i="56"/>
  <c r="G707" i="56" s="1"/>
  <c r="I707" i="56"/>
  <c r="W727" i="56"/>
  <c r="AG726" i="56"/>
  <c r="W731" i="56"/>
  <c r="AG730" i="56"/>
  <c r="I751" i="56"/>
  <c r="I735" i="56" s="1"/>
  <c r="G753" i="56"/>
  <c r="T646" i="56"/>
  <c r="X646" i="56"/>
  <c r="X644" i="56" s="1"/>
  <c r="X643" i="56" s="1"/>
  <c r="U656" i="56"/>
  <c r="AI656" i="56" s="1"/>
  <c r="AJ656" i="56" s="1"/>
  <c r="T660" i="56"/>
  <c r="U661" i="56"/>
  <c r="W678" i="56"/>
  <c r="W677" i="56" s="1"/>
  <c r="AA677" i="56"/>
  <c r="AA675" i="56" s="1"/>
  <c r="AA674" i="56" s="1"/>
  <c r="AE677" i="56"/>
  <c r="AE675" i="56" s="1"/>
  <c r="AE674" i="56" s="1"/>
  <c r="W679" i="56"/>
  <c r="U679" i="56" s="1"/>
  <c r="AI679" i="56" s="1"/>
  <c r="AJ679" i="56" s="1"/>
  <c r="W684" i="56"/>
  <c r="AH685" i="56"/>
  <c r="U685" i="56" s="1"/>
  <c r="AI685" i="56" s="1"/>
  <c r="AJ685" i="56" s="1"/>
  <c r="AH689" i="56"/>
  <c r="U689" i="56" s="1"/>
  <c r="AI689" i="56" s="1"/>
  <c r="AJ689" i="56" s="1"/>
  <c r="AI702" i="56"/>
  <c r="AJ702" i="56" s="1"/>
  <c r="W709" i="56"/>
  <c r="Y721" i="56"/>
  <c r="K705" i="56"/>
  <c r="K704" i="56" s="1"/>
  <c r="AC721" i="56"/>
  <c r="AC705" i="56" s="1"/>
  <c r="AC704" i="56" s="1"/>
  <c r="O705" i="56"/>
  <c r="O704" i="56" s="1"/>
  <c r="AG721" i="56"/>
  <c r="AG705" i="56" s="1"/>
  <c r="AG704" i="56" s="1"/>
  <c r="S705" i="56"/>
  <c r="S704" i="56" s="1"/>
  <c r="G594" i="56"/>
  <c r="G25" i="56" s="1"/>
  <c r="G596" i="56"/>
  <c r="G600" i="56"/>
  <c r="I605" i="56"/>
  <c r="I609" i="56"/>
  <c r="I644" i="56"/>
  <c r="AH647" i="56"/>
  <c r="AH646" i="56" s="1"/>
  <c r="I669" i="56"/>
  <c r="AG669" i="56"/>
  <c r="AH682" i="56"/>
  <c r="U682" i="56" s="1"/>
  <c r="AI682" i="56" s="1"/>
  <c r="AJ682" i="56" s="1"/>
  <c r="W686" i="56"/>
  <c r="U686" i="56" s="1"/>
  <c r="AI686" i="56" s="1"/>
  <c r="AJ686" i="56" s="1"/>
  <c r="W691" i="56"/>
  <c r="W695" i="56"/>
  <c r="U695" i="56" s="1"/>
  <c r="AI695" i="56" s="1"/>
  <c r="AJ695" i="56" s="1"/>
  <c r="G697" i="56"/>
  <c r="G696" i="56" s="1"/>
  <c r="I696" i="56"/>
  <c r="AI699" i="56"/>
  <c r="AJ699" i="56" s="1"/>
  <c r="W701" i="56"/>
  <c r="AG700" i="56"/>
  <c r="U746" i="56"/>
  <c r="AI746" i="56" s="1"/>
  <c r="AJ746" i="56" s="1"/>
  <c r="X751" i="56"/>
  <c r="I636" i="56"/>
  <c r="I637" i="56"/>
  <c r="G637" i="56" s="1"/>
  <c r="AI637" i="56" s="1"/>
  <c r="AJ637" i="56" s="1"/>
  <c r="I638" i="56"/>
  <c r="G638" i="56" s="1"/>
  <c r="AI638" i="56" s="1"/>
  <c r="AJ638" i="56" s="1"/>
  <c r="I640" i="56"/>
  <c r="I641" i="56"/>
  <c r="G641" i="56" s="1"/>
  <c r="AI641" i="56" s="1"/>
  <c r="AJ641" i="56" s="1"/>
  <c r="I642" i="56"/>
  <c r="G642" i="56" s="1"/>
  <c r="AI642" i="56" s="1"/>
  <c r="AJ642" i="56" s="1"/>
  <c r="I666" i="56"/>
  <c r="I667" i="56"/>
  <c r="G667" i="56" s="1"/>
  <c r="I668" i="56"/>
  <c r="G668" i="56" s="1"/>
  <c r="AI668" i="56" s="1"/>
  <c r="AJ668" i="56" s="1"/>
  <c r="V677" i="56"/>
  <c r="V675" i="56" s="1"/>
  <c r="V674" i="56" s="1"/>
  <c r="AH680" i="56"/>
  <c r="U680" i="56" s="1"/>
  <c r="AI680" i="56" s="1"/>
  <c r="AJ680" i="56" s="1"/>
  <c r="W683" i="56"/>
  <c r="U683" i="56" s="1"/>
  <c r="AI683" i="56" s="1"/>
  <c r="AJ683" i="56" s="1"/>
  <c r="U690" i="56"/>
  <c r="AI690" i="56" s="1"/>
  <c r="AJ690" i="56" s="1"/>
  <c r="G692" i="56"/>
  <c r="G691" i="56" s="1"/>
  <c r="I691" i="56"/>
  <c r="I675" i="56" s="1"/>
  <c r="U708" i="56"/>
  <c r="W707" i="56"/>
  <c r="AA705" i="56"/>
  <c r="AA704" i="56" s="1"/>
  <c r="AE705" i="56"/>
  <c r="AE704" i="56" s="1"/>
  <c r="AH709" i="56"/>
  <c r="U710" i="56"/>
  <c r="AI710" i="56" s="1"/>
  <c r="AJ710" i="56" s="1"/>
  <c r="AH719" i="56"/>
  <c r="AH724" i="56"/>
  <c r="H735" i="56"/>
  <c r="H734" i="56" s="1"/>
  <c r="T751" i="56"/>
  <c r="V817" i="56"/>
  <c r="V816" i="56" s="1"/>
  <c r="U861" i="56"/>
  <c r="AI861" i="56" s="1"/>
  <c r="AJ861" i="56" s="1"/>
  <c r="AH861" i="56"/>
  <c r="AD893" i="56"/>
  <c r="AD877" i="56" s="1"/>
  <c r="AD876" i="56" s="1"/>
  <c r="P877" i="56"/>
  <c r="P876" i="56" s="1"/>
  <c r="U684" i="56"/>
  <c r="AI684" i="56" s="1"/>
  <c r="AJ684" i="56" s="1"/>
  <c r="U688" i="56"/>
  <c r="AI688" i="56" s="1"/>
  <c r="AJ688" i="56" s="1"/>
  <c r="U693" i="56"/>
  <c r="AI693" i="56" s="1"/>
  <c r="AJ693" i="56" s="1"/>
  <c r="G712" i="56"/>
  <c r="U715" i="56"/>
  <c r="AI715" i="56" s="1"/>
  <c r="AJ715" i="56" s="1"/>
  <c r="AH716" i="56"/>
  <c r="U716" i="56" s="1"/>
  <c r="AI716" i="56" s="1"/>
  <c r="AJ716" i="56" s="1"/>
  <c r="AH720" i="56"/>
  <c r="U720" i="56" s="1"/>
  <c r="AI720" i="56" s="1"/>
  <c r="AJ720" i="56" s="1"/>
  <c r="G722" i="56"/>
  <c r="I721" i="56"/>
  <c r="G723" i="56"/>
  <c r="W723" i="56"/>
  <c r="U723" i="56" s="1"/>
  <c r="W724" i="56"/>
  <c r="U724" i="56" s="1"/>
  <c r="AI724" i="56" s="1"/>
  <c r="AJ724" i="56" s="1"/>
  <c r="I727" i="56"/>
  <c r="I728" i="56"/>
  <c r="G728" i="56" s="1"/>
  <c r="AI728" i="56" s="1"/>
  <c r="AJ728" i="56" s="1"/>
  <c r="I729" i="56"/>
  <c r="G729" i="56" s="1"/>
  <c r="AI729" i="56" s="1"/>
  <c r="AJ729" i="56" s="1"/>
  <c r="I731" i="56"/>
  <c r="I732" i="56"/>
  <c r="G732" i="56" s="1"/>
  <c r="AI732" i="56" s="1"/>
  <c r="AJ732" i="56" s="1"/>
  <c r="I733" i="56"/>
  <c r="G733" i="56" s="1"/>
  <c r="AI733" i="56" s="1"/>
  <c r="AJ733" i="56" s="1"/>
  <c r="G740" i="56"/>
  <c r="G737" i="56" s="1"/>
  <c r="W740" i="56"/>
  <c r="X737" i="56"/>
  <c r="AB735" i="56"/>
  <c r="AB734" i="56" s="1"/>
  <c r="AF735" i="56"/>
  <c r="AF734" i="56" s="1"/>
  <c r="AH743" i="56"/>
  <c r="U743" i="56" s="1"/>
  <c r="AI743" i="56" s="1"/>
  <c r="AJ743" i="56" s="1"/>
  <c r="AH744" i="56"/>
  <c r="U744" i="56" s="1"/>
  <c r="AI744" i="56" s="1"/>
  <c r="AJ744" i="56" s="1"/>
  <c r="AH748" i="56"/>
  <c r="U748" i="56" s="1"/>
  <c r="AI748" i="56" s="1"/>
  <c r="AJ748" i="56" s="1"/>
  <c r="G750" i="56"/>
  <c r="W752" i="56"/>
  <c r="W756" i="56"/>
  <c r="U756" i="56" s="1"/>
  <c r="AI756" i="56" s="1"/>
  <c r="AJ756" i="56" s="1"/>
  <c r="W760" i="56"/>
  <c r="U760" i="56" s="1"/>
  <c r="AI760" i="56" s="1"/>
  <c r="AJ760" i="56" s="1"/>
  <c r="AH764" i="56"/>
  <c r="U764" i="56" s="1"/>
  <c r="AI764" i="56" s="1"/>
  <c r="AJ764" i="56" s="1"/>
  <c r="AH765" i="56"/>
  <c r="U765" i="56" s="1"/>
  <c r="AH766" i="56"/>
  <c r="U766" i="56" s="1"/>
  <c r="AH767" i="56"/>
  <c r="U767" i="56" s="1"/>
  <c r="AH768" i="56"/>
  <c r="U768" i="56" s="1"/>
  <c r="AI768" i="56" s="1"/>
  <c r="AJ768" i="56" s="1"/>
  <c r="U777" i="56"/>
  <c r="AI777" i="56" s="1"/>
  <c r="AJ777" i="56" s="1"/>
  <c r="AH799" i="56"/>
  <c r="U799" i="56" s="1"/>
  <c r="AI799" i="56" s="1"/>
  <c r="AJ799" i="56" s="1"/>
  <c r="G805" i="56"/>
  <c r="I803" i="56"/>
  <c r="I787" i="56" s="1"/>
  <c r="Z817" i="56"/>
  <c r="Z816" i="56" s="1"/>
  <c r="AG841" i="56"/>
  <c r="W841" i="56" s="1"/>
  <c r="U841" i="56" s="1"/>
  <c r="I841" i="56"/>
  <c r="G841" i="56" s="1"/>
  <c r="U692" i="56"/>
  <c r="AH713" i="56"/>
  <c r="U713" i="56" s="1"/>
  <c r="AI713" i="56" s="1"/>
  <c r="AJ713" i="56" s="1"/>
  <c r="AH714" i="56"/>
  <c r="AH718" i="56"/>
  <c r="T735" i="56"/>
  <c r="T734" i="56" s="1"/>
  <c r="AC735" i="56"/>
  <c r="AC734" i="56" s="1"/>
  <c r="AH741" i="56"/>
  <c r="U741" i="56" s="1"/>
  <c r="AI741" i="56" s="1"/>
  <c r="AJ741" i="56" s="1"/>
  <c r="AH742" i="56"/>
  <c r="U742" i="56" s="1"/>
  <c r="AI742" i="56" s="1"/>
  <c r="AJ742" i="56" s="1"/>
  <c r="W745" i="56"/>
  <c r="U745" i="56" s="1"/>
  <c r="AI745" i="56" s="1"/>
  <c r="AJ745" i="56" s="1"/>
  <c r="AH752" i="56"/>
  <c r="AH753" i="56"/>
  <c r="U753" i="56" s="1"/>
  <c r="AI753" i="56" s="1"/>
  <c r="AJ753" i="56" s="1"/>
  <c r="AH754" i="56"/>
  <c r="U754" i="56" s="1"/>
  <c r="AI754" i="56" s="1"/>
  <c r="AJ754" i="56" s="1"/>
  <c r="AH757" i="56"/>
  <c r="U757" i="56" s="1"/>
  <c r="AI757" i="56" s="1"/>
  <c r="AJ757" i="56" s="1"/>
  <c r="AH758" i="56"/>
  <c r="U758" i="56" s="1"/>
  <c r="AI758" i="56" s="1"/>
  <c r="AJ758" i="56" s="1"/>
  <c r="AH761" i="56"/>
  <c r="U761" i="56" s="1"/>
  <c r="AI761" i="56" s="1"/>
  <c r="AJ761" i="56" s="1"/>
  <c r="U779" i="56"/>
  <c r="W781" i="56"/>
  <c r="U781" i="56" s="1"/>
  <c r="AI781" i="56" s="1"/>
  <c r="AJ781" i="56" s="1"/>
  <c r="AG778" i="56"/>
  <c r="AG734" i="56" s="1"/>
  <c r="U783" i="56"/>
  <c r="W785" i="56"/>
  <c r="U785" i="56" s="1"/>
  <c r="AG782" i="56"/>
  <c r="U793" i="56"/>
  <c r="AI793" i="56" s="1"/>
  <c r="AJ793" i="56" s="1"/>
  <c r="AA787" i="56"/>
  <c r="AA786" i="56" s="1"/>
  <c r="AE787" i="56"/>
  <c r="AE786" i="56" s="1"/>
  <c r="U809" i="56"/>
  <c r="W810" i="56"/>
  <c r="U810" i="56" s="1"/>
  <c r="AI810" i="56" s="1"/>
  <c r="AJ810" i="56" s="1"/>
  <c r="AG808" i="56"/>
  <c r="AG786" i="56" s="1"/>
  <c r="P816" i="56"/>
  <c r="AB817" i="56"/>
  <c r="AB816" i="56" s="1"/>
  <c r="AH836" i="56"/>
  <c r="U836" i="56" s="1"/>
  <c r="AI836" i="56" s="1"/>
  <c r="AJ836" i="56" s="1"/>
  <c r="AG847" i="56"/>
  <c r="AH852" i="56"/>
  <c r="U852" i="56"/>
  <c r="AI852" i="56" s="1"/>
  <c r="AJ852" i="56" s="1"/>
  <c r="V849" i="56"/>
  <c r="V847" i="56" s="1"/>
  <c r="V846" i="56" s="1"/>
  <c r="AH711" i="56"/>
  <c r="U711" i="56" s="1"/>
  <c r="AI711" i="56" s="1"/>
  <c r="AJ711" i="56" s="1"/>
  <c r="AH712" i="56"/>
  <c r="U712" i="56" s="1"/>
  <c r="AI712" i="56" s="1"/>
  <c r="AJ712" i="56" s="1"/>
  <c r="G714" i="56"/>
  <c r="W714" i="56"/>
  <c r="W715" i="56"/>
  <c r="G717" i="56"/>
  <c r="G718" i="56"/>
  <c r="W718" i="56"/>
  <c r="W719" i="56"/>
  <c r="U719" i="56" s="1"/>
  <c r="AI719" i="56" s="1"/>
  <c r="AJ719" i="56" s="1"/>
  <c r="AH722" i="56"/>
  <c r="AH721" i="56" s="1"/>
  <c r="AH725" i="56"/>
  <c r="U725" i="56" s="1"/>
  <c r="AI725" i="56" s="1"/>
  <c r="AJ725" i="56" s="1"/>
  <c r="AH739" i="56"/>
  <c r="AH749" i="56"/>
  <c r="U749" i="56" s="1"/>
  <c r="AI749" i="56" s="1"/>
  <c r="AJ749" i="56" s="1"/>
  <c r="AH750" i="56"/>
  <c r="U750" i="56" s="1"/>
  <c r="AI750" i="56" s="1"/>
  <c r="AJ750" i="56" s="1"/>
  <c r="AA751" i="56"/>
  <c r="AA735" i="56" s="1"/>
  <c r="AA734" i="56" s="1"/>
  <c r="AE751" i="56"/>
  <c r="AE735" i="56" s="1"/>
  <c r="AE734" i="56" s="1"/>
  <c r="AH755" i="56"/>
  <c r="U755" i="56" s="1"/>
  <c r="AI755" i="56" s="1"/>
  <c r="AJ755" i="56" s="1"/>
  <c r="AH759" i="56"/>
  <c r="U759" i="56" s="1"/>
  <c r="AI759" i="56" s="1"/>
  <c r="AJ759" i="56" s="1"/>
  <c r="C787" i="56"/>
  <c r="C786" i="56" s="1"/>
  <c r="U804" i="56"/>
  <c r="L816" i="56"/>
  <c r="AH828" i="56"/>
  <c r="U828" i="56" s="1"/>
  <c r="AI828" i="56" s="1"/>
  <c r="AJ828" i="56" s="1"/>
  <c r="W835" i="56"/>
  <c r="AH835" i="56"/>
  <c r="AG839" i="56"/>
  <c r="I839" i="56"/>
  <c r="S838" i="56"/>
  <c r="U717" i="56"/>
  <c r="U739" i="56"/>
  <c r="AI739" i="56" s="1"/>
  <c r="AJ739" i="56" s="1"/>
  <c r="U747" i="56"/>
  <c r="AI747" i="56" s="1"/>
  <c r="AJ747" i="56" s="1"/>
  <c r="T765" i="56"/>
  <c r="G765" i="56" s="1"/>
  <c r="T766" i="56"/>
  <c r="G766" i="56" s="1"/>
  <c r="T767" i="56"/>
  <c r="G767" i="56" s="1"/>
  <c r="T768" i="56"/>
  <c r="G768" i="56" s="1"/>
  <c r="AH770" i="56"/>
  <c r="U770" i="56" s="1"/>
  <c r="AI770" i="56" s="1"/>
  <c r="AJ770" i="56" s="1"/>
  <c r="AH771" i="56"/>
  <c r="U771" i="56"/>
  <c r="AI771" i="56" s="1"/>
  <c r="AJ771" i="56" s="1"/>
  <c r="AH772" i="56"/>
  <c r="U772" i="56" s="1"/>
  <c r="AH773" i="56"/>
  <c r="U773" i="56"/>
  <c r="AH774" i="56"/>
  <c r="U774" i="56" s="1"/>
  <c r="AI774" i="56" s="1"/>
  <c r="AJ774" i="56" s="1"/>
  <c r="AH775" i="56"/>
  <c r="U775" i="56"/>
  <c r="AI775" i="56" s="1"/>
  <c r="AJ775" i="56" s="1"/>
  <c r="AH776" i="56"/>
  <c r="U776" i="56" s="1"/>
  <c r="AD817" i="56"/>
  <c r="AD816" i="56" s="1"/>
  <c r="W833" i="56"/>
  <c r="AG843" i="56"/>
  <c r="I843" i="56"/>
  <c r="AG845" i="56"/>
  <c r="W845" i="56" s="1"/>
  <c r="U845" i="56" s="1"/>
  <c r="I845" i="56"/>
  <c r="G845" i="56" s="1"/>
  <c r="I871" i="56"/>
  <c r="G871" i="56" s="1"/>
  <c r="S868" i="56"/>
  <c r="S846" i="56" s="1"/>
  <c r="AG871" i="56"/>
  <c r="W871" i="56" s="1"/>
  <c r="U871" i="56" s="1"/>
  <c r="W762" i="56"/>
  <c r="U762" i="56" s="1"/>
  <c r="AI762" i="56" s="1"/>
  <c r="AJ762" i="56" s="1"/>
  <c r="Z789" i="56"/>
  <c r="Z787" i="56" s="1"/>
  <c r="Z786" i="56" s="1"/>
  <c r="AD789" i="56"/>
  <c r="AD787" i="56" s="1"/>
  <c r="AD786" i="56" s="1"/>
  <c r="AH790" i="56"/>
  <c r="AH789" i="56" s="1"/>
  <c r="W792" i="56"/>
  <c r="U792" i="56" s="1"/>
  <c r="AI792" i="56" s="1"/>
  <c r="AJ792" i="56" s="1"/>
  <c r="AH805" i="56"/>
  <c r="U805" i="56" s="1"/>
  <c r="AI805" i="56" s="1"/>
  <c r="AJ805" i="56" s="1"/>
  <c r="AH806" i="56"/>
  <c r="T817" i="56"/>
  <c r="T816" i="56" s="1"/>
  <c r="AA817" i="56"/>
  <c r="AA816" i="56" s="1"/>
  <c r="U820" i="56"/>
  <c r="W819" i="56"/>
  <c r="AH823" i="56"/>
  <c r="U823" i="56" s="1"/>
  <c r="AI823" i="56" s="1"/>
  <c r="AJ823" i="56" s="1"/>
  <c r="AH831" i="56"/>
  <c r="U831" i="56" s="1"/>
  <c r="AI831" i="56" s="1"/>
  <c r="AJ831" i="56" s="1"/>
  <c r="AG840" i="56"/>
  <c r="W840" i="56" s="1"/>
  <c r="U840" i="56" s="1"/>
  <c r="I840" i="56"/>
  <c r="G840" i="56" s="1"/>
  <c r="S842" i="56"/>
  <c r="G789" i="56"/>
  <c r="V789" i="56"/>
  <c r="V787" i="56" s="1"/>
  <c r="V786" i="56" s="1"/>
  <c r="AH793" i="56"/>
  <c r="AH796" i="56"/>
  <c r="U796" i="56" s="1"/>
  <c r="AI796" i="56" s="1"/>
  <c r="AJ796" i="56" s="1"/>
  <c r="AH797" i="56"/>
  <c r="U797" i="56" s="1"/>
  <c r="AI797" i="56" s="1"/>
  <c r="AJ797" i="56" s="1"/>
  <c r="AH800" i="56"/>
  <c r="U800" i="56" s="1"/>
  <c r="AI800" i="56" s="1"/>
  <c r="AJ800" i="56" s="1"/>
  <c r="AH801" i="56"/>
  <c r="U801" i="56" s="1"/>
  <c r="AI801" i="56" s="1"/>
  <c r="AJ801" i="56" s="1"/>
  <c r="G803" i="56"/>
  <c r="AH807" i="56"/>
  <c r="U807" i="56" s="1"/>
  <c r="AI807" i="56" s="1"/>
  <c r="AJ807" i="56" s="1"/>
  <c r="AI811" i="56"/>
  <c r="AJ811" i="56" s="1"/>
  <c r="W812" i="56"/>
  <c r="U813" i="56"/>
  <c r="G820" i="56"/>
  <c r="I819" i="56"/>
  <c r="AH825" i="56"/>
  <c r="U825" i="56"/>
  <c r="AI825" i="56" s="1"/>
  <c r="AJ825" i="56" s="1"/>
  <c r="AH830" i="56"/>
  <c r="U830" i="56"/>
  <c r="AI830" i="56" s="1"/>
  <c r="AJ830" i="56" s="1"/>
  <c r="G832" i="56"/>
  <c r="U837" i="56"/>
  <c r="AG844" i="56"/>
  <c r="W844" i="56" s="1"/>
  <c r="U844" i="56" s="1"/>
  <c r="I844" i="56"/>
  <c r="G844" i="56" s="1"/>
  <c r="AD847" i="56"/>
  <c r="AD846" i="56" s="1"/>
  <c r="W860" i="56"/>
  <c r="U860" i="56" s="1"/>
  <c r="AI860" i="56" s="1"/>
  <c r="AJ860" i="56" s="1"/>
  <c r="AB847" i="56"/>
  <c r="AB846" i="56" s="1"/>
  <c r="AH867" i="56"/>
  <c r="U867" i="56" s="1"/>
  <c r="AI867" i="56" s="1"/>
  <c r="AJ867" i="56" s="1"/>
  <c r="AH889" i="56"/>
  <c r="U889" i="56" s="1"/>
  <c r="AI889" i="56" s="1"/>
  <c r="AJ889" i="56" s="1"/>
  <c r="V893" i="56"/>
  <c r="H877" i="56"/>
  <c r="H876" i="56" s="1"/>
  <c r="W893" i="56"/>
  <c r="G895" i="56"/>
  <c r="G893" i="56" s="1"/>
  <c r="I893" i="56"/>
  <c r="G902" i="56"/>
  <c r="U769" i="56"/>
  <c r="AI769" i="56" s="1"/>
  <c r="AJ769" i="56" s="1"/>
  <c r="G770" i="56"/>
  <c r="G771" i="56"/>
  <c r="G772" i="56"/>
  <c r="G773" i="56"/>
  <c r="G774" i="56"/>
  <c r="G775" i="56"/>
  <c r="G776" i="56"/>
  <c r="I779" i="56"/>
  <c r="I780" i="56"/>
  <c r="G780" i="56" s="1"/>
  <c r="AI780" i="56" s="1"/>
  <c r="AJ780" i="56" s="1"/>
  <c r="I781" i="56"/>
  <c r="G781" i="56" s="1"/>
  <c r="I783" i="56"/>
  <c r="I784" i="56"/>
  <c r="G784" i="56" s="1"/>
  <c r="AI784" i="56" s="1"/>
  <c r="AJ784" i="56" s="1"/>
  <c r="I785" i="56"/>
  <c r="G785" i="56" s="1"/>
  <c r="U806" i="56"/>
  <c r="AI806" i="56" s="1"/>
  <c r="AJ806" i="56" s="1"/>
  <c r="I809" i="56"/>
  <c r="G822" i="56"/>
  <c r="AH824" i="56"/>
  <c r="U827" i="56"/>
  <c r="AI827" i="56" s="1"/>
  <c r="AJ827" i="56" s="1"/>
  <c r="AH829" i="56"/>
  <c r="U829" i="56" s="1"/>
  <c r="AH832" i="56"/>
  <c r="U832" i="56" s="1"/>
  <c r="AI832" i="56" s="1"/>
  <c r="AJ832" i="56" s="1"/>
  <c r="AH834" i="56"/>
  <c r="AC847" i="56"/>
  <c r="AC846" i="56" s="1"/>
  <c r="AH850" i="56"/>
  <c r="AH849" i="56" s="1"/>
  <c r="AH855" i="56"/>
  <c r="U855" i="56"/>
  <c r="AI855" i="56" s="1"/>
  <c r="AJ855" i="56" s="1"/>
  <c r="AH857" i="56"/>
  <c r="U857" i="56" s="1"/>
  <c r="AI857" i="56" s="1"/>
  <c r="AJ857" i="56" s="1"/>
  <c r="W862" i="56"/>
  <c r="U862" i="56" s="1"/>
  <c r="AI862" i="56" s="1"/>
  <c r="AJ862" i="56" s="1"/>
  <c r="G888" i="56"/>
  <c r="T877" i="56"/>
  <c r="T876" i="56" s="1"/>
  <c r="AH895" i="56"/>
  <c r="AH893" i="56" s="1"/>
  <c r="U896" i="56"/>
  <c r="AI896" i="56" s="1"/>
  <c r="AJ896" i="56" s="1"/>
  <c r="K817" i="56"/>
  <c r="K816" i="56" s="1"/>
  <c r="O817" i="56"/>
  <c r="O816" i="56" s="1"/>
  <c r="S817" i="56"/>
  <c r="S816" i="56" s="1"/>
  <c r="Y819" i="56"/>
  <c r="Y817" i="56" s="1"/>
  <c r="Y816" i="56" s="1"/>
  <c r="AC819" i="56"/>
  <c r="AC817" i="56" s="1"/>
  <c r="AC816" i="56" s="1"/>
  <c r="AG819" i="56"/>
  <c r="AG817" i="56" s="1"/>
  <c r="AH821" i="56"/>
  <c r="U821" i="56" s="1"/>
  <c r="AI821" i="56" s="1"/>
  <c r="AJ821" i="56" s="1"/>
  <c r="G824" i="56"/>
  <c r="W826" i="56"/>
  <c r="U826" i="56" s="1"/>
  <c r="AI826" i="56" s="1"/>
  <c r="AJ826" i="56" s="1"/>
  <c r="G829" i="56"/>
  <c r="G834" i="56"/>
  <c r="G833" i="56" s="1"/>
  <c r="W834" i="56"/>
  <c r="G837" i="56"/>
  <c r="Y847" i="56"/>
  <c r="Y846" i="56" s="1"/>
  <c r="W849" i="56"/>
  <c r="W851" i="56"/>
  <c r="U851" i="56" s="1"/>
  <c r="AI851" i="56" s="1"/>
  <c r="AJ851" i="56" s="1"/>
  <c r="AH860" i="56"/>
  <c r="G862" i="56"/>
  <c r="AH865" i="56"/>
  <c r="U865" i="56" s="1"/>
  <c r="AI865" i="56" s="1"/>
  <c r="AJ865" i="56" s="1"/>
  <c r="W869" i="56"/>
  <c r="AG868" i="56"/>
  <c r="AG873" i="56"/>
  <c r="I873" i="56"/>
  <c r="AH880" i="56"/>
  <c r="AH879" i="56" s="1"/>
  <c r="AA877" i="56"/>
  <c r="AA876" i="56" s="1"/>
  <c r="AE877" i="56"/>
  <c r="AE876" i="56" s="1"/>
  <c r="I833" i="56"/>
  <c r="G854" i="56"/>
  <c r="W856" i="56"/>
  <c r="U856" i="56" s="1"/>
  <c r="AI856" i="56" s="1"/>
  <c r="AJ856" i="56" s="1"/>
  <c r="G859" i="56"/>
  <c r="AH864" i="56"/>
  <c r="G869" i="56"/>
  <c r="I868" i="56"/>
  <c r="L877" i="56"/>
  <c r="L876" i="56" s="1"/>
  <c r="AH888" i="56"/>
  <c r="W898" i="56"/>
  <c r="U899" i="56"/>
  <c r="AI901" i="56"/>
  <c r="AJ901" i="56" s="1"/>
  <c r="AH853" i="56"/>
  <c r="U853" i="56" s="1"/>
  <c r="AI853" i="56" s="1"/>
  <c r="AJ853" i="56" s="1"/>
  <c r="AH858" i="56"/>
  <c r="U858" i="56" s="1"/>
  <c r="AI858" i="56" s="1"/>
  <c r="AJ858" i="56" s="1"/>
  <c r="G864" i="56"/>
  <c r="G863" i="56" s="1"/>
  <c r="I863" i="56"/>
  <c r="I847" i="56" s="1"/>
  <c r="AH866" i="56"/>
  <c r="U866" i="56" s="1"/>
  <c r="AI866" i="56" s="1"/>
  <c r="AJ866" i="56" s="1"/>
  <c r="AC877" i="56"/>
  <c r="AC876" i="56" s="1"/>
  <c r="U903" i="56"/>
  <c r="I877" i="56"/>
  <c r="M876" i="56"/>
  <c r="Q876" i="56"/>
  <c r="G879" i="56"/>
  <c r="V879" i="56"/>
  <c r="V877" i="56" s="1"/>
  <c r="V876" i="56" s="1"/>
  <c r="W882" i="56"/>
  <c r="U882" i="56" s="1"/>
  <c r="AI882" i="56" s="1"/>
  <c r="AJ882" i="56" s="1"/>
  <c r="AH883" i="56"/>
  <c r="U883" i="56" s="1"/>
  <c r="AI883" i="56" s="1"/>
  <c r="AJ883" i="56" s="1"/>
  <c r="AH886" i="56"/>
  <c r="U886" i="56" s="1"/>
  <c r="AI886" i="56" s="1"/>
  <c r="AJ886" i="56" s="1"/>
  <c r="AH887" i="56"/>
  <c r="U887" i="56" s="1"/>
  <c r="U890" i="56"/>
  <c r="AI890" i="56" s="1"/>
  <c r="AJ890" i="56" s="1"/>
  <c r="AH890" i="56"/>
  <c r="AH891" i="56"/>
  <c r="U891" i="56" s="1"/>
  <c r="AH897" i="56"/>
  <c r="U897" i="56" s="1"/>
  <c r="AI897" i="56" s="1"/>
  <c r="AJ897" i="56" s="1"/>
  <c r="Y877" i="56"/>
  <c r="Y876" i="56" s="1"/>
  <c r="AG877" i="56"/>
  <c r="W880" i="56"/>
  <c r="AH881" i="56"/>
  <c r="U881" i="56" s="1"/>
  <c r="AI881" i="56" s="1"/>
  <c r="AJ881" i="56" s="1"/>
  <c r="W884" i="56"/>
  <c r="U884" i="56" s="1"/>
  <c r="AI884" i="56" s="1"/>
  <c r="AJ884" i="56" s="1"/>
  <c r="G887" i="56"/>
  <c r="W888" i="56"/>
  <c r="G891" i="56"/>
  <c r="W892" i="56"/>
  <c r="U892" i="56" s="1"/>
  <c r="AI892" i="56" s="1"/>
  <c r="AJ892" i="56" s="1"/>
  <c r="W894" i="56"/>
  <c r="U894" i="56" s="1"/>
  <c r="G111" i="56" l="1"/>
  <c r="U276" i="56"/>
  <c r="AL61" i="56"/>
  <c r="AI81" i="56"/>
  <c r="AJ81" i="56" s="1"/>
  <c r="S47" i="56"/>
  <c r="U97" i="56"/>
  <c r="G57" i="56"/>
  <c r="AI57" i="56" s="1"/>
  <c r="G75" i="56"/>
  <c r="AI75" i="56" s="1"/>
  <c r="AL83" i="56"/>
  <c r="G118" i="56"/>
  <c r="AI200" i="56"/>
  <c r="AJ200" i="56" s="1"/>
  <c r="W182" i="56"/>
  <c r="U182" i="56" s="1"/>
  <c r="H228" i="56"/>
  <c r="G116" i="56"/>
  <c r="AL234" i="56"/>
  <c r="G284" i="56"/>
  <c r="G59" i="56"/>
  <c r="AI59" i="56" s="1"/>
  <c r="AK200" i="56"/>
  <c r="AI238" i="56"/>
  <c r="AK238" i="56" s="1"/>
  <c r="AL238" i="56"/>
  <c r="G269" i="56"/>
  <c r="AL269" i="56" s="1"/>
  <c r="T282" i="56"/>
  <c r="T32" i="56" s="1"/>
  <c r="AL243" i="56"/>
  <c r="AB101" i="56"/>
  <c r="AB100" i="56" s="1"/>
  <c r="AB20" i="56" s="1"/>
  <c r="N101" i="56"/>
  <c r="N100" i="56" s="1"/>
  <c r="N20" i="56" s="1"/>
  <c r="AL281" i="56"/>
  <c r="AL176" i="56"/>
  <c r="G76" i="56"/>
  <c r="AJ208" i="56"/>
  <c r="W123" i="56"/>
  <c r="U123" i="56" s="1"/>
  <c r="U269" i="56"/>
  <c r="AA29" i="56"/>
  <c r="AI278" i="56"/>
  <c r="AL200" i="56"/>
  <c r="G254" i="56"/>
  <c r="AG228" i="56"/>
  <c r="AH151" i="56"/>
  <c r="AH149" i="56" s="1"/>
  <c r="AH148" i="56" s="1"/>
  <c r="X101" i="56"/>
  <c r="X100" i="56" s="1"/>
  <c r="X20" i="56" s="1"/>
  <c r="AI261" i="56"/>
  <c r="L101" i="56"/>
  <c r="L100" i="56" s="1"/>
  <c r="L20" i="56" s="1"/>
  <c r="W132" i="56"/>
  <c r="AA110" i="56"/>
  <c r="AA101" i="56" s="1"/>
  <c r="AA100" i="56" s="1"/>
  <c r="AA20" i="56" s="1"/>
  <c r="AA13" i="56" s="1"/>
  <c r="AA12" i="56" s="1"/>
  <c r="AL96" i="56"/>
  <c r="AI61" i="56"/>
  <c r="AK96" i="56"/>
  <c r="AL92" i="56"/>
  <c r="G85" i="56"/>
  <c r="G73" i="56"/>
  <c r="AI73" i="56" s="1"/>
  <c r="C179" i="56"/>
  <c r="C178" i="56" s="1"/>
  <c r="C27" i="56" s="1"/>
  <c r="C13" i="56" s="1"/>
  <c r="C12" i="56" s="1"/>
  <c r="AI155" i="56"/>
  <c r="AJ155" i="56" s="1"/>
  <c r="H101" i="56"/>
  <c r="H100" i="56" s="1"/>
  <c r="H20" i="56" s="1"/>
  <c r="G54" i="56"/>
  <c r="AJ176" i="56"/>
  <c r="AJ105" i="56"/>
  <c r="AA178" i="56"/>
  <c r="AA27" i="56" s="1"/>
  <c r="G72" i="56"/>
  <c r="AL72" i="56" s="1"/>
  <c r="U289" i="56"/>
  <c r="AI289" i="56" s="1"/>
  <c r="G263" i="56"/>
  <c r="R29" i="56"/>
  <c r="AI214" i="56"/>
  <c r="M101" i="56"/>
  <c r="M100" i="56" s="1"/>
  <c r="M20" i="56" s="1"/>
  <c r="AL192" i="56"/>
  <c r="U189" i="56"/>
  <c r="W171" i="56"/>
  <c r="W170" i="56" s="1"/>
  <c r="AH123" i="56"/>
  <c r="G137" i="56"/>
  <c r="K101" i="56"/>
  <c r="K100" i="56" s="1"/>
  <c r="K20" i="56" s="1"/>
  <c r="AG101" i="56"/>
  <c r="AG100" i="56" s="1"/>
  <c r="AG20" i="56" s="1"/>
  <c r="AL70" i="56"/>
  <c r="G86" i="56"/>
  <c r="E227" i="56"/>
  <c r="E45" i="56" s="1"/>
  <c r="E44" i="56" s="1"/>
  <c r="E30" i="56"/>
  <c r="E29" i="56" s="1"/>
  <c r="AL385" i="56"/>
  <c r="AI385" i="56"/>
  <c r="AL231" i="56"/>
  <c r="AI231" i="56"/>
  <c r="AI80" i="56"/>
  <c r="AL80" i="56"/>
  <c r="AL366" i="56"/>
  <c r="AI366" i="56"/>
  <c r="AJ326" i="56"/>
  <c r="AK326" i="56"/>
  <c r="AL71" i="56"/>
  <c r="AI71" i="56"/>
  <c r="AI66" i="56"/>
  <c r="AJ66" i="56" s="1"/>
  <c r="AL66" i="56"/>
  <c r="AI361" i="56"/>
  <c r="AL361" i="56"/>
  <c r="AL84" i="56"/>
  <c r="AI84" i="56"/>
  <c r="AJ84" i="56" s="1"/>
  <c r="G868" i="56"/>
  <c r="G399" i="56"/>
  <c r="AL342" i="56"/>
  <c r="AA407" i="56"/>
  <c r="AA406" i="56" s="1"/>
  <c r="AA352" i="56" s="1"/>
  <c r="AA351" i="56" s="1"/>
  <c r="U311" i="56"/>
  <c r="G296" i="56"/>
  <c r="U274" i="56"/>
  <c r="L227" i="56"/>
  <c r="L45" i="56" s="1"/>
  <c r="L44" i="56" s="1"/>
  <c r="AL201" i="56"/>
  <c r="U140" i="56"/>
  <c r="G65" i="56"/>
  <c r="AI65" i="56" s="1"/>
  <c r="AE15" i="56"/>
  <c r="AH819" i="56"/>
  <c r="I902" i="56"/>
  <c r="Z582" i="56"/>
  <c r="Z581" i="56" s="1"/>
  <c r="AG898" i="56"/>
  <c r="Z227" i="56"/>
  <c r="Z30" i="56"/>
  <c r="Z29" i="56" s="1"/>
  <c r="P40" i="56"/>
  <c r="P39" i="56" s="1"/>
  <c r="P313" i="56"/>
  <c r="Q313" i="56"/>
  <c r="Q40" i="56"/>
  <c r="Q39" i="56" s="1"/>
  <c r="Z47" i="56"/>
  <c r="Z16" i="56"/>
  <c r="Z15" i="56" s="1"/>
  <c r="AI597" i="56"/>
  <c r="AJ597" i="56" s="1"/>
  <c r="G585" i="56"/>
  <c r="AI773" i="56"/>
  <c r="AJ773" i="56" s="1"/>
  <c r="AI634" i="56"/>
  <c r="AJ634" i="56" s="1"/>
  <c r="W454" i="56"/>
  <c r="U418" i="56"/>
  <c r="AI891" i="56"/>
  <c r="AJ891" i="56" s="1"/>
  <c r="AI871" i="56"/>
  <c r="AJ871" i="56" s="1"/>
  <c r="I674" i="56"/>
  <c r="U790" i="56"/>
  <c r="U709" i="56"/>
  <c r="AI709" i="56" s="1"/>
  <c r="AJ709" i="56" s="1"/>
  <c r="G614" i="56"/>
  <c r="AI593" i="56"/>
  <c r="AJ593" i="56" s="1"/>
  <c r="G544" i="56"/>
  <c r="G543" i="56" s="1"/>
  <c r="AL518" i="56"/>
  <c r="AI519" i="56"/>
  <c r="T508" i="56"/>
  <c r="AH457" i="56"/>
  <c r="AL364" i="56"/>
  <c r="I396" i="56"/>
  <c r="T271" i="56"/>
  <c r="T270" i="56" s="1"/>
  <c r="T31" i="56" s="1"/>
  <c r="S315" i="56"/>
  <c r="S314" i="56" s="1"/>
  <c r="T290" i="56"/>
  <c r="T33" i="56" s="1"/>
  <c r="W287" i="56"/>
  <c r="G237" i="56"/>
  <c r="G55" i="56"/>
  <c r="AL55" i="56" s="1"/>
  <c r="W49" i="56"/>
  <c r="W48" i="56" s="1"/>
  <c r="W16" i="56" s="1"/>
  <c r="W124" i="56"/>
  <c r="AH171" i="56"/>
  <c r="AH170" i="56" s="1"/>
  <c r="AH26" i="56" s="1"/>
  <c r="W104" i="56"/>
  <c r="U802" i="56"/>
  <c r="AI802" i="56" s="1"/>
  <c r="AJ802" i="56" s="1"/>
  <c r="U885" i="56"/>
  <c r="AI885" i="56" s="1"/>
  <c r="AJ885" i="56" s="1"/>
  <c r="AI900" i="56"/>
  <c r="AJ900" i="56" s="1"/>
  <c r="U763" i="56"/>
  <c r="AI763" i="56" s="1"/>
  <c r="AJ763" i="56" s="1"/>
  <c r="U618" i="56"/>
  <c r="AI618" i="56" s="1"/>
  <c r="AJ618" i="56" s="1"/>
  <c r="G587" i="56"/>
  <c r="C582" i="56"/>
  <c r="C581" i="56" s="1"/>
  <c r="H313" i="56"/>
  <c r="H40" i="56"/>
  <c r="H39" i="56" s="1"/>
  <c r="L313" i="56"/>
  <c r="L40" i="56"/>
  <c r="L39" i="56" s="1"/>
  <c r="W206" i="56"/>
  <c r="AI327" i="56"/>
  <c r="M313" i="56"/>
  <c r="M40" i="56"/>
  <c r="M39" i="56" s="1"/>
  <c r="U280" i="56"/>
  <c r="G252" i="56"/>
  <c r="G251" i="56" s="1"/>
  <c r="I251" i="56"/>
  <c r="I249" i="56" s="1"/>
  <c r="C228" i="56"/>
  <c r="C30" i="56" s="1"/>
  <c r="AD184" i="56"/>
  <c r="AD179" i="56" s="1"/>
  <c r="AD178" i="56" s="1"/>
  <c r="AD27" i="56" s="1"/>
  <c r="W185" i="56"/>
  <c r="I175" i="56"/>
  <c r="G63" i="56"/>
  <c r="AI822" i="56"/>
  <c r="AJ822" i="56" s="1"/>
  <c r="U895" i="56"/>
  <c r="AI895" i="56" s="1"/>
  <c r="AJ895" i="56" s="1"/>
  <c r="AI854" i="56"/>
  <c r="AJ854" i="56" s="1"/>
  <c r="AI829" i="56"/>
  <c r="AJ829" i="56" s="1"/>
  <c r="H507" i="56"/>
  <c r="U526" i="56"/>
  <c r="AL388" i="56"/>
  <c r="I817" i="56"/>
  <c r="AI845" i="56"/>
  <c r="AJ845" i="56" s="1"/>
  <c r="AI841" i="56"/>
  <c r="AJ841" i="56" s="1"/>
  <c r="U834" i="56"/>
  <c r="U718" i="56"/>
  <c r="AI718" i="56" s="1"/>
  <c r="AJ718" i="56" s="1"/>
  <c r="U714" i="56"/>
  <c r="AI714" i="56" s="1"/>
  <c r="AJ714" i="56" s="1"/>
  <c r="W782" i="56"/>
  <c r="W778" i="56"/>
  <c r="AI765" i="56"/>
  <c r="AJ765" i="56" s="1"/>
  <c r="X735" i="56"/>
  <c r="X734" i="56" s="1"/>
  <c r="G751" i="56"/>
  <c r="I705" i="56"/>
  <c r="AG674" i="56"/>
  <c r="U600" i="56"/>
  <c r="AI600" i="56" s="1"/>
  <c r="AJ600" i="56" s="1"/>
  <c r="U594" i="56"/>
  <c r="AI594" i="56" s="1"/>
  <c r="AJ594" i="56" s="1"/>
  <c r="N582" i="56"/>
  <c r="N581" i="56" s="1"/>
  <c r="V508" i="56"/>
  <c r="V507" i="56" s="1"/>
  <c r="U586" i="56"/>
  <c r="AI586" i="56" s="1"/>
  <c r="AJ586" i="56" s="1"/>
  <c r="W463" i="56"/>
  <c r="W462" i="56" s="1"/>
  <c r="S352" i="56"/>
  <c r="S351" i="56" s="1"/>
  <c r="W470" i="56"/>
  <c r="U470" i="56" s="1"/>
  <c r="AL470" i="56" s="1"/>
  <c r="U437" i="56"/>
  <c r="G290" i="56"/>
  <c r="AH271" i="56"/>
  <c r="AH270" i="56" s="1"/>
  <c r="AH31" i="56" s="1"/>
  <c r="C29" i="56"/>
  <c r="AH283" i="56"/>
  <c r="U263" i="56"/>
  <c r="AL263" i="56" s="1"/>
  <c r="U349" i="56"/>
  <c r="G247" i="56"/>
  <c r="H179" i="56"/>
  <c r="H178" i="56" s="1"/>
  <c r="H27" i="56" s="1"/>
  <c r="Z147" i="56"/>
  <c r="Z21" i="56" s="1"/>
  <c r="AC101" i="56"/>
  <c r="AC100" i="56" s="1"/>
  <c r="AC20" i="56" s="1"/>
  <c r="K179" i="56"/>
  <c r="K178" i="56" s="1"/>
  <c r="K27" i="56" s="1"/>
  <c r="T147" i="56"/>
  <c r="T21" i="56" s="1"/>
  <c r="G113" i="56"/>
  <c r="G133" i="56"/>
  <c r="G68" i="56"/>
  <c r="AI68" i="56" s="1"/>
  <c r="G140" i="56"/>
  <c r="G104" i="56"/>
  <c r="U798" i="56"/>
  <c r="AI798" i="56" s="1"/>
  <c r="AJ798" i="56" s="1"/>
  <c r="I898" i="56"/>
  <c r="I876" i="56" s="1"/>
  <c r="U859" i="56"/>
  <c r="AI859" i="56" s="1"/>
  <c r="AJ859" i="56" s="1"/>
  <c r="G813" i="56"/>
  <c r="G812" i="56" s="1"/>
  <c r="I812" i="56"/>
  <c r="AH707" i="56"/>
  <c r="AL368" i="56"/>
  <c r="AF227" i="56"/>
  <c r="AF45" i="56" s="1"/>
  <c r="AF44" i="56" s="1"/>
  <c r="AF30" i="56"/>
  <c r="AF29" i="56" s="1"/>
  <c r="AF13" i="56" s="1"/>
  <c r="AF12" i="56" s="1"/>
  <c r="W330" i="56"/>
  <c r="F227" i="56"/>
  <c r="F45" i="56" s="1"/>
  <c r="F44" i="56" s="1"/>
  <c r="F30" i="56"/>
  <c r="F29" i="56" s="1"/>
  <c r="F13" i="56" s="1"/>
  <c r="F12" i="56" s="1"/>
  <c r="W188" i="56"/>
  <c r="U188" i="56" s="1"/>
  <c r="U187" i="56" s="1"/>
  <c r="G320" i="56"/>
  <c r="G315" i="56" s="1"/>
  <c r="G314" i="56" s="1"/>
  <c r="G77" i="56"/>
  <c r="W461" i="56"/>
  <c r="T416" i="56"/>
  <c r="T407" i="56" s="1"/>
  <c r="T406" i="56" s="1"/>
  <c r="AF352" i="56"/>
  <c r="AF351" i="56" s="1"/>
  <c r="H354" i="56"/>
  <c r="AC352" i="56"/>
  <c r="AC351" i="56" s="1"/>
  <c r="T22" i="56"/>
  <c r="G58" i="56"/>
  <c r="AG902" i="56"/>
  <c r="AG876" i="56" s="1"/>
  <c r="W905" i="56"/>
  <c r="G677" i="56"/>
  <c r="G675" i="56" s="1"/>
  <c r="G674" i="56" s="1"/>
  <c r="AC313" i="56"/>
  <c r="AC40" i="56"/>
  <c r="AC39" i="56" s="1"/>
  <c r="M227" i="56"/>
  <c r="M30" i="56"/>
  <c r="M29" i="56" s="1"/>
  <c r="T184" i="56"/>
  <c r="U164" i="56"/>
  <c r="W158" i="56"/>
  <c r="W157" i="56" s="1"/>
  <c r="W23" i="56" s="1"/>
  <c r="T18" i="56"/>
  <c r="G60" i="56"/>
  <c r="AH167" i="56"/>
  <c r="AH25" i="56" s="1"/>
  <c r="V25" i="56"/>
  <c r="J227" i="56"/>
  <c r="J30" i="56"/>
  <c r="J29" i="56" s="1"/>
  <c r="AL438" i="56"/>
  <c r="AI438" i="56"/>
  <c r="AI470" i="56"/>
  <c r="AI219" i="56"/>
  <c r="AL219" i="56"/>
  <c r="AL198" i="56"/>
  <c r="AI198" i="56"/>
  <c r="AJ198" i="56" s="1"/>
  <c r="AI491" i="56"/>
  <c r="AL491" i="56"/>
  <c r="AI419" i="56"/>
  <c r="AJ419" i="56" s="1"/>
  <c r="AL419" i="56"/>
  <c r="AI423" i="56"/>
  <c r="AJ423" i="56" s="1"/>
  <c r="AL423" i="56"/>
  <c r="AI409" i="56"/>
  <c r="AL409" i="56"/>
  <c r="AK201" i="56"/>
  <c r="AJ201" i="56"/>
  <c r="O20" i="56"/>
  <c r="AI239" i="56"/>
  <c r="AL239" i="56"/>
  <c r="U237" i="56"/>
  <c r="AL237" i="56" s="1"/>
  <c r="AI76" i="56"/>
  <c r="AL76" i="56"/>
  <c r="AI58" i="56"/>
  <c r="AL58" i="56"/>
  <c r="AI67" i="56"/>
  <c r="AL67" i="56"/>
  <c r="AL62" i="56"/>
  <c r="AI62" i="56"/>
  <c r="AI56" i="56"/>
  <c r="AL56" i="56"/>
  <c r="AI54" i="56"/>
  <c r="AL54" i="56"/>
  <c r="AI69" i="56"/>
  <c r="AL69" i="56"/>
  <c r="AI575" i="56"/>
  <c r="AL575" i="56"/>
  <c r="AI373" i="56"/>
  <c r="AL373" i="56"/>
  <c r="AJ174" i="56"/>
  <c r="AK174" i="56"/>
  <c r="AI74" i="56"/>
  <c r="AL74" i="56"/>
  <c r="AI767" i="56"/>
  <c r="AJ767" i="56" s="1"/>
  <c r="AI579" i="56"/>
  <c r="AL579" i="56"/>
  <c r="U543" i="56"/>
  <c r="AL543" i="56" s="1"/>
  <c r="AL544" i="56"/>
  <c r="AL576" i="56"/>
  <c r="AI576" i="56"/>
  <c r="AL538" i="56"/>
  <c r="AI538" i="56"/>
  <c r="AK530" i="56"/>
  <c r="AJ530" i="56"/>
  <c r="AI418" i="56"/>
  <c r="AJ418" i="56" s="1"/>
  <c r="AL418" i="56"/>
  <c r="AL425" i="56"/>
  <c r="AI425" i="56"/>
  <c r="AJ425" i="56" s="1"/>
  <c r="AL412" i="56"/>
  <c r="AI412" i="56"/>
  <c r="AL424" i="56"/>
  <c r="AI424" i="56"/>
  <c r="AJ424" i="56" s="1"/>
  <c r="AL303" i="56"/>
  <c r="AI303" i="56"/>
  <c r="AL394" i="56"/>
  <c r="AI394" i="56"/>
  <c r="AL311" i="56"/>
  <c r="AI311" i="56"/>
  <c r="AL298" i="56"/>
  <c r="AI298" i="56"/>
  <c r="AL207" i="56"/>
  <c r="AI207" i="56"/>
  <c r="AJ207" i="56" s="1"/>
  <c r="AI141" i="56"/>
  <c r="AJ141" i="56" s="1"/>
  <c r="AL141" i="56"/>
  <c r="S20" i="56"/>
  <c r="AI254" i="56"/>
  <c r="AL254" i="56"/>
  <c r="AI140" i="56"/>
  <c r="AJ140" i="56" s="1"/>
  <c r="AL140" i="56"/>
  <c r="AI64" i="56"/>
  <c r="AL64" i="56"/>
  <c r="AI85" i="56"/>
  <c r="AL85" i="56"/>
  <c r="AL186" i="56"/>
  <c r="AI186" i="56"/>
  <c r="AJ186" i="56" s="1"/>
  <c r="AI82" i="56"/>
  <c r="AL82" i="56"/>
  <c r="AK73" i="56"/>
  <c r="AJ73" i="56"/>
  <c r="AI52" i="56"/>
  <c r="AL52" i="56"/>
  <c r="AI53" i="56"/>
  <c r="AL53" i="56"/>
  <c r="AI437" i="56"/>
  <c r="AL437" i="56"/>
  <c r="AI363" i="56"/>
  <c r="AL363" i="56"/>
  <c r="AI78" i="56"/>
  <c r="AL78" i="56"/>
  <c r="AI79" i="56"/>
  <c r="AL79" i="56"/>
  <c r="AI766" i="56"/>
  <c r="AJ766" i="56" s="1"/>
  <c r="AB227" i="56"/>
  <c r="AB45" i="56" s="1"/>
  <c r="AB44" i="56" s="1"/>
  <c r="AB30" i="56"/>
  <c r="AB29" i="56" s="1"/>
  <c r="AB13" i="56" s="1"/>
  <c r="AB12" i="56" s="1"/>
  <c r="S313" i="56"/>
  <c r="S40" i="56"/>
  <c r="AL289" i="56"/>
  <c r="AJ299" i="56"/>
  <c r="AK299" i="56"/>
  <c r="AI247" i="56"/>
  <c r="AL247" i="56"/>
  <c r="AG227" i="56"/>
  <c r="AG30" i="56"/>
  <c r="AG29" i="56" s="1"/>
  <c r="AL75" i="56"/>
  <c r="AL392" i="56"/>
  <c r="AI392" i="56"/>
  <c r="AH356" i="56"/>
  <c r="AH355" i="56" s="1"/>
  <c r="U428" i="56"/>
  <c r="AL405" i="56"/>
  <c r="AI405" i="56"/>
  <c r="AK400" i="56"/>
  <c r="AJ400" i="56"/>
  <c r="AL384" i="56"/>
  <c r="AI384" i="56"/>
  <c r="AI362" i="56"/>
  <c r="AL362" i="56"/>
  <c r="AH290" i="56"/>
  <c r="AH33" i="56" s="1"/>
  <c r="AD266" i="56"/>
  <c r="W266" i="56" s="1"/>
  <c r="I266" i="56"/>
  <c r="G266" i="56" s="1"/>
  <c r="AI374" i="56"/>
  <c r="G310" i="56"/>
  <c r="G309" i="56" s="1"/>
  <c r="I309" i="56"/>
  <c r="AL304" i="56"/>
  <c r="AI304" i="56"/>
  <c r="AJ390" i="56"/>
  <c r="AK390" i="56"/>
  <c r="AJ322" i="56"/>
  <c r="AK322" i="56"/>
  <c r="I33" i="56"/>
  <c r="I287" i="56"/>
  <c r="G287" i="56" s="1"/>
  <c r="AJ278" i="56"/>
  <c r="AK278" i="56"/>
  <c r="AL145" i="56"/>
  <c r="AI145" i="56"/>
  <c r="AJ145" i="56" s="1"/>
  <c r="I134" i="56"/>
  <c r="AJ389" i="56"/>
  <c r="AK389" i="56"/>
  <c r="AL349" i="56"/>
  <c r="AI349" i="56"/>
  <c r="AE313" i="56"/>
  <c r="AE40" i="56"/>
  <c r="AE39" i="56" s="1"/>
  <c r="AL391" i="56"/>
  <c r="AI391" i="56"/>
  <c r="AK366" i="56"/>
  <c r="AJ366" i="56"/>
  <c r="AK318" i="56"/>
  <c r="AJ318" i="56"/>
  <c r="U287" i="56"/>
  <c r="AJ350" i="56"/>
  <c r="AK350" i="56"/>
  <c r="AI252" i="56"/>
  <c r="U251" i="56"/>
  <c r="U249" i="56" s="1"/>
  <c r="I232" i="56"/>
  <c r="G233" i="56"/>
  <c r="G232" i="56" s="1"/>
  <c r="AD228" i="56"/>
  <c r="H227" i="56"/>
  <c r="H30" i="56"/>
  <c r="H29" i="56" s="1"/>
  <c r="AK224" i="56"/>
  <c r="AJ224" i="56"/>
  <c r="AK216" i="56"/>
  <c r="AJ216" i="56"/>
  <c r="AL210" i="56"/>
  <c r="AI210" i="56"/>
  <c r="AL202" i="56"/>
  <c r="AI202" i="56"/>
  <c r="AI95" i="56"/>
  <c r="AL95" i="56"/>
  <c r="AK341" i="56"/>
  <c r="AJ341" i="56"/>
  <c r="Y227" i="56"/>
  <c r="Y30" i="56"/>
  <c r="Y29" i="56" s="1"/>
  <c r="P228" i="56"/>
  <c r="G28" i="56"/>
  <c r="W193" i="56"/>
  <c r="U194" i="56"/>
  <c r="AI279" i="56"/>
  <c r="G235" i="56"/>
  <c r="AI235" i="56" s="1"/>
  <c r="W222" i="56"/>
  <c r="W221" i="56" s="1"/>
  <c r="W28" i="56" s="1"/>
  <c r="U223" i="56"/>
  <c r="P184" i="56"/>
  <c r="I185" i="56"/>
  <c r="W26" i="56"/>
  <c r="I151" i="56"/>
  <c r="I149" i="56" s="1"/>
  <c r="I148" i="56" s="1"/>
  <c r="I22" i="56" s="1"/>
  <c r="W135" i="56"/>
  <c r="AH104" i="56"/>
  <c r="U93" i="56"/>
  <c r="W90" i="56"/>
  <c r="AI306" i="56"/>
  <c r="AK257" i="56"/>
  <c r="AJ257" i="56"/>
  <c r="U256" i="56"/>
  <c r="U195" i="56"/>
  <c r="W25" i="56"/>
  <c r="G166" i="56"/>
  <c r="G165" i="56" s="1"/>
  <c r="G24" i="56" s="1"/>
  <c r="W136" i="56"/>
  <c r="U136" i="56" s="1"/>
  <c r="AI106" i="56"/>
  <c r="AL106" i="56"/>
  <c r="G99" i="56"/>
  <c r="G19" i="56" s="1"/>
  <c r="AI94" i="56"/>
  <c r="Y17" i="56"/>
  <c r="AJ61" i="56"/>
  <c r="AK61" i="56"/>
  <c r="T49" i="56"/>
  <c r="T48" i="56" s="1"/>
  <c r="AH18" i="56"/>
  <c r="V179" i="56"/>
  <c r="V178" i="56" s="1"/>
  <c r="V27" i="56" s="1"/>
  <c r="AK169" i="56"/>
  <c r="AJ169" i="56"/>
  <c r="AJ168" i="56" s="1"/>
  <c r="AI168" i="56"/>
  <c r="AK168" i="56" s="1"/>
  <c r="W151" i="56"/>
  <c r="W149" i="56" s="1"/>
  <c r="W148" i="56" s="1"/>
  <c r="W22" i="56" s="1"/>
  <c r="U152" i="56"/>
  <c r="AH205" i="56"/>
  <c r="AI177" i="56"/>
  <c r="AL177" i="56"/>
  <c r="U117" i="56"/>
  <c r="AG16" i="56"/>
  <c r="AG47" i="56"/>
  <c r="AG45" i="56" s="1"/>
  <c r="AG44" i="56" s="1"/>
  <c r="I182" i="56"/>
  <c r="AI129" i="56"/>
  <c r="AL129" i="56"/>
  <c r="U125" i="56"/>
  <c r="AL125" i="56" s="1"/>
  <c r="AH113" i="56"/>
  <c r="AH110" i="56" s="1"/>
  <c r="V110" i="56"/>
  <c r="AK66" i="56"/>
  <c r="J45" i="56"/>
  <c r="J44" i="56" s="1"/>
  <c r="AI837" i="56"/>
  <c r="AJ837" i="56" s="1"/>
  <c r="AI813" i="56"/>
  <c r="U812" i="56"/>
  <c r="G847" i="56"/>
  <c r="W751" i="56"/>
  <c r="U752" i="56"/>
  <c r="W675" i="56"/>
  <c r="AH677" i="56"/>
  <c r="AH675" i="56" s="1"/>
  <c r="AH674" i="56" s="1"/>
  <c r="W610" i="56"/>
  <c r="AG41" i="56"/>
  <c r="AE601" i="56"/>
  <c r="W601" i="56" s="1"/>
  <c r="U601" i="56" s="1"/>
  <c r="U598" i="56" s="1"/>
  <c r="Q32" i="56"/>
  <c r="AH603" i="56"/>
  <c r="U603" i="56" s="1"/>
  <c r="AI603" i="56" s="1"/>
  <c r="AJ603" i="56" s="1"/>
  <c r="AH589" i="56"/>
  <c r="U589" i="56" s="1"/>
  <c r="AI589" i="56" s="1"/>
  <c r="AJ589" i="56" s="1"/>
  <c r="U640" i="56"/>
  <c r="W639" i="56"/>
  <c r="AI670" i="56"/>
  <c r="U669" i="56"/>
  <c r="I555" i="56"/>
  <c r="G559" i="56"/>
  <c r="AL559" i="56" s="1"/>
  <c r="W504" i="56"/>
  <c r="AD502" i="56"/>
  <c r="AD501" i="56" s="1"/>
  <c r="AI578" i="56"/>
  <c r="AL578" i="56"/>
  <c r="AI542" i="56"/>
  <c r="AL542" i="56"/>
  <c r="AK520" i="56"/>
  <c r="AJ520" i="56"/>
  <c r="I268" i="56"/>
  <c r="G268" i="56" s="1"/>
  <c r="X268" i="56"/>
  <c r="AL495" i="56"/>
  <c r="AI495" i="56"/>
  <c r="P524" i="56"/>
  <c r="I525" i="56"/>
  <c r="AJ518" i="56"/>
  <c r="AK518" i="56"/>
  <c r="G556" i="56"/>
  <c r="AI557" i="56"/>
  <c r="AK511" i="56"/>
  <c r="AJ511" i="56"/>
  <c r="AI523" i="56"/>
  <c r="AJ489" i="56"/>
  <c r="AK489" i="56"/>
  <c r="AJ487" i="56"/>
  <c r="AK487" i="56"/>
  <c r="AI478" i="56"/>
  <c r="AL478" i="56"/>
  <c r="AI439" i="56"/>
  <c r="AL439" i="56"/>
  <c r="AK550" i="56"/>
  <c r="AJ550" i="56"/>
  <c r="AI535" i="56"/>
  <c r="AL535" i="56"/>
  <c r="AL483" i="56"/>
  <c r="AI483" i="56"/>
  <c r="W453" i="56"/>
  <c r="Z452" i="56"/>
  <c r="Z451" i="56" s="1"/>
  <c r="Z352" i="56" s="1"/>
  <c r="Z351" i="56" s="1"/>
  <c r="AL430" i="56"/>
  <c r="AI430" i="56"/>
  <c r="AD410" i="56"/>
  <c r="W410" i="56" s="1"/>
  <c r="U410" i="56" s="1"/>
  <c r="I410" i="56"/>
  <c r="G410" i="56" s="1"/>
  <c r="AJ570" i="56"/>
  <c r="AK570" i="56"/>
  <c r="AK449" i="56"/>
  <c r="AJ449" i="56"/>
  <c r="AJ482" i="56"/>
  <c r="AK482" i="56"/>
  <c r="AK413" i="56"/>
  <c r="AJ413" i="56"/>
  <c r="AJ378" i="56"/>
  <c r="AK378" i="56"/>
  <c r="C352" i="56"/>
  <c r="C351" i="56" s="1"/>
  <c r="AH458" i="56"/>
  <c r="U458" i="56" s="1"/>
  <c r="K352" i="56"/>
  <c r="K351" i="56" s="1"/>
  <c r="G877" i="56"/>
  <c r="G876" i="56" s="1"/>
  <c r="G873" i="56"/>
  <c r="G872" i="56" s="1"/>
  <c r="I872" i="56"/>
  <c r="I846" i="56" s="1"/>
  <c r="AI834" i="56"/>
  <c r="U850" i="56"/>
  <c r="G787" i="56"/>
  <c r="AI840" i="56"/>
  <c r="AJ840" i="56" s="1"/>
  <c r="W817" i="56"/>
  <c r="AH787" i="56"/>
  <c r="AH786" i="56" s="1"/>
  <c r="U835" i="56"/>
  <c r="AI835" i="56" s="1"/>
  <c r="AJ835" i="56" s="1"/>
  <c r="U808" i="56"/>
  <c r="AH751" i="56"/>
  <c r="AH735" i="56" s="1"/>
  <c r="AH734" i="56" s="1"/>
  <c r="U691" i="56"/>
  <c r="AI692" i="56"/>
  <c r="U740" i="56"/>
  <c r="W737" i="56"/>
  <c r="G727" i="56"/>
  <c r="G726" i="56" s="1"/>
  <c r="I726" i="56"/>
  <c r="G640" i="56"/>
  <c r="G639" i="56" s="1"/>
  <c r="I639" i="56"/>
  <c r="AH803" i="56"/>
  <c r="G605" i="56"/>
  <c r="AI661" i="56"/>
  <c r="U660" i="56"/>
  <c r="T644" i="56"/>
  <c r="T643" i="56" s="1"/>
  <c r="U727" i="56"/>
  <c r="W726" i="56"/>
  <c r="U697" i="56"/>
  <c r="W696" i="56"/>
  <c r="U678" i="56"/>
  <c r="AH705" i="56"/>
  <c r="AH704" i="56" s="1"/>
  <c r="W606" i="56"/>
  <c r="AG37" i="56"/>
  <c r="I601" i="56"/>
  <c r="G601" i="56" s="1"/>
  <c r="G598" i="56" s="1"/>
  <c r="U666" i="56"/>
  <c r="W665" i="56"/>
  <c r="AG607" i="56"/>
  <c r="I607" i="56"/>
  <c r="S38" i="56"/>
  <c r="X584" i="56"/>
  <c r="X582" i="56" s="1"/>
  <c r="X581" i="56" s="1"/>
  <c r="W587" i="56"/>
  <c r="U587" i="56" s="1"/>
  <c r="AI587" i="56" s="1"/>
  <c r="AJ587" i="56" s="1"/>
  <c r="J582" i="56"/>
  <c r="J581" i="56" s="1"/>
  <c r="G514" i="56"/>
  <c r="W644" i="56"/>
  <c r="W643" i="56" s="1"/>
  <c r="W633" i="56"/>
  <c r="W616" i="56"/>
  <c r="U617" i="56"/>
  <c r="AI599" i="56"/>
  <c r="G592" i="56"/>
  <c r="G23" i="56" s="1"/>
  <c r="AI551" i="56"/>
  <c r="AL551" i="56"/>
  <c r="AK567" i="56"/>
  <c r="AJ567" i="56"/>
  <c r="I541" i="56"/>
  <c r="G541" i="56" s="1"/>
  <c r="U537" i="56"/>
  <c r="W528" i="56"/>
  <c r="U529" i="56"/>
  <c r="U506" i="56"/>
  <c r="AI477" i="56"/>
  <c r="AL477" i="56"/>
  <c r="AG584" i="56"/>
  <c r="AG582" i="56" s="1"/>
  <c r="AG18" i="56"/>
  <c r="Y584" i="56"/>
  <c r="Y582" i="56" s="1"/>
  <c r="Y581" i="56" s="1"/>
  <c r="Y18" i="56"/>
  <c r="AI548" i="56"/>
  <c r="AD539" i="56"/>
  <c r="W539" i="56" s="1"/>
  <c r="I539" i="56"/>
  <c r="G539" i="56" s="1"/>
  <c r="AJ577" i="56"/>
  <c r="AK577" i="56"/>
  <c r="AK516" i="56"/>
  <c r="AJ516" i="56"/>
  <c r="AK496" i="56"/>
  <c r="AJ496" i="56"/>
  <c r="G454" i="56"/>
  <c r="AI481" i="56"/>
  <c r="AL481" i="56"/>
  <c r="V462" i="56"/>
  <c r="AH463" i="56"/>
  <c r="AH462" i="56" s="1"/>
  <c r="U460" i="56"/>
  <c r="AH454" i="56"/>
  <c r="V452" i="56"/>
  <c r="V451" i="56" s="1"/>
  <c r="U454" i="56"/>
  <c r="AL449" i="56"/>
  <c r="AJ434" i="56"/>
  <c r="AK434" i="56"/>
  <c r="G416" i="56"/>
  <c r="G408" i="56"/>
  <c r="AI365" i="56"/>
  <c r="AL365" i="56"/>
  <c r="AH473" i="56"/>
  <c r="W469" i="56"/>
  <c r="AH469" i="56"/>
  <c r="AK545" i="56"/>
  <c r="AJ545" i="56"/>
  <c r="AL530" i="56"/>
  <c r="Y508" i="56"/>
  <c r="Y507" i="56" s="1"/>
  <c r="Y352" i="56" s="1"/>
  <c r="Y351" i="56" s="1"/>
  <c r="I479" i="56"/>
  <c r="P473" i="56"/>
  <c r="P472" i="56" s="1"/>
  <c r="U474" i="56"/>
  <c r="W465" i="56"/>
  <c r="W464" i="56" s="1"/>
  <c r="AK433" i="56"/>
  <c r="AJ433" i="56"/>
  <c r="P407" i="56"/>
  <c r="P406" i="56" s="1"/>
  <c r="T356" i="56"/>
  <c r="T355" i="56" s="1"/>
  <c r="T354" i="56" s="1"/>
  <c r="AJ467" i="56"/>
  <c r="AK467" i="56"/>
  <c r="W457" i="56"/>
  <c r="U457" i="56" s="1"/>
  <c r="AJ440" i="56"/>
  <c r="AK440" i="56"/>
  <c r="AI397" i="56"/>
  <c r="U357" i="56"/>
  <c r="I416" i="56"/>
  <c r="W402" i="56"/>
  <c r="AK388" i="56"/>
  <c r="AJ388" i="56"/>
  <c r="AI269" i="56"/>
  <c r="AK376" i="56"/>
  <c r="AJ376" i="56"/>
  <c r="AI372" i="56"/>
  <c r="AL372" i="56"/>
  <c r="V354" i="56"/>
  <c r="AG315" i="56"/>
  <c r="AG314" i="56" s="1"/>
  <c r="T315" i="56"/>
  <c r="S308" i="56"/>
  <c r="S36" i="56"/>
  <c r="AI305" i="56"/>
  <c r="AL305" i="56"/>
  <c r="W283" i="56"/>
  <c r="U284" i="56"/>
  <c r="P101" i="56"/>
  <c r="P100" i="56" s="1"/>
  <c r="P20" i="56" s="1"/>
  <c r="AD102" i="56"/>
  <c r="W102" i="56" s="1"/>
  <c r="AH399" i="56"/>
  <c r="AH396" i="56" s="1"/>
  <c r="AK367" i="56"/>
  <c r="AJ367" i="56"/>
  <c r="R352" i="56"/>
  <c r="R351" i="56" s="1"/>
  <c r="AK329" i="56"/>
  <c r="AJ329" i="56"/>
  <c r="AK321" i="56"/>
  <c r="AJ321" i="56"/>
  <c r="AI320" i="56"/>
  <c r="AK320" i="56" s="1"/>
  <c r="AK317" i="56"/>
  <c r="AJ317" i="56"/>
  <c r="AJ316" i="56" s="1"/>
  <c r="AI316" i="56"/>
  <c r="O313" i="56"/>
  <c r="O40" i="56"/>
  <c r="O39" i="56" s="1"/>
  <c r="U286" i="56"/>
  <c r="W271" i="56"/>
  <c r="W270" i="56" s="1"/>
  <c r="W31" i="56" s="1"/>
  <c r="AK385" i="56"/>
  <c r="AJ385" i="56"/>
  <c r="AA313" i="56"/>
  <c r="AA40" i="56"/>
  <c r="AA39" i="56" s="1"/>
  <c r="W308" i="56"/>
  <c r="W36" i="56"/>
  <c r="AL245" i="56"/>
  <c r="I330" i="56"/>
  <c r="I315" i="56" s="1"/>
  <c r="I314" i="56" s="1"/>
  <c r="AI277" i="56"/>
  <c r="AK292" i="56"/>
  <c r="AJ292" i="56"/>
  <c r="AK242" i="56"/>
  <c r="AJ242" i="56"/>
  <c r="O228" i="56"/>
  <c r="G230" i="56"/>
  <c r="I28" i="56"/>
  <c r="P205" i="56"/>
  <c r="I206" i="56"/>
  <c r="T193" i="56"/>
  <c r="G183" i="56"/>
  <c r="AI146" i="56"/>
  <c r="AL146" i="56"/>
  <c r="AH139" i="56"/>
  <c r="U139" i="56" s="1"/>
  <c r="AI98" i="56"/>
  <c r="AL98" i="56"/>
  <c r="AL94" i="56"/>
  <c r="AI240" i="56"/>
  <c r="AL240" i="56"/>
  <c r="D227" i="56"/>
  <c r="D45" i="56" s="1"/>
  <c r="D44" i="56" s="1"/>
  <c r="D30" i="56"/>
  <c r="D29" i="56" s="1"/>
  <c r="AL214" i="56"/>
  <c r="AI199" i="56"/>
  <c r="AL199" i="56"/>
  <c r="AI192" i="56"/>
  <c r="AJ192" i="56" s="1"/>
  <c r="U153" i="56"/>
  <c r="G136" i="56"/>
  <c r="I103" i="56"/>
  <c r="G103" i="56" s="1"/>
  <c r="AD103" i="56"/>
  <c r="W103" i="56" s="1"/>
  <c r="U103" i="56" s="1"/>
  <c r="AK281" i="56"/>
  <c r="AJ281" i="56"/>
  <c r="V228" i="56"/>
  <c r="I197" i="56"/>
  <c r="I194" i="56"/>
  <c r="U166" i="56"/>
  <c r="AH124" i="56"/>
  <c r="AH122" i="56" s="1"/>
  <c r="T19" i="56"/>
  <c r="AJ59" i="56"/>
  <c r="AK59" i="56"/>
  <c r="M47" i="56"/>
  <c r="M16" i="56"/>
  <c r="M15" i="56" s="1"/>
  <c r="AL50" i="56"/>
  <c r="AI50" i="56"/>
  <c r="AH181" i="56"/>
  <c r="T181" i="56"/>
  <c r="U167" i="56"/>
  <c r="AL168" i="56"/>
  <c r="AJ160" i="56"/>
  <c r="AK160" i="56"/>
  <c r="Y134" i="56"/>
  <c r="Y179" i="56"/>
  <c r="Y178" i="56" s="1"/>
  <c r="Y27" i="56" s="1"/>
  <c r="AH143" i="56"/>
  <c r="U143" i="56" s="1"/>
  <c r="V134" i="56"/>
  <c r="AH135" i="56"/>
  <c r="U135" i="56" s="1"/>
  <c r="AJ130" i="56"/>
  <c r="AK130" i="56"/>
  <c r="AA147" i="56"/>
  <c r="AA21" i="56" s="1"/>
  <c r="U116" i="56"/>
  <c r="W112" i="56"/>
  <c r="U112" i="56" s="1"/>
  <c r="AJ92" i="56"/>
  <c r="AK92" i="56"/>
  <c r="U191" i="56"/>
  <c r="Z179" i="56"/>
  <c r="Z178" i="56" s="1"/>
  <c r="Z27" i="56" s="1"/>
  <c r="W24" i="56"/>
  <c r="AK163" i="56"/>
  <c r="AJ163" i="56"/>
  <c r="AI150" i="56"/>
  <c r="AL150" i="56"/>
  <c r="AH132" i="56"/>
  <c r="AJ83" i="56"/>
  <c r="AK83" i="56"/>
  <c r="AL73" i="56"/>
  <c r="L13" i="56"/>
  <c r="L12" i="56" s="1"/>
  <c r="J13" i="56"/>
  <c r="J12" i="56" s="1"/>
  <c r="AJ70" i="56"/>
  <c r="AK70" i="56"/>
  <c r="AI894" i="56"/>
  <c r="U893" i="56"/>
  <c r="I782" i="56"/>
  <c r="G783" i="56"/>
  <c r="G782" i="56" s="1"/>
  <c r="AI776" i="56"/>
  <c r="AJ776" i="56" s="1"/>
  <c r="U824" i="56"/>
  <c r="AI824" i="56" s="1"/>
  <c r="AJ824" i="56" s="1"/>
  <c r="AI899" i="56"/>
  <c r="U898" i="56"/>
  <c r="AH863" i="56"/>
  <c r="U864" i="56"/>
  <c r="W873" i="56"/>
  <c r="AG872" i="56"/>
  <c r="AG846" i="56" s="1"/>
  <c r="W847" i="56"/>
  <c r="AI887" i="56"/>
  <c r="AJ887" i="56" s="1"/>
  <c r="U819" i="56"/>
  <c r="AI820" i="56"/>
  <c r="U722" i="56"/>
  <c r="W808" i="56"/>
  <c r="AI785" i="56"/>
  <c r="AJ785" i="56" s="1"/>
  <c r="G735" i="56"/>
  <c r="G666" i="56"/>
  <c r="G665" i="56" s="1"/>
  <c r="G643" i="56" s="1"/>
  <c r="I665" i="56"/>
  <c r="AI790" i="56"/>
  <c r="U789" i="56"/>
  <c r="AG611" i="56"/>
  <c r="I611" i="56"/>
  <c r="I608" i="56" s="1"/>
  <c r="S42" i="56"/>
  <c r="AI527" i="56"/>
  <c r="AL527" i="56"/>
  <c r="AH660" i="56"/>
  <c r="U636" i="56"/>
  <c r="W635" i="56"/>
  <c r="AH563" i="56"/>
  <c r="P502" i="56"/>
  <c r="P501" i="56" s="1"/>
  <c r="I503" i="56"/>
  <c r="W532" i="56"/>
  <c r="AK494" i="56"/>
  <c r="AJ494" i="56"/>
  <c r="U555" i="56"/>
  <c r="AL556" i="56"/>
  <c r="AJ519" i="56"/>
  <c r="AK519" i="56"/>
  <c r="AJ562" i="56"/>
  <c r="AK562" i="56"/>
  <c r="AJ552" i="56"/>
  <c r="AK552" i="56"/>
  <c r="AL521" i="56"/>
  <c r="AI521" i="56"/>
  <c r="AJ488" i="56"/>
  <c r="AK488" i="56"/>
  <c r="AI422" i="56"/>
  <c r="AJ422" i="56" s="1"/>
  <c r="AL422" i="56"/>
  <c r="AJ547" i="56"/>
  <c r="AK547" i="56"/>
  <c r="I428" i="56"/>
  <c r="G429" i="56"/>
  <c r="G428" i="56" s="1"/>
  <c r="AH420" i="56"/>
  <c r="U420" i="56" s="1"/>
  <c r="AH541" i="56"/>
  <c r="U541" i="56" s="1"/>
  <c r="AI490" i="56"/>
  <c r="AL490" i="56"/>
  <c r="T465" i="56"/>
  <c r="T464" i="56" s="1"/>
  <c r="W445" i="56"/>
  <c r="W444" i="56" s="1"/>
  <c r="U447" i="56"/>
  <c r="AK492" i="56"/>
  <c r="AJ492" i="56"/>
  <c r="AH455" i="56"/>
  <c r="U455" i="56" s="1"/>
  <c r="G445" i="56"/>
  <c r="G444" i="56" s="1"/>
  <c r="AB416" i="56"/>
  <c r="AB407" i="56" s="1"/>
  <c r="AB406" i="56" s="1"/>
  <c r="AK415" i="56"/>
  <c r="AJ415" i="56"/>
  <c r="U398" i="56"/>
  <c r="AL360" i="56"/>
  <c r="AI360" i="56"/>
  <c r="H352" i="56"/>
  <c r="H351" i="56" s="1"/>
  <c r="AJ456" i="56"/>
  <c r="AK456" i="56"/>
  <c r="AK442" i="56"/>
  <c r="AJ442" i="56"/>
  <c r="V416" i="56"/>
  <c r="V407" i="56" s="1"/>
  <c r="V406" i="56" s="1"/>
  <c r="W396" i="56"/>
  <c r="AI382" i="56"/>
  <c r="AL382" i="56"/>
  <c r="AI371" i="56"/>
  <c r="AL371" i="56"/>
  <c r="AB354" i="56"/>
  <c r="AB352" i="56" s="1"/>
  <c r="AB351" i="56" s="1"/>
  <c r="J352" i="56"/>
  <c r="J351" i="56" s="1"/>
  <c r="AG416" i="56"/>
  <c r="AG407" i="56" s="1"/>
  <c r="AG406" i="56" s="1"/>
  <c r="AG352" i="56" s="1"/>
  <c r="AG351" i="56" s="1"/>
  <c r="W417" i="56"/>
  <c r="AL386" i="56"/>
  <c r="AI386" i="56"/>
  <c r="AI383" i="56"/>
  <c r="AL383" i="56"/>
  <c r="AK368" i="56"/>
  <c r="AJ368" i="56"/>
  <c r="AI359" i="56"/>
  <c r="AL359" i="56"/>
  <c r="AI312" i="56"/>
  <c r="AL312" i="56"/>
  <c r="AG308" i="56"/>
  <c r="AG36" i="56"/>
  <c r="AL302" i="56"/>
  <c r="AI302" i="56"/>
  <c r="AL291" i="56"/>
  <c r="AI291" i="56"/>
  <c r="AL265" i="56"/>
  <c r="AI265" i="56"/>
  <c r="N352" i="56"/>
  <c r="N351" i="56" s="1"/>
  <c r="K313" i="56"/>
  <c r="T313" i="56" s="1"/>
  <c r="K40" i="56"/>
  <c r="K39" i="56" s="1"/>
  <c r="W293" i="56"/>
  <c r="X290" i="56"/>
  <c r="X33" i="56" s="1"/>
  <c r="AH282" i="56"/>
  <c r="AH32" i="56" s="1"/>
  <c r="AJ267" i="56"/>
  <c r="AK267" i="56"/>
  <c r="U232" i="56"/>
  <c r="Y147" i="56"/>
  <c r="Y21" i="56" s="1"/>
  <c r="W121" i="56"/>
  <c r="AJ370" i="56"/>
  <c r="AK370" i="56"/>
  <c r="U344" i="56"/>
  <c r="AI345" i="56"/>
  <c r="AJ323" i="56"/>
  <c r="AK323" i="56"/>
  <c r="AI310" i="56"/>
  <c r="AL310" i="56"/>
  <c r="U309" i="56"/>
  <c r="I354" i="56"/>
  <c r="U348" i="56"/>
  <c r="W347" i="56"/>
  <c r="W315" i="56" s="1"/>
  <c r="W314" i="56" s="1"/>
  <c r="AJ325" i="56"/>
  <c r="AK325" i="56"/>
  <c r="T314" i="56"/>
  <c r="T40" i="56" s="1"/>
  <c r="AL301" i="56"/>
  <c r="AI301" i="56"/>
  <c r="G285" i="56"/>
  <c r="AI285" i="56" s="1"/>
  <c r="I283" i="56"/>
  <c r="I282" i="56" s="1"/>
  <c r="I32" i="56" s="1"/>
  <c r="AI241" i="56"/>
  <c r="AL241" i="56"/>
  <c r="K227" i="56"/>
  <c r="K30" i="56"/>
  <c r="K29" i="56" s="1"/>
  <c r="S227" i="56"/>
  <c r="S45" i="56" s="1"/>
  <c r="S44" i="56" s="1"/>
  <c r="S30" i="56"/>
  <c r="S29" i="56" s="1"/>
  <c r="Q227" i="56"/>
  <c r="Q45" i="56" s="1"/>
  <c r="Q44" i="56" s="1"/>
  <c r="Q30" i="56"/>
  <c r="Q29" i="56" s="1"/>
  <c r="Q13" i="56" s="1"/>
  <c r="Q12" i="56" s="1"/>
  <c r="AL215" i="56"/>
  <c r="AI215" i="56"/>
  <c r="AI211" i="56"/>
  <c r="AL211" i="56"/>
  <c r="AL209" i="56"/>
  <c r="AI209" i="56"/>
  <c r="I147" i="56"/>
  <c r="I21" i="56" s="1"/>
  <c r="G121" i="56"/>
  <c r="G147" i="56" s="1"/>
  <c r="G21" i="56" s="1"/>
  <c r="AJ120" i="56"/>
  <c r="AK120" i="56"/>
  <c r="AL97" i="56"/>
  <c r="AI97" i="56"/>
  <c r="AJ340" i="56"/>
  <c r="AK340" i="56"/>
  <c r="AA227" i="56"/>
  <c r="AK234" i="56"/>
  <c r="AJ234" i="56"/>
  <c r="AH225" i="56"/>
  <c r="U225" i="56" s="1"/>
  <c r="V222" i="56"/>
  <c r="V221" i="56" s="1"/>
  <c r="V28" i="56" s="1"/>
  <c r="AK220" i="56"/>
  <c r="AJ220" i="56"/>
  <c r="W196" i="56"/>
  <c r="U197" i="56"/>
  <c r="AK343" i="56"/>
  <c r="AJ343" i="56"/>
  <c r="AI342" i="56"/>
  <c r="AI274" i="56"/>
  <c r="AL274" i="56"/>
  <c r="W237" i="56"/>
  <c r="AI236" i="56"/>
  <c r="AL236" i="56"/>
  <c r="AK217" i="56"/>
  <c r="AJ217" i="56"/>
  <c r="AL189" i="56"/>
  <c r="AI189" i="56"/>
  <c r="AJ189" i="56" s="1"/>
  <c r="AH142" i="56"/>
  <c r="U142" i="56" s="1"/>
  <c r="AH131" i="56"/>
  <c r="U131" i="56" s="1"/>
  <c r="AJ107" i="56"/>
  <c r="AK107" i="56"/>
  <c r="AJ261" i="56"/>
  <c r="AK261" i="56"/>
  <c r="T24" i="56"/>
  <c r="AK161" i="56"/>
  <c r="AJ161" i="56"/>
  <c r="AI144" i="56"/>
  <c r="AL144" i="56"/>
  <c r="Y16" i="56"/>
  <c r="Y47" i="56"/>
  <c r="AH17" i="56"/>
  <c r="AI212" i="56"/>
  <c r="I24" i="56"/>
  <c r="G135" i="56"/>
  <c r="AL127" i="56"/>
  <c r="I122" i="56"/>
  <c r="G123" i="56"/>
  <c r="G122" i="56" s="1"/>
  <c r="U119" i="56"/>
  <c r="U115" i="56"/>
  <c r="G112" i="56"/>
  <c r="AL88" i="56"/>
  <c r="AI88" i="56"/>
  <c r="T187" i="56"/>
  <c r="AH184" i="56"/>
  <c r="AL174" i="56"/>
  <c r="AH138" i="56"/>
  <c r="U138" i="56" s="1"/>
  <c r="N49" i="56"/>
  <c r="N48" i="56" s="1"/>
  <c r="I110" i="56"/>
  <c r="Z110" i="56"/>
  <c r="R13" i="56"/>
  <c r="R12" i="56" s="1"/>
  <c r="U869" i="56"/>
  <c r="W868" i="56"/>
  <c r="AG816" i="56"/>
  <c r="AH847" i="56"/>
  <c r="AH846" i="56" s="1"/>
  <c r="W843" i="56"/>
  <c r="AG842" i="56"/>
  <c r="AI772" i="56"/>
  <c r="AJ772" i="56" s="1"/>
  <c r="AI804" i="56"/>
  <c r="U803" i="56"/>
  <c r="G636" i="56"/>
  <c r="G635" i="56" s="1"/>
  <c r="I635" i="56"/>
  <c r="I613" i="56" s="1"/>
  <c r="G609" i="56"/>
  <c r="AI903" i="56"/>
  <c r="I808" i="56"/>
  <c r="I786" i="56" s="1"/>
  <c r="G809" i="56"/>
  <c r="G808" i="56" s="1"/>
  <c r="G839" i="56"/>
  <c r="G838" i="56" s="1"/>
  <c r="I838" i="56"/>
  <c r="I816" i="56" s="1"/>
  <c r="G731" i="56"/>
  <c r="G730" i="56" s="1"/>
  <c r="I730" i="56"/>
  <c r="G721" i="56"/>
  <c r="G705" i="56" s="1"/>
  <c r="AH644" i="56"/>
  <c r="AH643" i="56" s="1"/>
  <c r="I598" i="56"/>
  <c r="I582" i="56" s="1"/>
  <c r="AG643" i="56"/>
  <c r="AH614" i="56"/>
  <c r="AH613" i="56" s="1"/>
  <c r="AH585" i="56"/>
  <c r="AH584" i="56" s="1"/>
  <c r="AH582" i="56" s="1"/>
  <c r="AH581" i="56" s="1"/>
  <c r="V584" i="56"/>
  <c r="V582" i="56" s="1"/>
  <c r="V581" i="56" s="1"/>
  <c r="U647" i="56"/>
  <c r="AH588" i="56"/>
  <c r="AH19" i="56" s="1"/>
  <c r="U588" i="56"/>
  <c r="AI588" i="56" s="1"/>
  <c r="AJ588" i="56" s="1"/>
  <c r="V19" i="56"/>
  <c r="AL572" i="56"/>
  <c r="AI572" i="56"/>
  <c r="AL549" i="56"/>
  <c r="AI549" i="56"/>
  <c r="AI534" i="56"/>
  <c r="AL534" i="56"/>
  <c r="AL513" i="56"/>
  <c r="AI513" i="56"/>
  <c r="F581" i="56"/>
  <c r="T563" i="56"/>
  <c r="T507" i="56" s="1"/>
  <c r="G528" i="56"/>
  <c r="AL510" i="56"/>
  <c r="U509" i="56"/>
  <c r="AI510" i="56"/>
  <c r="AL526" i="56"/>
  <c r="AI526" i="56"/>
  <c r="AL480" i="56"/>
  <c r="AI480" i="56"/>
  <c r="U564" i="56"/>
  <c r="AK533" i="56"/>
  <c r="AJ533" i="56"/>
  <c r="AJ441" i="56"/>
  <c r="AK441" i="56"/>
  <c r="AI560" i="56"/>
  <c r="AJ512" i="56"/>
  <c r="AK512" i="56"/>
  <c r="U888" i="56"/>
  <c r="AI888" i="56" s="1"/>
  <c r="AJ888" i="56" s="1"/>
  <c r="W879" i="56"/>
  <c r="W877" i="56" s="1"/>
  <c r="U880" i="56"/>
  <c r="AH877" i="56"/>
  <c r="AH876" i="56" s="1"/>
  <c r="AH833" i="56"/>
  <c r="AH817" i="56" s="1"/>
  <c r="AH816" i="56" s="1"/>
  <c r="I778" i="56"/>
  <c r="I734" i="56" s="1"/>
  <c r="G779" i="56"/>
  <c r="G778" i="56" s="1"/>
  <c r="AI844" i="56"/>
  <c r="AJ844" i="56" s="1"/>
  <c r="G819" i="56"/>
  <c r="G817" i="56" s="1"/>
  <c r="G816" i="56" s="1"/>
  <c r="G843" i="56"/>
  <c r="G842" i="56" s="1"/>
  <c r="I842" i="56"/>
  <c r="AI717" i="56"/>
  <c r="AJ717" i="56" s="1"/>
  <c r="W839" i="56"/>
  <c r="AG838" i="56"/>
  <c r="AI783" i="56"/>
  <c r="U782" i="56"/>
  <c r="U778" i="56"/>
  <c r="AI723" i="56"/>
  <c r="AJ723" i="56" s="1"/>
  <c r="U707" i="56"/>
  <c r="AI708" i="56"/>
  <c r="U701" i="56"/>
  <c r="W700" i="56"/>
  <c r="I643" i="56"/>
  <c r="W789" i="56"/>
  <c r="W787" i="56" s="1"/>
  <c r="W786" i="56" s="1"/>
  <c r="W721" i="56"/>
  <c r="W705" i="56" s="1"/>
  <c r="Y705" i="56"/>
  <c r="Y704" i="56" s="1"/>
  <c r="U731" i="56"/>
  <c r="W730" i="56"/>
  <c r="G613" i="56"/>
  <c r="G602" i="56"/>
  <c r="G33" i="56" s="1"/>
  <c r="AI631" i="56"/>
  <c r="AD613" i="56"/>
  <c r="S608" i="56"/>
  <c r="S581" i="56" s="1"/>
  <c r="AH591" i="56"/>
  <c r="U591" i="56"/>
  <c r="AI591" i="56" s="1"/>
  <c r="AJ591" i="56" s="1"/>
  <c r="R582" i="56"/>
  <c r="R581" i="56" s="1"/>
  <c r="I540" i="56"/>
  <c r="G540" i="56" s="1"/>
  <c r="AI540" i="56" s="1"/>
  <c r="AI522" i="56"/>
  <c r="AL522" i="56"/>
  <c r="U620" i="56"/>
  <c r="AI620" i="56" s="1"/>
  <c r="AJ620" i="56" s="1"/>
  <c r="AI595" i="56"/>
  <c r="AJ595" i="56" s="1"/>
  <c r="T582" i="56"/>
  <c r="T581" i="56" s="1"/>
  <c r="Q598" i="56"/>
  <c r="G563" i="56"/>
  <c r="U524" i="56"/>
  <c r="AC227" i="56"/>
  <c r="AC30" i="56"/>
  <c r="AC29" i="56" s="1"/>
  <c r="AI499" i="56"/>
  <c r="AL499" i="56"/>
  <c r="W584" i="56"/>
  <c r="AK573" i="56"/>
  <c r="AJ573" i="56"/>
  <c r="AK561" i="56"/>
  <c r="AJ561" i="56"/>
  <c r="AK553" i="56"/>
  <c r="AJ553" i="56"/>
  <c r="AL536" i="56"/>
  <c r="AI536" i="56"/>
  <c r="I531" i="56"/>
  <c r="G532" i="56"/>
  <c r="G531" i="56" s="1"/>
  <c r="W515" i="56"/>
  <c r="AD514" i="56"/>
  <c r="AK505" i="56"/>
  <c r="AJ505" i="56"/>
  <c r="AC584" i="56"/>
  <c r="AC582" i="56" s="1"/>
  <c r="AC581" i="56" s="1"/>
  <c r="AC18" i="56"/>
  <c r="AC15" i="56" s="1"/>
  <c r="AK569" i="56"/>
  <c r="AJ569" i="56"/>
  <c r="AL557" i="56"/>
  <c r="AH539" i="56"/>
  <c r="U539" i="56"/>
  <c r="AH498" i="56"/>
  <c r="U498" i="56" s="1"/>
  <c r="AJ497" i="56"/>
  <c r="AK497" i="56"/>
  <c r="AI605" i="56"/>
  <c r="AK571" i="56"/>
  <c r="AJ571" i="56"/>
  <c r="AL448" i="56"/>
  <c r="AI448" i="56"/>
  <c r="U443" i="56"/>
  <c r="AK546" i="56"/>
  <c r="AJ546" i="56"/>
  <c r="P508" i="56"/>
  <c r="P507" i="56" s="1"/>
  <c r="AK485" i="56"/>
  <c r="AJ485" i="56"/>
  <c r="AD473" i="56"/>
  <c r="AD472" i="56" s="1"/>
  <c r="W476" i="56"/>
  <c r="AL475" i="56"/>
  <c r="AI475" i="56"/>
  <c r="AH468" i="56"/>
  <c r="AH465" i="56" s="1"/>
  <c r="AH464" i="56" s="1"/>
  <c r="V465" i="56"/>
  <c r="V464" i="56" s="1"/>
  <c r="I452" i="56"/>
  <c r="I451" i="56" s="1"/>
  <c r="G453" i="56"/>
  <c r="AI446" i="56"/>
  <c r="AJ436" i="56"/>
  <c r="AK436" i="56"/>
  <c r="AI431" i="56"/>
  <c r="AK431" i="56" s="1"/>
  <c r="AJ432" i="56"/>
  <c r="AK432" i="56"/>
  <c r="AJ471" i="56"/>
  <c r="AK471" i="56"/>
  <c r="T472" i="56"/>
  <c r="AH453" i="56"/>
  <c r="AH452" i="56" s="1"/>
  <c r="AH451" i="56" s="1"/>
  <c r="AK435" i="56"/>
  <c r="AJ435" i="56"/>
  <c r="AH421" i="56"/>
  <c r="AH416" i="56" s="1"/>
  <c r="AK414" i="56"/>
  <c r="AJ414" i="56"/>
  <c r="AI387" i="56"/>
  <c r="AL387" i="56"/>
  <c r="G357" i="56"/>
  <c r="G356" i="56" s="1"/>
  <c r="G355" i="56" s="1"/>
  <c r="AK466" i="56"/>
  <c r="AJ466" i="56"/>
  <c r="G398" i="56"/>
  <c r="G396" i="56" s="1"/>
  <c r="U395" i="56"/>
  <c r="AI358" i="56"/>
  <c r="AL358" i="56"/>
  <c r="AH428" i="56"/>
  <c r="AH427" i="56"/>
  <c r="U427" i="56" s="1"/>
  <c r="W408" i="56"/>
  <c r="AH402" i="56"/>
  <c r="O352" i="56"/>
  <c r="O351" i="56" s="1"/>
  <c r="AL380" i="56"/>
  <c r="AI380" i="56"/>
  <c r="AI375" i="56"/>
  <c r="AL375" i="56"/>
  <c r="AK364" i="56"/>
  <c r="AJ364" i="56"/>
  <c r="AH266" i="56"/>
  <c r="AH228" i="56" s="1"/>
  <c r="AK369" i="56"/>
  <c r="AJ369" i="56"/>
  <c r="AI307" i="56"/>
  <c r="AL307" i="56"/>
  <c r="AI276" i="56"/>
  <c r="AL276" i="56"/>
  <c r="U275" i="56"/>
  <c r="I271" i="56"/>
  <c r="I270" i="56" s="1"/>
  <c r="I31" i="56" s="1"/>
  <c r="G272" i="56"/>
  <c r="AL316" i="56"/>
  <c r="AI288" i="56"/>
  <c r="AL288" i="56"/>
  <c r="G273" i="56"/>
  <c r="AK381" i="56"/>
  <c r="AJ381" i="56"/>
  <c r="W356" i="56"/>
  <c r="W355" i="56" s="1"/>
  <c r="W354" i="56" s="1"/>
  <c r="AI330" i="56"/>
  <c r="AJ330" i="56" s="1"/>
  <c r="AJ300" i="56"/>
  <c r="AK300" i="56"/>
  <c r="AL397" i="56"/>
  <c r="L352" i="56"/>
  <c r="L351" i="56" s="1"/>
  <c r="AJ339" i="56"/>
  <c r="AK339" i="56"/>
  <c r="AI338" i="56"/>
  <c r="AK338" i="56" s="1"/>
  <c r="AK295" i="56"/>
  <c r="AJ295" i="56"/>
  <c r="G256" i="56"/>
  <c r="G255" i="56" s="1"/>
  <c r="G250" i="56"/>
  <c r="AJ244" i="56"/>
  <c r="AJ243" i="56" s="1"/>
  <c r="AI243" i="56"/>
  <c r="AK243" i="56" s="1"/>
  <c r="N228" i="56"/>
  <c r="AK231" i="56"/>
  <c r="AJ231" i="56"/>
  <c r="T228" i="56"/>
  <c r="AK214" i="56"/>
  <c r="AJ214" i="56"/>
  <c r="AI203" i="56"/>
  <c r="AL203" i="56"/>
  <c r="T196" i="56"/>
  <c r="T179" i="56" s="1"/>
  <c r="T178" i="56" s="1"/>
  <c r="T27" i="56" s="1"/>
  <c r="AI156" i="56"/>
  <c r="AL156" i="56"/>
  <c r="W137" i="56"/>
  <c r="U137" i="56" s="1"/>
  <c r="U133" i="56"/>
  <c r="G90" i="56"/>
  <c r="G18" i="56" s="1"/>
  <c r="I229" i="56"/>
  <c r="I191" i="56"/>
  <c r="AL262" i="56"/>
  <c r="AI262" i="56"/>
  <c r="R227" i="56"/>
  <c r="R45" i="56" s="1"/>
  <c r="R44" i="56" s="1"/>
  <c r="U226" i="56"/>
  <c r="AL216" i="56"/>
  <c r="AH196" i="56"/>
  <c r="U180" i="56"/>
  <c r="G152" i="56"/>
  <c r="G151" i="56" s="1"/>
  <c r="G149" i="56" s="1"/>
  <c r="G148" i="56" s="1"/>
  <c r="G22" i="56" s="1"/>
  <c r="AH121" i="56"/>
  <c r="V147" i="56"/>
  <c r="V21" i="56" s="1"/>
  <c r="X47" i="56"/>
  <c r="X18" i="56"/>
  <c r="X15" i="56" s="1"/>
  <c r="AE227" i="56"/>
  <c r="AE45" i="56" s="1"/>
  <c r="AE44" i="56" s="1"/>
  <c r="AE30" i="56"/>
  <c r="C227" i="56"/>
  <c r="U230" i="56"/>
  <c r="Z134" i="56"/>
  <c r="W17" i="56"/>
  <c r="AJ71" i="56"/>
  <c r="AK71" i="56"/>
  <c r="AH49" i="56"/>
  <c r="AH48" i="56" s="1"/>
  <c r="AL109" i="56"/>
  <c r="AI109" i="56"/>
  <c r="U87" i="56"/>
  <c r="U49" i="56" s="1"/>
  <c r="AK154" i="56"/>
  <c r="AJ154" i="56"/>
  <c r="U183" i="56"/>
  <c r="U181" i="56" s="1"/>
  <c r="T134" i="56"/>
  <c r="AI127" i="56"/>
  <c r="T122" i="56"/>
  <c r="U118" i="56"/>
  <c r="U114" i="56"/>
  <c r="T110" i="56"/>
  <c r="K47" i="56"/>
  <c r="K45" i="56" s="1"/>
  <c r="K44" i="56" s="1"/>
  <c r="K16" i="56"/>
  <c r="K15" i="56" s="1"/>
  <c r="K13" i="56" s="1"/>
  <c r="K12" i="56" s="1"/>
  <c r="G188" i="56"/>
  <c r="G187" i="56" s="1"/>
  <c r="U173" i="56"/>
  <c r="AJ126" i="56"/>
  <c r="AI125" i="56"/>
  <c r="AK125" i="56" s="1"/>
  <c r="AK126" i="56"/>
  <c r="I51" i="56"/>
  <c r="Y110" i="56"/>
  <c r="Y101" i="56" s="1"/>
  <c r="Y100" i="56" s="1"/>
  <c r="Y20" i="56" s="1"/>
  <c r="W111" i="56"/>
  <c r="V16" i="56"/>
  <c r="V15" i="56" s="1"/>
  <c r="I228" i="56" l="1"/>
  <c r="W282" i="56"/>
  <c r="W32" i="56" s="1"/>
  <c r="AK81" i="56"/>
  <c r="C45" i="56"/>
  <c r="C44" i="56" s="1"/>
  <c r="T101" i="56"/>
  <c r="T100" i="56" s="1"/>
  <c r="T20" i="56" s="1"/>
  <c r="G249" i="56"/>
  <c r="AC45" i="56"/>
  <c r="AC44" i="56" s="1"/>
  <c r="AH22" i="56"/>
  <c r="W187" i="56"/>
  <c r="AK84" i="56"/>
  <c r="AL99" i="56"/>
  <c r="AL57" i="56"/>
  <c r="S13" i="56"/>
  <c r="W181" i="56"/>
  <c r="H13" i="56"/>
  <c r="H12" i="56" s="1"/>
  <c r="AL59" i="56"/>
  <c r="AI263" i="56"/>
  <c r="W147" i="56"/>
  <c r="W21" i="56" s="1"/>
  <c r="U132" i="56"/>
  <c r="AL132" i="56" s="1"/>
  <c r="M13" i="56"/>
  <c r="M12" i="56" s="1"/>
  <c r="U121" i="56"/>
  <c r="AJ238" i="56"/>
  <c r="U271" i="56"/>
  <c r="U270" i="56" s="1"/>
  <c r="G110" i="56"/>
  <c r="AL233" i="56"/>
  <c r="M45" i="56"/>
  <c r="M44" i="56" s="1"/>
  <c r="AK155" i="56"/>
  <c r="W47" i="56"/>
  <c r="H45" i="56"/>
  <c r="H44" i="56" s="1"/>
  <c r="AL252" i="56"/>
  <c r="AI55" i="56"/>
  <c r="AK55" i="56" s="1"/>
  <c r="AL65" i="56"/>
  <c r="AI86" i="56"/>
  <c r="AL86" i="56"/>
  <c r="AA45" i="56"/>
  <c r="AA44" i="56" s="1"/>
  <c r="W122" i="56"/>
  <c r="AL251" i="56"/>
  <c r="AI72" i="56"/>
  <c r="G40" i="56"/>
  <c r="G313" i="56"/>
  <c r="G271" i="56"/>
  <c r="G270" i="56" s="1"/>
  <c r="G31" i="56" s="1"/>
  <c r="W876" i="56"/>
  <c r="Y45" i="56"/>
  <c r="Y44" i="56" s="1"/>
  <c r="G283" i="56"/>
  <c r="G282" i="56" s="1"/>
  <c r="G32" i="56" s="1"/>
  <c r="U463" i="56"/>
  <c r="G555" i="56"/>
  <c r="AL555" i="56" s="1"/>
  <c r="U113" i="56"/>
  <c r="AI113" i="56" s="1"/>
  <c r="AJ113" i="56" s="1"/>
  <c r="U905" i="56"/>
  <c r="W902" i="56"/>
  <c r="AI63" i="56"/>
  <c r="AL63" i="56"/>
  <c r="AL164" i="56"/>
  <c r="U158" i="56"/>
  <c r="AI164" i="56"/>
  <c r="AL320" i="56"/>
  <c r="G175" i="56"/>
  <c r="I171" i="56"/>
  <c r="I170" i="56" s="1"/>
  <c r="I26" i="56" s="1"/>
  <c r="AK361" i="56"/>
  <c r="AJ361" i="56"/>
  <c r="AH179" i="56"/>
  <c r="AJ338" i="56"/>
  <c r="U266" i="56"/>
  <c r="U402" i="56"/>
  <c r="G452" i="56"/>
  <c r="G451" i="56" s="1"/>
  <c r="U468" i="56"/>
  <c r="AH508" i="56"/>
  <c r="AH507" i="56" s="1"/>
  <c r="AD508" i="56"/>
  <c r="AD507" i="56" s="1"/>
  <c r="G704" i="56"/>
  <c r="Z101" i="56"/>
  <c r="Z100" i="56" s="1"/>
  <c r="AI237" i="56"/>
  <c r="AK237" i="56" s="1"/>
  <c r="AI559" i="56"/>
  <c r="P179" i="56"/>
  <c r="P178" i="56" s="1"/>
  <c r="P27" i="56" s="1"/>
  <c r="AL235" i="56"/>
  <c r="AL68" i="56"/>
  <c r="AI60" i="56"/>
  <c r="AL60" i="56"/>
  <c r="W184" i="56"/>
  <c r="U185" i="56"/>
  <c r="U184" i="56" s="1"/>
  <c r="AJ327" i="56"/>
  <c r="AK327" i="56"/>
  <c r="G584" i="56"/>
  <c r="AH407" i="56"/>
  <c r="AH406" i="56" s="1"/>
  <c r="W704" i="56"/>
  <c r="I101" i="56"/>
  <c r="I100" i="56" s="1"/>
  <c r="I20" i="56" s="1"/>
  <c r="AI233" i="56"/>
  <c r="AD407" i="56"/>
  <c r="AD406" i="56" s="1"/>
  <c r="AD352" i="56" s="1"/>
  <c r="AD351" i="56" s="1"/>
  <c r="G229" i="56"/>
  <c r="G228" i="56" s="1"/>
  <c r="I704" i="56"/>
  <c r="AI809" i="56"/>
  <c r="AI592" i="56"/>
  <c r="AJ592" i="56" s="1"/>
  <c r="AL77" i="56"/>
  <c r="AI77" i="56"/>
  <c r="AI280" i="56"/>
  <c r="AL280" i="56"/>
  <c r="W205" i="56"/>
  <c r="W179" i="56" s="1"/>
  <c r="W178" i="56" s="1"/>
  <c r="W27" i="56" s="1"/>
  <c r="U206" i="56"/>
  <c r="U205" i="56" s="1"/>
  <c r="AL296" i="56"/>
  <c r="AI296" i="56"/>
  <c r="AJ80" i="56"/>
  <c r="AK80" i="56"/>
  <c r="U48" i="56"/>
  <c r="AL142" i="56"/>
  <c r="AI142" i="56"/>
  <c r="AJ142" i="56" s="1"/>
  <c r="AK235" i="56"/>
  <c r="AJ235" i="56"/>
  <c r="AI402" i="56"/>
  <c r="AL402" i="56"/>
  <c r="Z20" i="56"/>
  <c r="Z13" i="56" s="1"/>
  <c r="Z12" i="56" s="1"/>
  <c r="Z45" i="56"/>
  <c r="Z44" i="56" s="1"/>
  <c r="AI225" i="56"/>
  <c r="AL225" i="56"/>
  <c r="AI458" i="56"/>
  <c r="AL458" i="56"/>
  <c r="AL121" i="56"/>
  <c r="AI121" i="56"/>
  <c r="AL271" i="56"/>
  <c r="AK540" i="56"/>
  <c r="AJ540" i="56"/>
  <c r="AL427" i="56"/>
  <c r="AI427" i="56"/>
  <c r="AL498" i="56"/>
  <c r="AI498" i="56"/>
  <c r="AI131" i="56"/>
  <c r="AL131" i="56"/>
  <c r="AJ285" i="56"/>
  <c r="AK285" i="56"/>
  <c r="AI455" i="56"/>
  <c r="AL455" i="56"/>
  <c r="AL143" i="56"/>
  <c r="AI143" i="56"/>
  <c r="AJ143" i="56" s="1"/>
  <c r="AI114" i="56"/>
  <c r="AJ114" i="56" s="1"/>
  <c r="AL114" i="56"/>
  <c r="AI180" i="56"/>
  <c r="AL180" i="56"/>
  <c r="AJ276" i="56"/>
  <c r="AK276" i="56"/>
  <c r="U408" i="56"/>
  <c r="AJ605" i="56"/>
  <c r="AK536" i="56"/>
  <c r="AJ536" i="56"/>
  <c r="AH227" i="56"/>
  <c r="AH30" i="56"/>
  <c r="AH29" i="56" s="1"/>
  <c r="W313" i="56"/>
  <c r="W40" i="56"/>
  <c r="AI309" i="56"/>
  <c r="AJ310" i="56"/>
  <c r="AK310" i="56"/>
  <c r="AK233" i="56"/>
  <c r="AJ233" i="56"/>
  <c r="W531" i="56"/>
  <c r="U532" i="56"/>
  <c r="W611" i="56"/>
  <c r="AG42" i="56"/>
  <c r="U721" i="56"/>
  <c r="U705" i="56" s="1"/>
  <c r="AI722" i="56"/>
  <c r="I196" i="56"/>
  <c r="G197" i="56"/>
  <c r="G196" i="56" s="1"/>
  <c r="AJ199" i="56"/>
  <c r="AK199" i="56"/>
  <c r="O227" i="56"/>
  <c r="O45" i="56" s="1"/>
  <c r="O44" i="56" s="1"/>
  <c r="O30" i="56"/>
  <c r="O29" i="56" s="1"/>
  <c r="O13" i="56" s="1"/>
  <c r="O12" i="56" s="1"/>
  <c r="I473" i="56"/>
  <c r="I472" i="56" s="1"/>
  <c r="G479" i="56"/>
  <c r="AI463" i="56"/>
  <c r="AL463" i="56"/>
  <c r="U462" i="56"/>
  <c r="AK551" i="56"/>
  <c r="AJ551" i="56"/>
  <c r="U606" i="56"/>
  <c r="W37" i="56"/>
  <c r="AJ809" i="56"/>
  <c r="AJ808" i="56" s="1"/>
  <c r="AI808" i="56"/>
  <c r="U639" i="56"/>
  <c r="AI640" i="56"/>
  <c r="AI812" i="56"/>
  <c r="AJ813" i="56"/>
  <c r="AJ812" i="56" s="1"/>
  <c r="AJ95" i="56"/>
  <c r="AK95" i="56"/>
  <c r="I313" i="56"/>
  <c r="I40" i="56"/>
  <c r="AH354" i="56"/>
  <c r="AK75" i="56"/>
  <c r="AJ75" i="56"/>
  <c r="AK289" i="56"/>
  <c r="AJ289" i="56"/>
  <c r="AL540" i="56"/>
  <c r="AJ579" i="56"/>
  <c r="AK579" i="56"/>
  <c r="AK373" i="56"/>
  <c r="AJ373" i="56"/>
  <c r="AJ219" i="56"/>
  <c r="AK219" i="56"/>
  <c r="AK438" i="56"/>
  <c r="AJ438" i="56"/>
  <c r="G51" i="56"/>
  <c r="I49" i="56"/>
  <c r="I48" i="56" s="1"/>
  <c r="AI173" i="56"/>
  <c r="AL173" i="56"/>
  <c r="U171" i="56"/>
  <c r="AI118" i="56"/>
  <c r="AJ118" i="56" s="1"/>
  <c r="AL118" i="56"/>
  <c r="AI183" i="56"/>
  <c r="AJ183" i="56" s="1"/>
  <c r="AL183" i="56"/>
  <c r="AK109" i="56"/>
  <c r="AJ109" i="56"/>
  <c r="AL250" i="56"/>
  <c r="AI133" i="56"/>
  <c r="AL133" i="56"/>
  <c r="N227" i="56"/>
  <c r="N30" i="56"/>
  <c r="N29" i="56" s="1"/>
  <c r="AJ288" i="56"/>
  <c r="AK288" i="56"/>
  <c r="AJ358" i="56"/>
  <c r="AK358" i="56"/>
  <c r="U421" i="56"/>
  <c r="AK475" i="56"/>
  <c r="AJ475" i="56"/>
  <c r="W514" i="56"/>
  <c r="U515" i="56"/>
  <c r="U700" i="56"/>
  <c r="AI701" i="56"/>
  <c r="AI782" i="56"/>
  <c r="AJ783" i="56"/>
  <c r="AJ782" i="56" s="1"/>
  <c r="AK480" i="56"/>
  <c r="AJ480" i="56"/>
  <c r="AI509" i="56"/>
  <c r="AK510" i="56"/>
  <c r="AJ510" i="56"/>
  <c r="AJ509" i="56" s="1"/>
  <c r="AK572" i="56"/>
  <c r="AJ572" i="56"/>
  <c r="AJ903" i="56"/>
  <c r="N16" i="56"/>
  <c r="N15" i="56" s="1"/>
  <c r="N47" i="56"/>
  <c r="N45" i="56" s="1"/>
  <c r="N44" i="56" s="1"/>
  <c r="AI115" i="56"/>
  <c r="AJ115" i="56" s="1"/>
  <c r="AL115" i="56"/>
  <c r="Y15" i="56"/>
  <c r="Y13" i="56" s="1"/>
  <c r="Y12" i="56" s="1"/>
  <c r="U347" i="56"/>
  <c r="U315" i="56" s="1"/>
  <c r="AI348" i="56"/>
  <c r="AI232" i="56"/>
  <c r="AL232" i="56"/>
  <c r="AI272" i="56"/>
  <c r="AJ312" i="56"/>
  <c r="AK312" i="56"/>
  <c r="AJ382" i="56"/>
  <c r="AK382" i="56"/>
  <c r="AK360" i="56"/>
  <c r="AJ360" i="56"/>
  <c r="AI447" i="56"/>
  <c r="AI445" i="56" s="1"/>
  <c r="AL447" i="56"/>
  <c r="U445" i="56"/>
  <c r="AK490" i="56"/>
  <c r="AJ490" i="56"/>
  <c r="AK527" i="56"/>
  <c r="AJ527" i="56"/>
  <c r="U787" i="56"/>
  <c r="U786" i="56" s="1"/>
  <c r="G734" i="56"/>
  <c r="AI819" i="56"/>
  <c r="AJ820" i="56"/>
  <c r="AJ819" i="56" s="1"/>
  <c r="AJ894" i="56"/>
  <c r="AJ893" i="56" s="1"/>
  <c r="AI893" i="56"/>
  <c r="AL135" i="56"/>
  <c r="AI135" i="56"/>
  <c r="U134" i="56"/>
  <c r="AI167" i="56"/>
  <c r="AL167" i="56"/>
  <c r="U25" i="56"/>
  <c r="AI25" i="56" s="1"/>
  <c r="AJ25" i="56" s="1"/>
  <c r="U102" i="56"/>
  <c r="AL166" i="56"/>
  <c r="AI166" i="56"/>
  <c r="U165" i="56"/>
  <c r="V227" i="56"/>
  <c r="V30" i="56"/>
  <c r="V29" i="56" s="1"/>
  <c r="AL103" i="56"/>
  <c r="AI103" i="56"/>
  <c r="AL153" i="56"/>
  <c r="AI153" i="56"/>
  <c r="AJ153" i="56" s="1"/>
  <c r="AK240" i="56"/>
  <c r="AJ240" i="56"/>
  <c r="AK277" i="56"/>
  <c r="AJ277" i="56"/>
  <c r="U399" i="56"/>
  <c r="AL284" i="56"/>
  <c r="AI284" i="56"/>
  <c r="U283" i="56"/>
  <c r="S35" i="56"/>
  <c r="V352" i="56"/>
  <c r="V351" i="56" s="1"/>
  <c r="AI357" i="56"/>
  <c r="AL357" i="56"/>
  <c r="U356" i="56"/>
  <c r="T352" i="56"/>
  <c r="T351" i="56" s="1"/>
  <c r="AK477" i="56"/>
  <c r="AJ477" i="56"/>
  <c r="AI537" i="56"/>
  <c r="AL537" i="56"/>
  <c r="G607" i="56"/>
  <c r="G38" i="56" s="1"/>
  <c r="I38" i="56"/>
  <c r="G786" i="56"/>
  <c r="AJ478" i="56"/>
  <c r="AK478" i="56"/>
  <c r="AK557" i="56"/>
  <c r="AJ557" i="56"/>
  <c r="AJ556" i="56" s="1"/>
  <c r="AI556" i="56"/>
  <c r="I524" i="56"/>
  <c r="I508" i="56" s="1"/>
  <c r="I507" i="56" s="1"/>
  <c r="G525" i="56"/>
  <c r="AK495" i="56"/>
  <c r="AJ495" i="56"/>
  <c r="U504" i="56"/>
  <c r="W502" i="56"/>
  <c r="W501" i="56" s="1"/>
  <c r="AG608" i="56"/>
  <c r="W674" i="56"/>
  <c r="V101" i="56"/>
  <c r="V100" i="56" s="1"/>
  <c r="AG15" i="56"/>
  <c r="AG13" i="56" s="1"/>
  <c r="AJ106" i="56"/>
  <c r="AK106" i="56"/>
  <c r="I184" i="56"/>
  <c r="G185" i="56"/>
  <c r="U19" i="56"/>
  <c r="AI19" i="56" s="1"/>
  <c r="AJ19" i="56" s="1"/>
  <c r="AL123" i="56"/>
  <c r="AK210" i="56"/>
  <c r="AJ210" i="56"/>
  <c r="AD227" i="56"/>
  <c r="AD30" i="56"/>
  <c r="AD29" i="56" s="1"/>
  <c r="AK349" i="56"/>
  <c r="AJ349" i="56"/>
  <c r="AL187" i="56"/>
  <c r="AJ374" i="56"/>
  <c r="AK374" i="56"/>
  <c r="AI429" i="56"/>
  <c r="AK392" i="56"/>
  <c r="AJ392" i="56"/>
  <c r="U104" i="56"/>
  <c r="AJ78" i="56"/>
  <c r="AK78" i="56"/>
  <c r="AJ363" i="56"/>
  <c r="AK363" i="56"/>
  <c r="AK53" i="56"/>
  <c r="AJ53" i="56"/>
  <c r="AJ65" i="56"/>
  <c r="AK65" i="56"/>
  <c r="AJ82" i="56"/>
  <c r="AK82" i="56"/>
  <c r="AJ85" i="56"/>
  <c r="AK85" i="56"/>
  <c r="AK64" i="56"/>
  <c r="AJ64" i="56"/>
  <c r="AK254" i="56"/>
  <c r="AJ254" i="56"/>
  <c r="AJ298" i="56"/>
  <c r="AK298" i="56"/>
  <c r="AK311" i="56"/>
  <c r="AJ311" i="56"/>
  <c r="AK394" i="56"/>
  <c r="AJ394" i="56"/>
  <c r="AK576" i="56"/>
  <c r="AJ576" i="56"/>
  <c r="AJ263" i="56"/>
  <c r="AK263" i="56"/>
  <c r="AJ69" i="56"/>
  <c r="AK69" i="56"/>
  <c r="AK56" i="56"/>
  <c r="AJ56" i="56"/>
  <c r="AK67" i="56"/>
  <c r="AJ67" i="56"/>
  <c r="AJ76" i="56"/>
  <c r="AK76" i="56"/>
  <c r="AK239" i="56"/>
  <c r="AJ239" i="56"/>
  <c r="AK491" i="56"/>
  <c r="AJ491" i="56"/>
  <c r="I227" i="56"/>
  <c r="I30" i="56"/>
  <c r="I29" i="56" s="1"/>
  <c r="AJ241" i="56"/>
  <c r="AK241" i="56"/>
  <c r="AK302" i="56"/>
  <c r="AJ302" i="56"/>
  <c r="AK386" i="56"/>
  <c r="AJ386" i="56"/>
  <c r="AJ150" i="56"/>
  <c r="AK150" i="56"/>
  <c r="AJ98" i="56"/>
  <c r="AK98" i="56"/>
  <c r="AJ305" i="56"/>
  <c r="AK305" i="56"/>
  <c r="AI617" i="56"/>
  <c r="U616" i="56"/>
  <c r="U665" i="56"/>
  <c r="AI666" i="56"/>
  <c r="U696" i="56"/>
  <c r="AI697" i="56"/>
  <c r="AJ692" i="56"/>
  <c r="AJ691" i="56" s="1"/>
  <c r="AI691" i="56"/>
  <c r="AK483" i="56"/>
  <c r="AJ483" i="56"/>
  <c r="AH147" i="56"/>
  <c r="AH21" i="56" s="1"/>
  <c r="AK375" i="56"/>
  <c r="AJ375" i="56"/>
  <c r="AI395" i="56"/>
  <c r="AL395" i="56"/>
  <c r="AI443" i="56"/>
  <c r="AL443" i="56"/>
  <c r="AJ499" i="56"/>
  <c r="AK499" i="56"/>
  <c r="AE598" i="56"/>
  <c r="Q582" i="56"/>
  <c r="Q581" i="56" s="1"/>
  <c r="AL509" i="56"/>
  <c r="AJ534" i="56"/>
  <c r="AK534" i="56"/>
  <c r="U843" i="56"/>
  <c r="W842" i="56"/>
  <c r="AJ88" i="56"/>
  <c r="AK88" i="56"/>
  <c r="AI119" i="56"/>
  <c r="AJ119" i="56" s="1"/>
  <c r="AL119" i="56"/>
  <c r="AJ274" i="56"/>
  <c r="AK274" i="56"/>
  <c r="U196" i="56"/>
  <c r="AL196" i="56" s="1"/>
  <c r="AI197" i="56"/>
  <c r="AJ211" i="56"/>
  <c r="AK211" i="56"/>
  <c r="U308" i="56"/>
  <c r="AL309" i="56"/>
  <c r="U36" i="56"/>
  <c r="U293" i="56"/>
  <c r="W290" i="56"/>
  <c r="W33" i="56" s="1"/>
  <c r="AJ265" i="56"/>
  <c r="AK265" i="56"/>
  <c r="AK291" i="56"/>
  <c r="AJ291" i="56"/>
  <c r="W416" i="56"/>
  <c r="W407" i="56" s="1"/>
  <c r="W406" i="56" s="1"/>
  <c r="U417" i="56"/>
  <c r="AI541" i="56"/>
  <c r="AL541" i="56"/>
  <c r="I502" i="56"/>
  <c r="I501" i="56" s="1"/>
  <c r="G503" i="56"/>
  <c r="U635" i="56"/>
  <c r="AI636" i="56"/>
  <c r="AJ790" i="56"/>
  <c r="AJ789" i="56" s="1"/>
  <c r="AI789" i="56"/>
  <c r="U190" i="56"/>
  <c r="AL112" i="56"/>
  <c r="AI112" i="56"/>
  <c r="AJ112" i="56" s="1"/>
  <c r="AL139" i="56"/>
  <c r="AI139" i="56"/>
  <c r="AJ139" i="56" s="1"/>
  <c r="AK316" i="56"/>
  <c r="AJ320" i="56"/>
  <c r="AK269" i="56"/>
  <c r="AJ269" i="56"/>
  <c r="AL457" i="56"/>
  <c r="AI457" i="56"/>
  <c r="P352" i="56"/>
  <c r="P351" i="56" s="1"/>
  <c r="AI474" i="56"/>
  <c r="AL474" i="56"/>
  <c r="AK365" i="56"/>
  <c r="AJ365" i="56"/>
  <c r="AI506" i="56"/>
  <c r="AL506" i="56"/>
  <c r="U633" i="56"/>
  <c r="W630" i="56"/>
  <c r="W614" i="56" s="1"/>
  <c r="W613" i="56" s="1"/>
  <c r="W607" i="56"/>
  <c r="AG38" i="56"/>
  <c r="AG35" i="56" s="1"/>
  <c r="U677" i="56"/>
  <c r="U675" i="56" s="1"/>
  <c r="AI678" i="56"/>
  <c r="AJ661" i="56"/>
  <c r="AI660" i="56"/>
  <c r="AJ660" i="56" s="1"/>
  <c r="W735" i="56"/>
  <c r="W734" i="56" s="1"/>
  <c r="AI850" i="56"/>
  <c r="U849" i="56"/>
  <c r="AL410" i="56"/>
  <c r="AI410" i="56"/>
  <c r="W452" i="56"/>
  <c r="W451" i="56" s="1"/>
  <c r="U453" i="56"/>
  <c r="AJ523" i="56"/>
  <c r="AK523" i="56"/>
  <c r="AJ578" i="56"/>
  <c r="AK578" i="56"/>
  <c r="AI669" i="56"/>
  <c r="AJ670" i="56"/>
  <c r="AJ669" i="56" s="1"/>
  <c r="U610" i="56"/>
  <c r="W41" i="56"/>
  <c r="W608" i="56"/>
  <c r="G846" i="56"/>
  <c r="AL113" i="56"/>
  <c r="AK129" i="56"/>
  <c r="AJ129" i="56"/>
  <c r="AI117" i="56"/>
  <c r="AJ117" i="56" s="1"/>
  <c r="AL117" i="56"/>
  <c r="AL152" i="56"/>
  <c r="U151" i="56"/>
  <c r="AI152" i="56"/>
  <c r="AK94" i="56"/>
  <c r="AJ94" i="56"/>
  <c r="AI136" i="56"/>
  <c r="AJ136" i="56" s="1"/>
  <c r="AL136" i="56"/>
  <c r="AL195" i="56"/>
  <c r="AI195" i="56"/>
  <c r="AJ195" i="56" s="1"/>
  <c r="AJ306" i="56"/>
  <c r="AK306" i="56"/>
  <c r="W134" i="56"/>
  <c r="AJ279" i="56"/>
  <c r="AK279" i="56"/>
  <c r="P227" i="56"/>
  <c r="P30" i="56"/>
  <c r="P29" i="56" s="1"/>
  <c r="AI123" i="56"/>
  <c r="AJ252" i="56"/>
  <c r="AJ251" i="56" s="1"/>
  <c r="AI251" i="56"/>
  <c r="AK251" i="56" s="1"/>
  <c r="AL287" i="56"/>
  <c r="AI287" i="56"/>
  <c r="AI188" i="56"/>
  <c r="I308" i="56"/>
  <c r="I36" i="56"/>
  <c r="AJ362" i="56"/>
  <c r="AK362" i="56"/>
  <c r="AL429" i="56"/>
  <c r="AL285" i="56"/>
  <c r="S39" i="56"/>
  <c r="AE32" i="56"/>
  <c r="AE29" i="56" s="1"/>
  <c r="AE13" i="56" s="1"/>
  <c r="AE12" i="56" s="1"/>
  <c r="AJ575" i="56"/>
  <c r="AK575" i="56"/>
  <c r="AJ62" i="56"/>
  <c r="AK62" i="56"/>
  <c r="U89" i="56"/>
  <c r="AL87" i="56"/>
  <c r="AI87" i="56"/>
  <c r="AK262" i="56"/>
  <c r="AJ262" i="56"/>
  <c r="AK156" i="56"/>
  <c r="AJ156" i="56"/>
  <c r="G354" i="56"/>
  <c r="AI468" i="56"/>
  <c r="AL468" i="56"/>
  <c r="W838" i="56"/>
  <c r="W816" i="56" s="1"/>
  <c r="U839" i="56"/>
  <c r="AL564" i="56"/>
  <c r="AI564" i="56"/>
  <c r="U563" i="56"/>
  <c r="AL563" i="56" s="1"/>
  <c r="AJ144" i="56"/>
  <c r="AK144" i="56"/>
  <c r="AI420" i="56"/>
  <c r="AJ420" i="56" s="1"/>
  <c r="AL420" i="56"/>
  <c r="U863" i="56"/>
  <c r="AI864" i="56"/>
  <c r="AI132" i="56"/>
  <c r="AJ50" i="56"/>
  <c r="AK50" i="56"/>
  <c r="AJ146" i="56"/>
  <c r="AK146" i="56"/>
  <c r="AG313" i="56"/>
  <c r="AG40" i="56"/>
  <c r="AG39" i="56" s="1"/>
  <c r="AH472" i="56"/>
  <c r="AI454" i="56"/>
  <c r="AL454" i="56"/>
  <c r="AJ481" i="56"/>
  <c r="AK481" i="56"/>
  <c r="AJ559" i="56"/>
  <c r="AK559" i="56"/>
  <c r="AI833" i="56"/>
  <c r="AJ834" i="56"/>
  <c r="AJ833" i="56" s="1"/>
  <c r="AK542" i="56"/>
  <c r="AJ542" i="56"/>
  <c r="AJ177" i="56"/>
  <c r="AK177" i="56"/>
  <c r="T47" i="56"/>
  <c r="T16" i="56"/>
  <c r="AI93" i="56"/>
  <c r="AL93" i="56"/>
  <c r="U90" i="56"/>
  <c r="AJ304" i="56"/>
  <c r="AK304" i="56"/>
  <c r="W110" i="56"/>
  <c r="U111" i="56"/>
  <c r="AI230" i="56"/>
  <c r="AL230" i="56"/>
  <c r="U229" i="56"/>
  <c r="AI250" i="56"/>
  <c r="I190" i="56"/>
  <c r="G191" i="56"/>
  <c r="G190" i="56" s="1"/>
  <c r="AI137" i="56"/>
  <c r="AJ137" i="56" s="1"/>
  <c r="AL137" i="56"/>
  <c r="T227" i="56"/>
  <c r="T30" i="56"/>
  <c r="T29" i="56" s="1"/>
  <c r="T13" i="56" s="1"/>
  <c r="T12" i="56" s="1"/>
  <c r="AL275" i="56"/>
  <c r="AI275" i="56"/>
  <c r="AJ307" i="56"/>
  <c r="AK307" i="56"/>
  <c r="AL266" i="56"/>
  <c r="AI266" i="56"/>
  <c r="AJ387" i="56"/>
  <c r="AK387" i="56"/>
  <c r="AL539" i="56"/>
  <c r="AI539" i="56"/>
  <c r="AJ708" i="56"/>
  <c r="AJ707" i="56" s="1"/>
  <c r="AI707" i="56"/>
  <c r="AI880" i="56"/>
  <c r="U879" i="56"/>
  <c r="U877" i="56" s="1"/>
  <c r="AI647" i="56"/>
  <c r="U646" i="56"/>
  <c r="U644" i="56" s="1"/>
  <c r="U643" i="56" s="1"/>
  <c r="U868" i="56"/>
  <c r="AI869" i="56"/>
  <c r="AL138" i="56"/>
  <c r="AI138" i="56"/>
  <c r="AJ138" i="56" s="1"/>
  <c r="G134" i="56"/>
  <c r="AK97" i="56"/>
  <c r="AJ97" i="56"/>
  <c r="AK127" i="56"/>
  <c r="AJ127" i="56"/>
  <c r="AJ125" i="56" s="1"/>
  <c r="AH16" i="56"/>
  <c r="AH15" i="56" s="1"/>
  <c r="AH47" i="56"/>
  <c r="AI226" i="56"/>
  <c r="AL226" i="56"/>
  <c r="AL249" i="56"/>
  <c r="AH222" i="56"/>
  <c r="AH221" i="56" s="1"/>
  <c r="AH28" i="56" s="1"/>
  <c r="AJ203" i="56"/>
  <c r="AK203" i="56"/>
  <c r="AL273" i="56"/>
  <c r="AI273" i="56"/>
  <c r="AK380" i="56"/>
  <c r="AJ380" i="56"/>
  <c r="AJ431" i="56"/>
  <c r="AJ446" i="56"/>
  <c r="AK446" i="56"/>
  <c r="W473" i="56"/>
  <c r="W472" i="56" s="1"/>
  <c r="U476" i="56"/>
  <c r="U473" i="56" s="1"/>
  <c r="AK448" i="56"/>
  <c r="AJ448" i="56"/>
  <c r="AC13" i="56"/>
  <c r="AC12" i="56" s="1"/>
  <c r="AK522" i="56"/>
  <c r="AJ522" i="56"/>
  <c r="AJ631" i="56"/>
  <c r="U730" i="56"/>
  <c r="AI731" i="56"/>
  <c r="AI779" i="56"/>
  <c r="AK560" i="56"/>
  <c r="AJ560" i="56"/>
  <c r="AK526" i="56"/>
  <c r="AJ526" i="56"/>
  <c r="AK513" i="56"/>
  <c r="AJ513" i="56"/>
  <c r="AK549" i="56"/>
  <c r="AJ549" i="56"/>
  <c r="U585" i="56"/>
  <c r="AI609" i="56"/>
  <c r="AJ804" i="56"/>
  <c r="AJ803" i="56" s="1"/>
  <c r="AI803" i="56"/>
  <c r="AK212" i="56"/>
  <c r="AJ212" i="56"/>
  <c r="AK236" i="56"/>
  <c r="AJ236" i="56"/>
  <c r="AJ342" i="56"/>
  <c r="AK342" i="56"/>
  <c r="AK209" i="56"/>
  <c r="AJ209" i="56"/>
  <c r="AK215" i="56"/>
  <c r="AJ215" i="56"/>
  <c r="AK301" i="56"/>
  <c r="AJ301" i="56"/>
  <c r="AJ345" i="56"/>
  <c r="AI344" i="56"/>
  <c r="AJ344" i="56" s="1"/>
  <c r="AL272" i="56"/>
  <c r="AK359" i="56"/>
  <c r="AJ359" i="56"/>
  <c r="AK383" i="56"/>
  <c r="AJ383" i="56"/>
  <c r="AJ371" i="56"/>
  <c r="AK371" i="56"/>
  <c r="AL398" i="56"/>
  <c r="U396" i="56"/>
  <c r="AL396" i="56" s="1"/>
  <c r="AI398" i="56"/>
  <c r="AK521" i="56"/>
  <c r="AJ521" i="56"/>
  <c r="G611" i="56"/>
  <c r="G42" i="56" s="1"/>
  <c r="I42" i="56"/>
  <c r="W872" i="56"/>
  <c r="W846" i="56" s="1"/>
  <c r="U873" i="56"/>
  <c r="AI898" i="56"/>
  <c r="AJ899" i="56"/>
  <c r="AJ898" i="56" s="1"/>
  <c r="AI116" i="56"/>
  <c r="AJ116" i="56" s="1"/>
  <c r="AL116" i="56"/>
  <c r="AH134" i="56"/>
  <c r="AH101" i="56" s="1"/>
  <c r="AH100" i="56" s="1"/>
  <c r="AH20" i="56" s="1"/>
  <c r="U124" i="56"/>
  <c r="I193" i="56"/>
  <c r="G194" i="56"/>
  <c r="G193" i="56" s="1"/>
  <c r="I205" i="56"/>
  <c r="G206" i="56"/>
  <c r="AL286" i="56"/>
  <c r="AI286" i="56"/>
  <c r="AD101" i="56"/>
  <c r="AD100" i="56" s="1"/>
  <c r="AJ372" i="56"/>
  <c r="AK372" i="56"/>
  <c r="AK397" i="56"/>
  <c r="AJ397" i="56"/>
  <c r="AI544" i="56"/>
  <c r="U469" i="56"/>
  <c r="U465" i="56" s="1"/>
  <c r="G407" i="56"/>
  <c r="G406" i="56" s="1"/>
  <c r="AI460" i="56"/>
  <c r="AL460" i="56"/>
  <c r="U459" i="56"/>
  <c r="AL459" i="56" s="1"/>
  <c r="AJ548" i="56"/>
  <c r="AK548" i="56"/>
  <c r="AI529" i="56"/>
  <c r="U528" i="56"/>
  <c r="AL528" i="56" s="1"/>
  <c r="AL529" i="56"/>
  <c r="AJ599" i="56"/>
  <c r="AI598" i="56"/>
  <c r="AG604" i="56"/>
  <c r="AG581" i="56" s="1"/>
  <c r="U726" i="56"/>
  <c r="AI727" i="56"/>
  <c r="I604" i="56"/>
  <c r="I581" i="56" s="1"/>
  <c r="AI740" i="56"/>
  <c r="U737" i="56"/>
  <c r="U833" i="56"/>
  <c r="U817" i="56" s="1"/>
  <c r="I407" i="56"/>
  <c r="I406" i="56" s="1"/>
  <c r="I352" i="56" s="1"/>
  <c r="I351" i="56" s="1"/>
  <c r="AK430" i="56"/>
  <c r="AJ430" i="56"/>
  <c r="AK535" i="56"/>
  <c r="AJ535" i="56"/>
  <c r="AK439" i="56"/>
  <c r="AJ439" i="56"/>
  <c r="G582" i="56"/>
  <c r="W268" i="56"/>
  <c r="U268" i="56" s="1"/>
  <c r="X228" i="56"/>
  <c r="AI601" i="56"/>
  <c r="AJ601" i="56" s="1"/>
  <c r="AI752" i="56"/>
  <c r="U751" i="56"/>
  <c r="I181" i="56"/>
  <c r="G182" i="56"/>
  <c r="AI256" i="56"/>
  <c r="U255" i="56"/>
  <c r="AL255" i="56" s="1"/>
  <c r="AL256" i="56"/>
  <c r="W18" i="56"/>
  <c r="W15" i="56" s="1"/>
  <c r="AI223" i="56"/>
  <c r="U222" i="56"/>
  <c r="AL223" i="56"/>
  <c r="U193" i="56"/>
  <c r="AL193" i="56" s="1"/>
  <c r="AI99" i="56"/>
  <c r="AK202" i="56"/>
  <c r="AJ202" i="56"/>
  <c r="AK391" i="56"/>
  <c r="AJ391" i="56"/>
  <c r="AL188" i="56"/>
  <c r="G308" i="56"/>
  <c r="G36" i="56"/>
  <c r="G35" i="56" s="1"/>
  <c r="AK384" i="56"/>
  <c r="AJ384" i="56"/>
  <c r="AK405" i="56"/>
  <c r="AJ405" i="56"/>
  <c r="AL428" i="56"/>
  <c r="AK247" i="56"/>
  <c r="AJ247" i="56"/>
  <c r="AI602" i="56"/>
  <c r="AJ602" i="56" s="1"/>
  <c r="AJ79" i="56"/>
  <c r="AK79" i="56"/>
  <c r="AK437" i="56"/>
  <c r="AJ437" i="56"/>
  <c r="AJ52" i="56"/>
  <c r="AK52" i="56"/>
  <c r="AK57" i="56"/>
  <c r="AJ57" i="56"/>
  <c r="G39" i="56"/>
  <c r="AK303" i="56"/>
  <c r="AJ303" i="56"/>
  <c r="AK412" i="56"/>
  <c r="AJ412" i="56"/>
  <c r="AJ538" i="56"/>
  <c r="AK538" i="56"/>
  <c r="AK74" i="56"/>
  <c r="AJ74" i="56"/>
  <c r="AK68" i="56"/>
  <c r="AJ68" i="56"/>
  <c r="AK54" i="56"/>
  <c r="AJ54" i="56"/>
  <c r="AJ58" i="56"/>
  <c r="AK58" i="56"/>
  <c r="AJ409" i="56"/>
  <c r="AK409" i="56"/>
  <c r="AK470" i="56"/>
  <c r="AJ470" i="56"/>
  <c r="U147" i="56" l="1"/>
  <c r="T45" i="56"/>
  <c r="T44" i="56" s="1"/>
  <c r="W101" i="56"/>
  <c r="W100" i="56" s="1"/>
  <c r="AJ72" i="56"/>
  <c r="AK72" i="56"/>
  <c r="G101" i="56"/>
  <c r="G100" i="56" s="1"/>
  <c r="G20" i="56" s="1"/>
  <c r="AJ55" i="56"/>
  <c r="AL197" i="56"/>
  <c r="AJ237" i="56"/>
  <c r="AK86" i="56"/>
  <c r="AJ86" i="56"/>
  <c r="AJ77" i="56"/>
  <c r="AK77" i="56"/>
  <c r="AI175" i="56"/>
  <c r="AI171" i="56" s="1"/>
  <c r="AL175" i="56"/>
  <c r="G171" i="56"/>
  <c r="G170" i="56" s="1"/>
  <c r="G26" i="56" s="1"/>
  <c r="AI905" i="56"/>
  <c r="U902" i="56"/>
  <c r="W508" i="56"/>
  <c r="W507" i="56" s="1"/>
  <c r="W352" i="56" s="1"/>
  <c r="W351" i="56" s="1"/>
  <c r="AJ60" i="56"/>
  <c r="AK60" i="56"/>
  <c r="U735" i="56"/>
  <c r="U734" i="56" s="1"/>
  <c r="AJ544" i="56"/>
  <c r="AJ543" i="56" s="1"/>
  <c r="I35" i="56"/>
  <c r="P13" i="56"/>
  <c r="P12" i="56" s="1"/>
  <c r="AJ296" i="56"/>
  <c r="AK296" i="56"/>
  <c r="AK164" i="56"/>
  <c r="AI158" i="56"/>
  <c r="AJ164" i="56"/>
  <c r="AJ158" i="56" s="1"/>
  <c r="AJ157" i="56" s="1"/>
  <c r="AJ63" i="56"/>
  <c r="AK63" i="56"/>
  <c r="I179" i="56"/>
  <c r="I178" i="56" s="1"/>
  <c r="I27" i="56" s="1"/>
  <c r="U876" i="56"/>
  <c r="P45" i="56"/>
  <c r="P44" i="56" s="1"/>
  <c r="S12" i="56"/>
  <c r="G604" i="56"/>
  <c r="G581" i="56" s="1"/>
  <c r="AK280" i="56"/>
  <c r="AJ280" i="56"/>
  <c r="AL158" i="56"/>
  <c r="U157" i="56"/>
  <c r="AL147" i="56"/>
  <c r="U21" i="56"/>
  <c r="AI21" i="56" s="1"/>
  <c r="AJ21" i="56" s="1"/>
  <c r="W20" i="56"/>
  <c r="U472" i="56"/>
  <c r="U464" i="56"/>
  <c r="AL464" i="56" s="1"/>
  <c r="AL465" i="56"/>
  <c r="U314" i="56"/>
  <c r="AL315" i="56"/>
  <c r="AJ99" i="56"/>
  <c r="AK99" i="56"/>
  <c r="AK398" i="56"/>
  <c r="AJ398" i="56"/>
  <c r="U704" i="56"/>
  <c r="AI868" i="56"/>
  <c r="AJ869" i="56"/>
  <c r="AJ868" i="56" s="1"/>
  <c r="AJ132" i="56"/>
  <c r="AK132" i="56"/>
  <c r="AK457" i="56"/>
  <c r="AJ457" i="56"/>
  <c r="AJ541" i="56"/>
  <c r="AK541" i="56"/>
  <c r="AJ197" i="56"/>
  <c r="AJ196" i="56" s="1"/>
  <c r="AI196" i="56"/>
  <c r="AK196" i="56" s="1"/>
  <c r="W598" i="56"/>
  <c r="W582" i="56" s="1"/>
  <c r="AE582" i="56"/>
  <c r="AE581" i="56" s="1"/>
  <c r="AK443" i="56"/>
  <c r="AJ443" i="56"/>
  <c r="AJ617" i="56"/>
  <c r="AJ616" i="56" s="1"/>
  <c r="AI616" i="56"/>
  <c r="V20" i="56"/>
  <c r="V13" i="56" s="1"/>
  <c r="V12" i="56" s="1"/>
  <c r="V45" i="56"/>
  <c r="V44" i="56" s="1"/>
  <c r="G524" i="56"/>
  <c r="AI525" i="56"/>
  <c r="AL525" i="56"/>
  <c r="AK537" i="56"/>
  <c r="AJ537" i="56"/>
  <c r="AL356" i="56"/>
  <c r="U355" i="56"/>
  <c r="AI399" i="56"/>
  <c r="AL399" i="56"/>
  <c r="AK166" i="56"/>
  <c r="AJ166" i="56"/>
  <c r="AJ165" i="56" s="1"/>
  <c r="AI165" i="56"/>
  <c r="AK165" i="56" s="1"/>
  <c r="AI134" i="56"/>
  <c r="AK134" i="56" s="1"/>
  <c r="AJ135" i="56"/>
  <c r="AJ134" i="56" s="1"/>
  <c r="AK232" i="56"/>
  <c r="AJ232" i="56"/>
  <c r="AK509" i="56"/>
  <c r="AJ640" i="56"/>
  <c r="AJ639" i="56" s="1"/>
  <c r="AI639" i="56"/>
  <c r="AK463" i="56"/>
  <c r="AI462" i="56"/>
  <c r="AK462" i="56" s="1"/>
  <c r="AJ463" i="56"/>
  <c r="AJ462" i="56" s="1"/>
  <c r="U611" i="56"/>
  <c r="W42" i="56"/>
  <c r="AJ309" i="56"/>
  <c r="AJ308" i="56" s="1"/>
  <c r="AK309" i="56"/>
  <c r="AI308" i="56"/>
  <c r="AK308" i="56" s="1"/>
  <c r="AJ180" i="56"/>
  <c r="AK180" i="56"/>
  <c r="W228" i="56"/>
  <c r="AK498" i="56"/>
  <c r="AJ498" i="56"/>
  <c r="AJ402" i="56"/>
  <c r="AK402" i="56"/>
  <c r="AL229" i="56"/>
  <c r="U228" i="56"/>
  <c r="AL90" i="56"/>
  <c r="U18" i="56"/>
  <c r="AI18" i="56" s="1"/>
  <c r="AJ18" i="56" s="1"/>
  <c r="AI194" i="56"/>
  <c r="AL222" i="56"/>
  <c r="U221" i="56"/>
  <c r="AL268" i="56"/>
  <c r="AI268" i="56"/>
  <c r="AJ740" i="56"/>
  <c r="AJ737" i="56" s="1"/>
  <c r="AI737" i="56"/>
  <c r="AD20" i="56"/>
  <c r="AD13" i="56" s="1"/>
  <c r="AD12" i="56" s="1"/>
  <c r="AD45" i="56"/>
  <c r="AD44" i="56" s="1"/>
  <c r="G608" i="56"/>
  <c r="AJ731" i="56"/>
  <c r="AJ730" i="56" s="1"/>
  <c r="AI730" i="56"/>
  <c r="AJ226" i="56"/>
  <c r="AK226" i="56"/>
  <c r="AJ880" i="56"/>
  <c r="AJ879" i="56" s="1"/>
  <c r="AJ877" i="56" s="1"/>
  <c r="AI879" i="56"/>
  <c r="AI877" i="56" s="1"/>
  <c r="AK539" i="56"/>
  <c r="AJ539" i="56"/>
  <c r="AJ454" i="56"/>
  <c r="AK454" i="56"/>
  <c r="AJ864" i="56"/>
  <c r="AJ863" i="56" s="1"/>
  <c r="AI863" i="56"/>
  <c r="AI563" i="56"/>
  <c r="AK563" i="56" s="1"/>
  <c r="AK564" i="56"/>
  <c r="AJ564" i="56"/>
  <c r="AJ563" i="56" s="1"/>
  <c r="AJ87" i="56"/>
  <c r="AJ89" i="56" s="1"/>
  <c r="AI89" i="56"/>
  <c r="AK89" i="56" s="1"/>
  <c r="AK87" i="56"/>
  <c r="AL453" i="56"/>
  <c r="U452" i="56"/>
  <c r="AI453" i="56"/>
  <c r="U847" i="56"/>
  <c r="U607" i="56"/>
  <c r="W38" i="56"/>
  <c r="W35" i="56" s="1"/>
  <c r="AK506" i="56"/>
  <c r="AJ506" i="56"/>
  <c r="AL191" i="56"/>
  <c r="AI787" i="56"/>
  <c r="AI786" i="56" s="1"/>
  <c r="G502" i="56"/>
  <c r="G501" i="56" s="1"/>
  <c r="AI503" i="56"/>
  <c r="AL503" i="56"/>
  <c r="AL417" i="56"/>
  <c r="U416" i="56"/>
  <c r="AL416" i="56" s="1"/>
  <c r="AI417" i="56"/>
  <c r="AL308" i="56"/>
  <c r="AJ666" i="56"/>
  <c r="AJ665" i="56" s="1"/>
  <c r="AI665" i="56"/>
  <c r="AI504" i="56"/>
  <c r="AL504" i="56"/>
  <c r="U502" i="56"/>
  <c r="AL283" i="56"/>
  <c r="U282" i="56"/>
  <c r="AJ817" i="56"/>
  <c r="AL445" i="56"/>
  <c r="U444" i="56"/>
  <c r="AL444" i="56" s="1"/>
  <c r="AJ348" i="56"/>
  <c r="AJ347" i="56" s="1"/>
  <c r="AI347" i="56"/>
  <c r="AI315" i="56" s="1"/>
  <c r="N13" i="56"/>
  <c r="N12" i="56" s="1"/>
  <c r="AJ701" i="56"/>
  <c r="AJ700" i="56" s="1"/>
  <c r="AI700" i="56"/>
  <c r="AJ133" i="56"/>
  <c r="AK133" i="56"/>
  <c r="AJ173" i="56"/>
  <c r="AK173" i="56"/>
  <c r="AH352" i="56"/>
  <c r="AH351" i="56" s="1"/>
  <c r="W604" i="56"/>
  <c r="G473" i="56"/>
  <c r="G472" i="56" s="1"/>
  <c r="AI479" i="56"/>
  <c r="AL479" i="56"/>
  <c r="AI721" i="56"/>
  <c r="AI705" i="56" s="1"/>
  <c r="AJ722" i="56"/>
  <c r="AJ721" i="56" s="1"/>
  <c r="AL532" i="56"/>
  <c r="U531" i="56"/>
  <c r="AL531" i="56" s="1"/>
  <c r="AI532" i="56"/>
  <c r="W39" i="56"/>
  <c r="AJ455" i="56"/>
  <c r="AK455" i="56"/>
  <c r="AH178" i="56"/>
  <c r="AH27" i="56" s="1"/>
  <c r="AH13" i="56" s="1"/>
  <c r="AH12" i="56" s="1"/>
  <c r="G205" i="56"/>
  <c r="AL205" i="56" s="1"/>
  <c r="AL206" i="56"/>
  <c r="AI206" i="56"/>
  <c r="AK256" i="56"/>
  <c r="AJ256" i="56"/>
  <c r="AJ255" i="56" s="1"/>
  <c r="AI255" i="56"/>
  <c r="AK255" i="56" s="1"/>
  <c r="AJ752" i="56"/>
  <c r="AJ751" i="56" s="1"/>
  <c r="AI751" i="56"/>
  <c r="U872" i="56"/>
  <c r="AI873" i="56"/>
  <c r="AI585" i="56"/>
  <c r="U584" i="56"/>
  <c r="U582" i="56" s="1"/>
  <c r="AL476" i="56"/>
  <c r="AI476" i="56"/>
  <c r="AI444" i="56"/>
  <c r="AK444" i="56" s="1"/>
  <c r="AK445" i="56"/>
  <c r="AJ273" i="56"/>
  <c r="AK273" i="56"/>
  <c r="AK266" i="56"/>
  <c r="AJ266" i="56"/>
  <c r="AJ275" i="56"/>
  <c r="AK275" i="56"/>
  <c r="AJ250" i="56"/>
  <c r="AJ249" i="56" s="1"/>
  <c r="AI249" i="56"/>
  <c r="AK249" i="56" s="1"/>
  <c r="AK250" i="56"/>
  <c r="AI229" i="56"/>
  <c r="AK230" i="56"/>
  <c r="AJ230" i="56"/>
  <c r="AJ229" i="56" s="1"/>
  <c r="AJ93" i="56"/>
  <c r="AJ90" i="56" s="1"/>
  <c r="AK93" i="56"/>
  <c r="AI90" i="56"/>
  <c r="AK90" i="56" s="1"/>
  <c r="AI187" i="56"/>
  <c r="AK187" i="56" s="1"/>
  <c r="AJ188" i="56"/>
  <c r="AJ187" i="56" s="1"/>
  <c r="AJ152" i="56"/>
  <c r="AJ151" i="56" s="1"/>
  <c r="AJ149" i="56" s="1"/>
  <c r="AJ148" i="56" s="1"/>
  <c r="AI151" i="56"/>
  <c r="AI610" i="56"/>
  <c r="AJ610" i="56" s="1"/>
  <c r="U41" i="56"/>
  <c r="AI41" i="56" s="1"/>
  <c r="AJ41" i="56" s="1"/>
  <c r="U608" i="56"/>
  <c r="AJ850" i="56"/>
  <c r="AJ849" i="56" s="1"/>
  <c r="AJ847" i="56" s="1"/>
  <c r="AI849" i="56"/>
  <c r="AI847" i="56" s="1"/>
  <c r="AJ678" i="56"/>
  <c r="AJ677" i="56" s="1"/>
  <c r="AJ675" i="56" s="1"/>
  <c r="AI677" i="56"/>
  <c r="AI675" i="56" s="1"/>
  <c r="AJ474" i="56"/>
  <c r="AI473" i="56"/>
  <c r="AK474" i="56"/>
  <c r="AL190" i="56"/>
  <c r="AJ787" i="56"/>
  <c r="AJ786" i="56" s="1"/>
  <c r="AL293" i="56"/>
  <c r="AI293" i="56"/>
  <c r="U290" i="56"/>
  <c r="U842" i="56"/>
  <c r="AI843" i="56"/>
  <c r="AJ395" i="56"/>
  <c r="AK395" i="56"/>
  <c r="AK429" i="56"/>
  <c r="AJ429" i="56"/>
  <c r="AJ428" i="56" s="1"/>
  <c r="AI428" i="56"/>
  <c r="AK428" i="56" s="1"/>
  <c r="G184" i="56"/>
  <c r="AL184" i="56" s="1"/>
  <c r="AI185" i="56"/>
  <c r="AL185" i="56"/>
  <c r="AK556" i="56"/>
  <c r="AI555" i="56"/>
  <c r="AK555" i="56" s="1"/>
  <c r="AI356" i="56"/>
  <c r="AJ357" i="56"/>
  <c r="AJ356" i="56" s="1"/>
  <c r="AJ355" i="56" s="1"/>
  <c r="AK357" i="56"/>
  <c r="AK284" i="56"/>
  <c r="AI283" i="56"/>
  <c r="AJ284" i="56"/>
  <c r="AJ283" i="56" s="1"/>
  <c r="AI102" i="56"/>
  <c r="AL102" i="56"/>
  <c r="AK167" i="56"/>
  <c r="AJ167" i="56"/>
  <c r="AI817" i="56"/>
  <c r="AK272" i="56"/>
  <c r="AI271" i="56"/>
  <c r="AJ272" i="56"/>
  <c r="I16" i="56"/>
  <c r="I15" i="56" s="1"/>
  <c r="I13" i="56" s="1"/>
  <c r="I47" i="56"/>
  <c r="I39" i="56"/>
  <c r="AL462" i="56"/>
  <c r="U461" i="56"/>
  <c r="AI408" i="56"/>
  <c r="U407" i="56"/>
  <c r="AL408" i="56"/>
  <c r="U179" i="56"/>
  <c r="AJ131" i="56"/>
  <c r="AK131" i="56"/>
  <c r="AK427" i="56"/>
  <c r="AJ427" i="56"/>
  <c r="U16" i="56"/>
  <c r="U47" i="56"/>
  <c r="X227" i="56"/>
  <c r="X45" i="56" s="1"/>
  <c r="X44" i="56" s="1"/>
  <c r="X30" i="56"/>
  <c r="X29" i="56" s="1"/>
  <c r="X13" i="56" s="1"/>
  <c r="X12" i="56" s="1"/>
  <c r="AI459" i="56"/>
  <c r="AK459" i="56" s="1"/>
  <c r="AJ460" i="56"/>
  <c r="AJ459" i="56" s="1"/>
  <c r="AK460" i="56"/>
  <c r="AI124" i="56"/>
  <c r="AI147" i="56" s="1"/>
  <c r="AK147" i="56" s="1"/>
  <c r="AL124" i="56"/>
  <c r="U122" i="56"/>
  <c r="AL122" i="56" s="1"/>
  <c r="AJ609" i="56"/>
  <c r="AJ223" i="56"/>
  <c r="AI222" i="56"/>
  <c r="AK223" i="56"/>
  <c r="AJ529" i="56"/>
  <c r="AJ528" i="56" s="1"/>
  <c r="AI528" i="56"/>
  <c r="AK528" i="56" s="1"/>
  <c r="AK529" i="56"/>
  <c r="AI469" i="56"/>
  <c r="AL469" i="56"/>
  <c r="AK286" i="56"/>
  <c r="AJ286" i="56"/>
  <c r="AL194" i="56"/>
  <c r="G181" i="56"/>
  <c r="AL182" i="56"/>
  <c r="AI182" i="56"/>
  <c r="AJ727" i="56"/>
  <c r="AJ726" i="56" s="1"/>
  <c r="AI726" i="56"/>
  <c r="AJ598" i="56"/>
  <c r="AK544" i="56"/>
  <c r="AI543" i="56"/>
  <c r="AK543" i="56" s="1"/>
  <c r="AI778" i="56"/>
  <c r="AJ779" i="56"/>
  <c r="AJ778" i="56" s="1"/>
  <c r="AJ647" i="56"/>
  <c r="AJ646" i="56" s="1"/>
  <c r="AJ644" i="56" s="1"/>
  <c r="AJ643" i="56" s="1"/>
  <c r="AI646" i="56"/>
  <c r="AI644" i="56" s="1"/>
  <c r="AI643" i="56" s="1"/>
  <c r="AJ705" i="56"/>
  <c r="AL111" i="56"/>
  <c r="U110" i="56"/>
  <c r="AL110" i="56" s="1"/>
  <c r="AI111" i="56"/>
  <c r="U838" i="56"/>
  <c r="AI839" i="56"/>
  <c r="AJ468" i="56"/>
  <c r="AK468" i="56"/>
  <c r="AI465" i="56"/>
  <c r="AL89" i="56"/>
  <c r="U17" i="56"/>
  <c r="AI17" i="56" s="1"/>
  <c r="AJ17" i="56" s="1"/>
  <c r="AJ287" i="56"/>
  <c r="AK287" i="56"/>
  <c r="AK123" i="56"/>
  <c r="AJ123" i="56"/>
  <c r="AL151" i="56"/>
  <c r="U149" i="56"/>
  <c r="AK410" i="56"/>
  <c r="AJ410" i="56"/>
  <c r="U674" i="56"/>
  <c r="AI633" i="56"/>
  <c r="U630" i="56"/>
  <c r="U614" i="56" s="1"/>
  <c r="U613" i="56" s="1"/>
  <c r="G227" i="56"/>
  <c r="G30" i="56"/>
  <c r="G29" i="56" s="1"/>
  <c r="AI191" i="56"/>
  <c r="AJ636" i="56"/>
  <c r="AJ635" i="56" s="1"/>
  <c r="AI635" i="56"/>
  <c r="AI36" i="56"/>
  <c r="AJ697" i="56"/>
  <c r="AJ696" i="56" s="1"/>
  <c r="AI696" i="56"/>
  <c r="AI104" i="56"/>
  <c r="AL104" i="56"/>
  <c r="AG12" i="56"/>
  <c r="AJ555" i="56"/>
  <c r="AK103" i="56"/>
  <c r="AJ103" i="56"/>
  <c r="AL165" i="56"/>
  <c r="U24" i="56"/>
  <c r="AI24" i="56" s="1"/>
  <c r="AJ24" i="56" s="1"/>
  <c r="AL134" i="56"/>
  <c r="AJ447" i="56"/>
  <c r="AJ445" i="56" s="1"/>
  <c r="AJ444" i="56" s="1"/>
  <c r="AK447" i="56"/>
  <c r="AL515" i="56"/>
  <c r="U514" i="56"/>
  <c r="AI515" i="56"/>
  <c r="AI421" i="56"/>
  <c r="AJ421" i="56" s="1"/>
  <c r="AL421" i="56"/>
  <c r="U170" i="56"/>
  <c r="AI51" i="56"/>
  <c r="AL51" i="56"/>
  <c r="G49" i="56"/>
  <c r="AI606" i="56"/>
  <c r="U37" i="56"/>
  <c r="AI37" i="56" s="1"/>
  <c r="AJ37" i="56" s="1"/>
  <c r="U604" i="56"/>
  <c r="AL270" i="56"/>
  <c r="U31" i="56"/>
  <c r="AI31" i="56" s="1"/>
  <c r="AJ31" i="56" s="1"/>
  <c r="AK121" i="56"/>
  <c r="AJ121" i="56"/>
  <c r="AJ458" i="56"/>
  <c r="AK458" i="56"/>
  <c r="AK225" i="56"/>
  <c r="AJ225" i="56"/>
  <c r="AL171" i="56" l="1"/>
  <c r="AJ271" i="56"/>
  <c r="AJ270" i="56" s="1"/>
  <c r="AI122" i="56"/>
  <c r="AK122" i="56" s="1"/>
  <c r="AH45" i="56"/>
  <c r="AH44" i="56" s="1"/>
  <c r="I45" i="56"/>
  <c r="I44" i="56" s="1"/>
  <c r="AL157" i="56"/>
  <c r="U23" i="56"/>
  <c r="AI23" i="56" s="1"/>
  <c r="AJ23" i="56" s="1"/>
  <c r="U816" i="56"/>
  <c r="AJ704" i="56"/>
  <c r="AK158" i="56"/>
  <c r="AI157" i="56"/>
  <c r="AK157" i="56" s="1"/>
  <c r="AJ175" i="56"/>
  <c r="AJ171" i="56" s="1"/>
  <c r="AJ170" i="56" s="1"/>
  <c r="AK175" i="56"/>
  <c r="AJ222" i="56"/>
  <c r="AJ221" i="56" s="1"/>
  <c r="AJ905" i="56"/>
  <c r="AJ902" i="56" s="1"/>
  <c r="AJ876" i="56" s="1"/>
  <c r="AI902" i="56"/>
  <c r="U846" i="56"/>
  <c r="AI876" i="56"/>
  <c r="AI314" i="56"/>
  <c r="AJ315" i="56"/>
  <c r="AJ314" i="56" s="1"/>
  <c r="AJ313" i="56" s="1"/>
  <c r="AK315" i="56"/>
  <c r="AK51" i="56"/>
  <c r="AJ51" i="56"/>
  <c r="AJ49" i="56" s="1"/>
  <c r="AJ48" i="56" s="1"/>
  <c r="AJ47" i="56" s="1"/>
  <c r="AI49" i="56"/>
  <c r="G179" i="56"/>
  <c r="G178" i="56" s="1"/>
  <c r="G27" i="56" s="1"/>
  <c r="AL181" i="56"/>
  <c r="AJ36" i="56"/>
  <c r="AK465" i="56"/>
  <c r="AI464" i="56"/>
  <c r="AK464" i="56" s="1"/>
  <c r="AI181" i="56"/>
  <c r="AJ182" i="56"/>
  <c r="AJ181" i="56" s="1"/>
  <c r="U178" i="56"/>
  <c r="AI461" i="56"/>
  <c r="AL461" i="56"/>
  <c r="I12" i="56"/>
  <c r="U101" i="56"/>
  <c r="AI282" i="56"/>
  <c r="AK282" i="56" s="1"/>
  <c r="AK283" i="56"/>
  <c r="AI355" i="56"/>
  <c r="AK356" i="56"/>
  <c r="AJ185" i="56"/>
  <c r="AJ184" i="56" s="1"/>
  <c r="AI184" i="56"/>
  <c r="AK184" i="56" s="1"/>
  <c r="AK151" i="56"/>
  <c r="AI149" i="56"/>
  <c r="AL282" i="56"/>
  <c r="U32" i="56"/>
  <c r="AI32" i="56" s="1"/>
  <c r="AJ32" i="56" s="1"/>
  <c r="AK504" i="56"/>
  <c r="AJ504" i="56"/>
  <c r="AJ417" i="56"/>
  <c r="AJ416" i="56" s="1"/>
  <c r="AI416" i="56"/>
  <c r="AK416" i="56" s="1"/>
  <c r="AK503" i="56"/>
  <c r="AJ503" i="56"/>
  <c r="AJ502" i="56" s="1"/>
  <c r="AJ501" i="56" s="1"/>
  <c r="AI502" i="56"/>
  <c r="AI607" i="56"/>
  <c r="AJ607" i="56" s="1"/>
  <c r="U38" i="56"/>
  <c r="AI38" i="56" s="1"/>
  <c r="AJ38" i="56" s="1"/>
  <c r="AI735" i="56"/>
  <c r="AI734" i="56" s="1"/>
  <c r="AL221" i="56"/>
  <c r="U28" i="56"/>
  <c r="AI28" i="56" s="1"/>
  <c r="AJ28" i="56" s="1"/>
  <c r="W227" i="56"/>
  <c r="W45" i="56" s="1"/>
  <c r="W44" i="56" s="1"/>
  <c r="W30" i="56"/>
  <c r="W29" i="56" s="1"/>
  <c r="W13" i="56" s="1"/>
  <c r="W12" i="56" s="1"/>
  <c r="G508" i="56"/>
  <c r="G507" i="56" s="1"/>
  <c r="G352" i="56" s="1"/>
  <c r="G351" i="56" s="1"/>
  <c r="AL524" i="56"/>
  <c r="AJ111" i="56"/>
  <c r="AJ110" i="56" s="1"/>
  <c r="AI110" i="56"/>
  <c r="AK110" i="56" s="1"/>
  <c r="AI221" i="56"/>
  <c r="AK221" i="56" s="1"/>
  <c r="AK222" i="56"/>
  <c r="AL290" i="56"/>
  <c r="U33" i="56"/>
  <c r="AI33" i="56" s="1"/>
  <c r="AJ33" i="56" s="1"/>
  <c r="AI674" i="56"/>
  <c r="U581" i="56"/>
  <c r="AI531" i="56"/>
  <c r="AK531" i="56" s="1"/>
  <c r="AK532" i="56"/>
  <c r="AJ532" i="56"/>
  <c r="AJ531" i="56" s="1"/>
  <c r="AJ735" i="56"/>
  <c r="AJ734" i="56" s="1"/>
  <c r="AL228" i="56"/>
  <c r="U227" i="56"/>
  <c r="AL227" i="56" s="1"/>
  <c r="U30" i="56"/>
  <c r="AI611" i="56"/>
  <c r="U42" i="56"/>
  <c r="AI42" i="56" s="1"/>
  <c r="AJ42" i="56" s="1"/>
  <c r="AJ399" i="56"/>
  <c r="AJ396" i="56" s="1"/>
  <c r="AJ354" i="56" s="1"/>
  <c r="AK399" i="56"/>
  <c r="W581" i="56"/>
  <c r="U313" i="56"/>
  <c r="AL313" i="56" s="1"/>
  <c r="AL314" i="56"/>
  <c r="U40" i="56"/>
  <c r="AL472" i="56"/>
  <c r="AK515" i="56"/>
  <c r="AJ515" i="56"/>
  <c r="AJ514" i="56" s="1"/>
  <c r="AI514" i="56"/>
  <c r="U406" i="56"/>
  <c r="AL406" i="56" s="1"/>
  <c r="AL407" i="56"/>
  <c r="AI101" i="56"/>
  <c r="AJ102" i="56"/>
  <c r="AK102" i="56"/>
  <c r="AK293" i="56"/>
  <c r="AJ293" i="56"/>
  <c r="AJ290" i="56" s="1"/>
  <c r="AI290" i="56"/>
  <c r="AK290" i="56" s="1"/>
  <c r="AJ674" i="56"/>
  <c r="AI228" i="56"/>
  <c r="AK229" i="56"/>
  <c r="AI704" i="56"/>
  <c r="AI584" i="56"/>
  <c r="AI582" i="56" s="1"/>
  <c r="AJ585" i="56"/>
  <c r="AJ584" i="56" s="1"/>
  <c r="AJ582" i="56" s="1"/>
  <c r="AJ206" i="56"/>
  <c r="AJ205" i="56" s="1"/>
  <c r="AI205" i="56"/>
  <c r="AK205" i="56" s="1"/>
  <c r="AL502" i="56"/>
  <c r="U501" i="56"/>
  <c r="AL501" i="56" s="1"/>
  <c r="AK453" i="56"/>
  <c r="AI452" i="56"/>
  <c r="AJ453" i="56"/>
  <c r="AJ452" i="56" s="1"/>
  <c r="AJ451" i="56" s="1"/>
  <c r="AK268" i="56"/>
  <c r="AJ268" i="56"/>
  <c r="AJ228" i="56" s="1"/>
  <c r="AJ194" i="56"/>
  <c r="AJ193" i="56" s="1"/>
  <c r="AI193" i="56"/>
  <c r="AK193" i="56" s="1"/>
  <c r="AL355" i="56"/>
  <c r="U354" i="56"/>
  <c r="AL473" i="56"/>
  <c r="AJ606" i="56"/>
  <c r="AJ604" i="56" s="1"/>
  <c r="AI604" i="56"/>
  <c r="G48" i="56"/>
  <c r="AL49" i="56"/>
  <c r="AL170" i="56"/>
  <c r="U26" i="56"/>
  <c r="AI26" i="56" s="1"/>
  <c r="AJ26" i="56" s="1"/>
  <c r="AL514" i="56"/>
  <c r="U508" i="56"/>
  <c r="AK104" i="56"/>
  <c r="AJ104" i="56"/>
  <c r="U35" i="56"/>
  <c r="AJ191" i="56"/>
  <c r="AJ190" i="56" s="1"/>
  <c r="AI190" i="56"/>
  <c r="AK190" i="56" s="1"/>
  <c r="AJ633" i="56"/>
  <c r="AJ630" i="56" s="1"/>
  <c r="AJ614" i="56" s="1"/>
  <c r="AJ613" i="56" s="1"/>
  <c r="AI630" i="56"/>
  <c r="AI614" i="56" s="1"/>
  <c r="AI613" i="56" s="1"/>
  <c r="AL149" i="56"/>
  <c r="U148" i="56"/>
  <c r="AJ839" i="56"/>
  <c r="AJ838" i="56" s="1"/>
  <c r="AJ816" i="56" s="1"/>
  <c r="AI838" i="56"/>
  <c r="AJ469" i="56"/>
  <c r="AJ465" i="56" s="1"/>
  <c r="AJ464" i="56" s="1"/>
  <c r="AK469" i="56"/>
  <c r="AJ124" i="56"/>
  <c r="AJ122" i="56" s="1"/>
  <c r="AK124" i="56"/>
  <c r="U15" i="56"/>
  <c r="AJ408" i="56"/>
  <c r="AJ407" i="56" s="1"/>
  <c r="AK408" i="56"/>
  <c r="AI407" i="56"/>
  <c r="AI270" i="56"/>
  <c r="AK270" i="56" s="1"/>
  <c r="AK271" i="56"/>
  <c r="AJ282" i="56"/>
  <c r="AI842" i="56"/>
  <c r="AJ843" i="56"/>
  <c r="AJ842" i="56" s="1"/>
  <c r="AI472" i="56"/>
  <c r="AK472" i="56" s="1"/>
  <c r="AK473" i="56"/>
  <c r="AK476" i="56"/>
  <c r="AJ476" i="56"/>
  <c r="AJ473" i="56" s="1"/>
  <c r="AJ472" i="56" s="1"/>
  <c r="AJ873" i="56"/>
  <c r="AJ872" i="56" s="1"/>
  <c r="AJ846" i="56" s="1"/>
  <c r="AI872" i="56"/>
  <c r="AI846" i="56" s="1"/>
  <c r="AK479" i="56"/>
  <c r="AJ479" i="56"/>
  <c r="AK171" i="56"/>
  <c r="AI170" i="56"/>
  <c r="AK170" i="56" s="1"/>
  <c r="U451" i="56"/>
  <c r="AL451" i="56" s="1"/>
  <c r="AL452" i="56"/>
  <c r="AI396" i="56"/>
  <c r="AK396" i="56" s="1"/>
  <c r="AK525" i="56"/>
  <c r="AJ525" i="56"/>
  <c r="AJ524" i="56" s="1"/>
  <c r="AI524" i="56"/>
  <c r="AK524" i="56" s="1"/>
  <c r="AJ179" i="56" l="1"/>
  <c r="AJ178" i="56" s="1"/>
  <c r="AJ147" i="56"/>
  <c r="AI816" i="56"/>
  <c r="AJ227" i="56"/>
  <c r="AL179" i="56"/>
  <c r="AJ508" i="56"/>
  <c r="AJ507" i="56" s="1"/>
  <c r="AI30" i="56"/>
  <c r="U29" i="56"/>
  <c r="AI354" i="56"/>
  <c r="AK355" i="56"/>
  <c r="AK407" i="56"/>
  <c r="AI406" i="56"/>
  <c r="AK406" i="56" s="1"/>
  <c r="AL148" i="56"/>
  <c r="U22" i="56"/>
  <c r="AI22" i="56" s="1"/>
  <c r="AJ22" i="56" s="1"/>
  <c r="AL354" i="56"/>
  <c r="AK452" i="56"/>
  <c r="AI451" i="56"/>
  <c r="AK451" i="56" s="1"/>
  <c r="AJ101" i="56"/>
  <c r="AJ100" i="56" s="1"/>
  <c r="AI148" i="56"/>
  <c r="AK148" i="56" s="1"/>
  <c r="AK149" i="56"/>
  <c r="AI35" i="56"/>
  <c r="AK49" i="56"/>
  <c r="AI48" i="56"/>
  <c r="AI47" i="56" s="1"/>
  <c r="AL508" i="56"/>
  <c r="U507" i="56"/>
  <c r="AL507" i="56" s="1"/>
  <c r="AI100" i="56"/>
  <c r="AK100" i="56" s="1"/>
  <c r="AK101" i="56"/>
  <c r="AJ461" i="56"/>
  <c r="AK461" i="56"/>
  <c r="AK181" i="56"/>
  <c r="AI179" i="56"/>
  <c r="AJ35" i="56"/>
  <c r="AN408" i="56"/>
  <c r="AJ406" i="56"/>
  <c r="AJ352" i="56" s="1"/>
  <c r="AJ351" i="56" s="1"/>
  <c r="G47" i="56"/>
  <c r="G16" i="56"/>
  <c r="AL48" i="56"/>
  <c r="AJ581" i="56"/>
  <c r="AI227" i="56"/>
  <c r="AK227" i="56" s="1"/>
  <c r="AK228" i="56"/>
  <c r="AK514" i="56"/>
  <c r="AI508" i="56"/>
  <c r="AI40" i="56"/>
  <c r="U39" i="56"/>
  <c r="AJ611" i="56"/>
  <c r="AJ608" i="56" s="1"/>
  <c r="AI608" i="56"/>
  <c r="AI581" i="56" s="1"/>
  <c r="AI501" i="56"/>
  <c r="AK501" i="56" s="1"/>
  <c r="AK502" i="56"/>
  <c r="AL101" i="56"/>
  <c r="U100" i="56"/>
  <c r="AL178" i="56"/>
  <c r="U27" i="56"/>
  <c r="AI27" i="56" s="1"/>
  <c r="AJ27" i="56" s="1"/>
  <c r="AK314" i="56"/>
  <c r="AI313" i="56"/>
  <c r="AK313" i="56" s="1"/>
  <c r="AJ45" i="56" l="1"/>
  <c r="AJ44" i="56" s="1"/>
  <c r="G15" i="56"/>
  <c r="G13" i="56" s="1"/>
  <c r="G12" i="56" s="1"/>
  <c r="AI16" i="56"/>
  <c r="AI29" i="56"/>
  <c r="AJ30" i="56"/>
  <c r="AJ29" i="56" s="1"/>
  <c r="AI39" i="56"/>
  <c r="AJ40" i="56"/>
  <c r="AJ39" i="56" s="1"/>
  <c r="G45" i="56"/>
  <c r="G44" i="56" s="1"/>
  <c r="AL47" i="56"/>
  <c r="AL100" i="56"/>
  <c r="U20" i="56"/>
  <c r="U45" i="56"/>
  <c r="U44" i="56" s="1"/>
  <c r="AI507" i="56"/>
  <c r="AK507" i="56" s="1"/>
  <c r="AK508" i="56"/>
  <c r="AK354" i="56"/>
  <c r="AI178" i="56"/>
  <c r="AK178" i="56" s="1"/>
  <c r="AK179" i="56"/>
  <c r="U352" i="56"/>
  <c r="AI45" i="56" l="1"/>
  <c r="AI44" i="56" s="1"/>
  <c r="AI352" i="56"/>
  <c r="AI351" i="56" s="1"/>
  <c r="AK351" i="56" s="1"/>
  <c r="AL352" i="56"/>
  <c r="U351" i="56"/>
  <c r="AL351" i="56" s="1"/>
  <c r="AL45" i="56"/>
  <c r="AK352" i="56"/>
  <c r="AI20" i="56"/>
  <c r="AJ20" i="56" s="1"/>
  <c r="U13" i="56"/>
  <c r="U12" i="56" s="1"/>
  <c r="AI15" i="56"/>
  <c r="AJ16" i="56"/>
  <c r="AJ15" i="56" s="1"/>
  <c r="AJ13" i="56" l="1"/>
  <c r="AJ12" i="56" s="1"/>
  <c r="AI13" i="56"/>
  <c r="AI12" i="56" s="1"/>
  <c r="AL44" i="56"/>
  <c r="C31" i="51" l="1"/>
  <c r="C30" i="51"/>
  <c r="C29" i="51"/>
  <c r="C28" i="51"/>
  <c r="C26" i="51"/>
  <c r="C24" i="51"/>
  <c r="C23" i="51"/>
  <c r="C22" i="51"/>
  <c r="C21" i="51" s="1"/>
  <c r="C20" i="51"/>
  <c r="C19" i="51"/>
  <c r="C18" i="51"/>
  <c r="D250" i="51"/>
  <c r="F250" i="51" s="1"/>
  <c r="D249" i="51"/>
  <c r="E249" i="51" s="1"/>
  <c r="D248" i="51"/>
  <c r="F248" i="51" s="1"/>
  <c r="D247" i="51"/>
  <c r="F247" i="51" s="1"/>
  <c r="D246" i="51"/>
  <c r="C246" i="51"/>
  <c r="F244" i="51"/>
  <c r="E244" i="51"/>
  <c r="E243" i="51" s="1"/>
  <c r="D243" i="51"/>
  <c r="F242" i="51"/>
  <c r="G242" i="51" s="1"/>
  <c r="E242" i="51"/>
  <c r="F241" i="51"/>
  <c r="G241" i="51" s="1"/>
  <c r="E241" i="51"/>
  <c r="F240" i="51"/>
  <c r="F239" i="51" s="1"/>
  <c r="E240" i="51"/>
  <c r="C239" i="51"/>
  <c r="F238" i="51"/>
  <c r="G238" i="51" s="1"/>
  <c r="E238" i="51"/>
  <c r="F237" i="51"/>
  <c r="G237" i="51" s="1"/>
  <c r="E237" i="51"/>
  <c r="F236" i="51"/>
  <c r="F235" i="51" s="1"/>
  <c r="E236" i="51"/>
  <c r="E235" i="51" s="1"/>
  <c r="C235" i="51"/>
  <c r="D234" i="51"/>
  <c r="F233" i="51"/>
  <c r="G233" i="51" s="1"/>
  <c r="E233" i="51"/>
  <c r="F232" i="51"/>
  <c r="G232" i="51" s="1"/>
  <c r="E232" i="51"/>
  <c r="F231" i="51"/>
  <c r="E231" i="51"/>
  <c r="F230" i="51"/>
  <c r="G230" i="51" s="1"/>
  <c r="E230" i="51"/>
  <c r="D229" i="51"/>
  <c r="C229" i="51"/>
  <c r="C227" i="51" s="1"/>
  <c r="F228" i="51"/>
  <c r="G228" i="51" s="1"/>
  <c r="E228" i="51"/>
  <c r="D225" i="51"/>
  <c r="F225" i="51" s="1"/>
  <c r="D224" i="51"/>
  <c r="E224" i="51" s="1"/>
  <c r="D223" i="51"/>
  <c r="F223" i="51" s="1"/>
  <c r="D222" i="51"/>
  <c r="F222" i="51" s="1"/>
  <c r="D221" i="51"/>
  <c r="C221" i="51"/>
  <c r="F220" i="51"/>
  <c r="G220" i="51" s="1"/>
  <c r="G219" i="51" s="1"/>
  <c r="E220" i="51"/>
  <c r="E219" i="51" s="1"/>
  <c r="D219" i="51"/>
  <c r="F218" i="51"/>
  <c r="E218" i="51"/>
  <c r="G218" i="51" s="1"/>
  <c r="G217" i="51"/>
  <c r="F217" i="51"/>
  <c r="E217" i="51"/>
  <c r="F216" i="51"/>
  <c r="F215" i="51" s="1"/>
  <c r="E216" i="51"/>
  <c r="E215" i="51"/>
  <c r="C215" i="51"/>
  <c r="F214" i="51"/>
  <c r="G214" i="51" s="1"/>
  <c r="E214" i="51"/>
  <c r="F213" i="51"/>
  <c r="G213" i="51" s="1"/>
  <c r="E213" i="51"/>
  <c r="G212" i="51"/>
  <c r="G211" i="51" s="1"/>
  <c r="F212" i="51"/>
  <c r="E212" i="51"/>
  <c r="E211" i="51" s="1"/>
  <c r="E210" i="51" s="1"/>
  <c r="F211" i="51"/>
  <c r="C211" i="51"/>
  <c r="D210" i="51"/>
  <c r="C210" i="51"/>
  <c r="G209" i="51"/>
  <c r="F209" i="51"/>
  <c r="E209" i="51"/>
  <c r="F208" i="51"/>
  <c r="G208" i="51" s="1"/>
  <c r="E208" i="51"/>
  <c r="F207" i="51"/>
  <c r="F205" i="51" s="1"/>
  <c r="F203" i="51" s="1"/>
  <c r="E207" i="51"/>
  <c r="F206" i="51"/>
  <c r="E206" i="51"/>
  <c r="G206" i="51" s="1"/>
  <c r="D205" i="51"/>
  <c r="C205" i="51"/>
  <c r="C203" i="51" s="1"/>
  <c r="C202" i="51" s="1"/>
  <c r="F204" i="51"/>
  <c r="G204" i="51" s="1"/>
  <c r="E204" i="51"/>
  <c r="D201" i="51"/>
  <c r="F201" i="51" s="1"/>
  <c r="D200" i="51"/>
  <c r="F200" i="51" s="1"/>
  <c r="D199" i="51"/>
  <c r="F199" i="51" s="1"/>
  <c r="D198" i="51"/>
  <c r="F198" i="51" s="1"/>
  <c r="D197" i="51"/>
  <c r="C197" i="51"/>
  <c r="F196" i="51"/>
  <c r="G196" i="51" s="1"/>
  <c r="G195" i="51" s="1"/>
  <c r="E196" i="51"/>
  <c r="E195" i="51" s="1"/>
  <c r="D195" i="51"/>
  <c r="F194" i="51"/>
  <c r="G194" i="51" s="1"/>
  <c r="E194" i="51"/>
  <c r="G193" i="51"/>
  <c r="F193" i="51"/>
  <c r="E193" i="51"/>
  <c r="F192" i="51"/>
  <c r="G192" i="51" s="1"/>
  <c r="G191" i="51" s="1"/>
  <c r="E192" i="51"/>
  <c r="E191" i="51"/>
  <c r="C191" i="51"/>
  <c r="F190" i="51"/>
  <c r="G190" i="51" s="1"/>
  <c r="E190" i="51"/>
  <c r="F189" i="51"/>
  <c r="G189" i="51" s="1"/>
  <c r="E189" i="51"/>
  <c r="G188" i="51"/>
  <c r="G187" i="51" s="1"/>
  <c r="G186" i="51" s="1"/>
  <c r="F188" i="51"/>
  <c r="E188" i="51"/>
  <c r="E187" i="51" s="1"/>
  <c r="E186" i="51" s="1"/>
  <c r="F187" i="51"/>
  <c r="C187" i="51"/>
  <c r="D186" i="51"/>
  <c r="C186" i="51"/>
  <c r="G185" i="51"/>
  <c r="F185" i="51"/>
  <c r="E185" i="51"/>
  <c r="F184" i="51"/>
  <c r="G184" i="51" s="1"/>
  <c r="E184" i="51"/>
  <c r="F183" i="51"/>
  <c r="G183" i="51" s="1"/>
  <c r="E183" i="51"/>
  <c r="F182" i="51"/>
  <c r="G182" i="51" s="1"/>
  <c r="E182" i="51"/>
  <c r="E181" i="51" s="1"/>
  <c r="D181" i="51"/>
  <c r="C181" i="51"/>
  <c r="C179" i="51" s="1"/>
  <c r="C178" i="51" s="1"/>
  <c r="F180" i="51"/>
  <c r="G180" i="51" s="1"/>
  <c r="E180" i="51"/>
  <c r="E179" i="51" s="1"/>
  <c r="D177" i="51"/>
  <c r="F177" i="51" s="1"/>
  <c r="D176" i="51"/>
  <c r="E176" i="51" s="1"/>
  <c r="D175" i="51"/>
  <c r="F175" i="51" s="1"/>
  <c r="D174" i="51"/>
  <c r="E174" i="51" s="1"/>
  <c r="D173" i="51"/>
  <c r="C173" i="51"/>
  <c r="F172" i="51"/>
  <c r="G172" i="51" s="1"/>
  <c r="G171" i="51" s="1"/>
  <c r="E172" i="51"/>
  <c r="E171" i="51" s="1"/>
  <c r="D171" i="51"/>
  <c r="F170" i="51"/>
  <c r="G170" i="51" s="1"/>
  <c r="E170" i="51"/>
  <c r="G169" i="51"/>
  <c r="F169" i="51"/>
  <c r="E169" i="51"/>
  <c r="F168" i="51"/>
  <c r="F167" i="51" s="1"/>
  <c r="F162" i="51" s="1"/>
  <c r="E168" i="51"/>
  <c r="E167" i="51"/>
  <c r="C167" i="51"/>
  <c r="F166" i="51"/>
  <c r="G166" i="51" s="1"/>
  <c r="E166" i="51"/>
  <c r="F165" i="51"/>
  <c r="G165" i="51" s="1"/>
  <c r="E165" i="51"/>
  <c r="G164" i="51"/>
  <c r="G163" i="51" s="1"/>
  <c r="F164" i="51"/>
  <c r="E164" i="51"/>
  <c r="E163" i="51" s="1"/>
  <c r="E162" i="51" s="1"/>
  <c r="F163" i="51"/>
  <c r="C163" i="51"/>
  <c r="D162" i="51"/>
  <c r="C162" i="51"/>
  <c r="G161" i="51"/>
  <c r="F161" i="51"/>
  <c r="E161" i="51"/>
  <c r="F160" i="51"/>
  <c r="G160" i="51" s="1"/>
  <c r="E160" i="51"/>
  <c r="F159" i="51"/>
  <c r="F157" i="51" s="1"/>
  <c r="F155" i="51" s="1"/>
  <c r="E159" i="51"/>
  <c r="F158" i="51"/>
  <c r="G158" i="51" s="1"/>
  <c r="E158" i="51"/>
  <c r="E157" i="51" s="1"/>
  <c r="D157" i="51"/>
  <c r="C157" i="51"/>
  <c r="C155" i="51" s="1"/>
  <c r="C154" i="51" s="1"/>
  <c r="F156" i="51"/>
  <c r="G156" i="51" s="1"/>
  <c r="E156" i="51"/>
  <c r="E155" i="51" s="1"/>
  <c r="D153" i="51"/>
  <c r="F153" i="51" s="1"/>
  <c r="D152" i="51"/>
  <c r="F152" i="51" s="1"/>
  <c r="D151" i="51"/>
  <c r="F151" i="51" s="1"/>
  <c r="D150" i="51"/>
  <c r="F150" i="51" s="1"/>
  <c r="C149" i="51"/>
  <c r="F148" i="51"/>
  <c r="G148" i="51" s="1"/>
  <c r="G147" i="51" s="1"/>
  <c r="E148" i="51"/>
  <c r="E147" i="51" s="1"/>
  <c r="D147" i="51"/>
  <c r="F146" i="51"/>
  <c r="E146" i="51"/>
  <c r="G145" i="51"/>
  <c r="F145" i="51"/>
  <c r="E145" i="51"/>
  <c r="F144" i="51"/>
  <c r="G144" i="51" s="1"/>
  <c r="E144" i="51"/>
  <c r="C143" i="51"/>
  <c r="F142" i="51"/>
  <c r="G142" i="51" s="1"/>
  <c r="E142" i="51"/>
  <c r="F141" i="51"/>
  <c r="G141" i="51" s="1"/>
  <c r="E141" i="51"/>
  <c r="G140" i="51"/>
  <c r="F140" i="51"/>
  <c r="E140" i="51"/>
  <c r="C139" i="51"/>
  <c r="C138" i="51" s="1"/>
  <c r="D138" i="51"/>
  <c r="F137" i="51"/>
  <c r="G137" i="51" s="1"/>
  <c r="E137" i="51"/>
  <c r="F136" i="51"/>
  <c r="G136" i="51" s="1"/>
  <c r="E136" i="51"/>
  <c r="F135" i="51"/>
  <c r="F133" i="51" s="1"/>
  <c r="E135" i="51"/>
  <c r="F134" i="51"/>
  <c r="E134" i="51"/>
  <c r="G134" i="51" s="1"/>
  <c r="D133" i="51"/>
  <c r="C133" i="51"/>
  <c r="C131" i="51" s="1"/>
  <c r="F132" i="51"/>
  <c r="E132" i="51"/>
  <c r="G132" i="51" s="1"/>
  <c r="D129" i="51"/>
  <c r="F129" i="51" s="1"/>
  <c r="D128" i="51"/>
  <c r="F128" i="51" s="1"/>
  <c r="D127" i="51"/>
  <c r="F127" i="51" s="1"/>
  <c r="D126" i="51"/>
  <c r="F126" i="51" s="1"/>
  <c r="D125" i="51"/>
  <c r="C125" i="51"/>
  <c r="F123" i="51"/>
  <c r="G123" i="51" s="1"/>
  <c r="E123" i="51"/>
  <c r="F121" i="51"/>
  <c r="G121" i="51" s="1"/>
  <c r="E121" i="51"/>
  <c r="G120" i="51"/>
  <c r="F120" i="51"/>
  <c r="E120" i="51"/>
  <c r="F119" i="51"/>
  <c r="E119" i="51"/>
  <c r="E118" i="51" s="1"/>
  <c r="C118" i="51"/>
  <c r="F117" i="51"/>
  <c r="E117" i="51"/>
  <c r="G117" i="51" s="1"/>
  <c r="F116" i="51"/>
  <c r="E116" i="51"/>
  <c r="F115" i="51"/>
  <c r="E115" i="51"/>
  <c r="E114" i="51" s="1"/>
  <c r="C114" i="51"/>
  <c r="C113" i="51" s="1"/>
  <c r="D113" i="51"/>
  <c r="F112" i="51"/>
  <c r="G112" i="51" s="1"/>
  <c r="E112" i="51"/>
  <c r="F111" i="51"/>
  <c r="E111" i="51"/>
  <c r="F110" i="51"/>
  <c r="E110" i="51"/>
  <c r="F109" i="51"/>
  <c r="G109" i="51" s="1"/>
  <c r="E109" i="51"/>
  <c r="D108" i="51"/>
  <c r="C108" i="51"/>
  <c r="C106" i="51" s="1"/>
  <c r="F107" i="51"/>
  <c r="G107" i="51" s="1"/>
  <c r="E107" i="51"/>
  <c r="D104" i="51"/>
  <c r="F104" i="51" s="1"/>
  <c r="D103" i="51"/>
  <c r="E103" i="51" s="1"/>
  <c r="D102" i="51"/>
  <c r="E102" i="51" s="1"/>
  <c r="D101" i="51"/>
  <c r="F101" i="51" s="1"/>
  <c r="D100" i="51"/>
  <c r="C100" i="51"/>
  <c r="F99" i="51"/>
  <c r="G99" i="51" s="1"/>
  <c r="G98" i="51" s="1"/>
  <c r="E99" i="51"/>
  <c r="E98" i="51" s="1"/>
  <c r="D98" i="51"/>
  <c r="F97" i="51"/>
  <c r="G97" i="51" s="1"/>
  <c r="E97" i="51"/>
  <c r="G96" i="51"/>
  <c r="F96" i="51"/>
  <c r="E96" i="51"/>
  <c r="F95" i="51"/>
  <c r="G95" i="51" s="1"/>
  <c r="G94" i="51" s="1"/>
  <c r="E95" i="51"/>
  <c r="E94" i="51"/>
  <c r="C94" i="51"/>
  <c r="F93" i="51"/>
  <c r="G93" i="51" s="1"/>
  <c r="E93" i="51"/>
  <c r="F92" i="51"/>
  <c r="G92" i="51" s="1"/>
  <c r="E92" i="51"/>
  <c r="G91" i="51"/>
  <c r="G90" i="51" s="1"/>
  <c r="G89" i="51" s="1"/>
  <c r="F91" i="51"/>
  <c r="E91" i="51"/>
  <c r="E90" i="51" s="1"/>
  <c r="E89" i="51" s="1"/>
  <c r="F90" i="51"/>
  <c r="C90" i="51"/>
  <c r="D89" i="51"/>
  <c r="C89" i="51"/>
  <c r="G88" i="51"/>
  <c r="F88" i="51"/>
  <c r="E88" i="51"/>
  <c r="F87" i="51"/>
  <c r="G87" i="51" s="1"/>
  <c r="E87" i="51"/>
  <c r="F86" i="51"/>
  <c r="F84" i="51" s="1"/>
  <c r="E86" i="51"/>
  <c r="F85" i="51"/>
  <c r="G85" i="51" s="1"/>
  <c r="E85" i="51"/>
  <c r="E84" i="51" s="1"/>
  <c r="D84" i="51"/>
  <c r="C84" i="51"/>
  <c r="C82" i="51" s="1"/>
  <c r="C81" i="51" s="1"/>
  <c r="F83" i="51"/>
  <c r="G83" i="51" s="1"/>
  <c r="E83" i="51"/>
  <c r="E82" i="51" s="1"/>
  <c r="D80" i="51"/>
  <c r="F80" i="51" s="1"/>
  <c r="D79" i="51"/>
  <c r="E79" i="51" s="1"/>
  <c r="D78" i="51"/>
  <c r="E78" i="51" s="1"/>
  <c r="D77" i="51"/>
  <c r="F77" i="51" s="1"/>
  <c r="D76" i="51"/>
  <c r="C76" i="51"/>
  <c r="F75" i="51"/>
  <c r="G75" i="51" s="1"/>
  <c r="G74" i="51" s="1"/>
  <c r="E75" i="51"/>
  <c r="E74" i="51" s="1"/>
  <c r="D74" i="51"/>
  <c r="F73" i="51"/>
  <c r="G73" i="51" s="1"/>
  <c r="E73" i="51"/>
  <c r="G72" i="51"/>
  <c r="F72" i="51"/>
  <c r="E72" i="51"/>
  <c r="F71" i="51"/>
  <c r="F70" i="51" s="1"/>
  <c r="F65" i="51" s="1"/>
  <c r="E71" i="51"/>
  <c r="E70" i="51"/>
  <c r="C70" i="51"/>
  <c r="F69" i="51"/>
  <c r="G69" i="51" s="1"/>
  <c r="E69" i="51"/>
  <c r="F68" i="51"/>
  <c r="G68" i="51" s="1"/>
  <c r="E68" i="51"/>
  <c r="G67" i="51"/>
  <c r="G66" i="51" s="1"/>
  <c r="F67" i="51"/>
  <c r="E67" i="51"/>
  <c r="E66" i="51" s="1"/>
  <c r="E65" i="51" s="1"/>
  <c r="F66" i="51"/>
  <c r="C66" i="51"/>
  <c r="D65" i="51"/>
  <c r="C65" i="51"/>
  <c r="G64" i="51"/>
  <c r="F64" i="51"/>
  <c r="E64" i="51"/>
  <c r="F63" i="51"/>
  <c r="G63" i="51" s="1"/>
  <c r="E63" i="51"/>
  <c r="F62" i="51"/>
  <c r="F60" i="51" s="1"/>
  <c r="F58" i="51" s="1"/>
  <c r="E62" i="51"/>
  <c r="F61" i="51"/>
  <c r="E61" i="51"/>
  <c r="G61" i="51" s="1"/>
  <c r="D60" i="51"/>
  <c r="C60" i="51"/>
  <c r="C58" i="51" s="1"/>
  <c r="C57" i="51" s="1"/>
  <c r="F59" i="51"/>
  <c r="G59" i="51" s="1"/>
  <c r="E59" i="51"/>
  <c r="C57" i="53"/>
  <c r="C56" i="53" s="1"/>
  <c r="C55" i="53"/>
  <c r="C54" i="53"/>
  <c r="C52" i="53"/>
  <c r="C51" i="53"/>
  <c r="C49" i="53"/>
  <c r="C47" i="53"/>
  <c r="C46" i="53"/>
  <c r="C44" i="53"/>
  <c r="C43" i="53"/>
  <c r="C42" i="53"/>
  <c r="C41" i="53"/>
  <c r="C40" i="53"/>
  <c r="C39" i="53"/>
  <c r="C38" i="53"/>
  <c r="C37" i="53"/>
  <c r="C36" i="53"/>
  <c r="C35" i="53"/>
  <c r="C33" i="53"/>
  <c r="C32" i="53"/>
  <c r="C31" i="53"/>
  <c r="C30" i="53"/>
  <c r="C29" i="53"/>
  <c r="C28" i="53"/>
  <c r="C27" i="53"/>
  <c r="C26" i="53"/>
  <c r="C23" i="53"/>
  <c r="C22" i="53"/>
  <c r="C21" i="53"/>
  <c r="C19" i="53"/>
  <c r="C18" i="53"/>
  <c r="C17" i="53"/>
  <c r="C14" i="53"/>
  <c r="C13" i="53"/>
  <c r="F517" i="53"/>
  <c r="F516" i="53" s="1"/>
  <c r="E517" i="53"/>
  <c r="E516" i="53" s="1"/>
  <c r="D516" i="53"/>
  <c r="C516" i="53"/>
  <c r="F515" i="53"/>
  <c r="E515" i="53"/>
  <c r="E514" i="53"/>
  <c r="F514" i="53" s="1"/>
  <c r="G514" i="53" s="1"/>
  <c r="F512" i="53"/>
  <c r="G512" i="53" s="1"/>
  <c r="E512" i="53"/>
  <c r="E511" i="53"/>
  <c r="F511" i="53" s="1"/>
  <c r="G511" i="53" s="1"/>
  <c r="E509" i="53"/>
  <c r="F509" i="53" s="1"/>
  <c r="G509" i="53" s="1"/>
  <c r="F507" i="53"/>
  <c r="G507" i="53" s="1"/>
  <c r="F506" i="53"/>
  <c r="D505" i="53"/>
  <c r="C505" i="53"/>
  <c r="F504" i="53"/>
  <c r="E504" i="53"/>
  <c r="F503" i="53"/>
  <c r="E503" i="53"/>
  <c r="F502" i="53"/>
  <c r="E502" i="53"/>
  <c r="F501" i="53"/>
  <c r="E501" i="53"/>
  <c r="F500" i="53"/>
  <c r="E500" i="53"/>
  <c r="F499" i="53"/>
  <c r="E499" i="53"/>
  <c r="F498" i="53"/>
  <c r="E498" i="53"/>
  <c r="F497" i="53"/>
  <c r="E497" i="53"/>
  <c r="F496" i="53"/>
  <c r="E496" i="53"/>
  <c r="F495" i="53"/>
  <c r="E495" i="53"/>
  <c r="C494" i="53"/>
  <c r="F493" i="53"/>
  <c r="E493" i="53"/>
  <c r="F492" i="53"/>
  <c r="E492" i="53"/>
  <c r="F491" i="53"/>
  <c r="E491" i="53"/>
  <c r="G491" i="53" s="1"/>
  <c r="F490" i="53"/>
  <c r="E490" i="53"/>
  <c r="F489" i="53"/>
  <c r="E489" i="53"/>
  <c r="F488" i="53"/>
  <c r="E488" i="53"/>
  <c r="F487" i="53"/>
  <c r="E487" i="53"/>
  <c r="F486" i="53"/>
  <c r="E486" i="53"/>
  <c r="C485" i="53"/>
  <c r="F484" i="53"/>
  <c r="E484" i="53"/>
  <c r="F483" i="53"/>
  <c r="E483" i="53"/>
  <c r="F482" i="53"/>
  <c r="E482" i="53"/>
  <c r="F481" i="53"/>
  <c r="E481" i="53"/>
  <c r="C480" i="53"/>
  <c r="F479" i="53"/>
  <c r="E479" i="53"/>
  <c r="F478" i="53"/>
  <c r="E478" i="53"/>
  <c r="F477" i="53"/>
  <c r="E477" i="53"/>
  <c r="C476" i="53"/>
  <c r="D475" i="53"/>
  <c r="F474" i="53"/>
  <c r="E474" i="53"/>
  <c r="F473" i="53"/>
  <c r="E473" i="53"/>
  <c r="F472" i="53"/>
  <c r="C472" i="53"/>
  <c r="F466" i="53"/>
  <c r="E466" i="53"/>
  <c r="E465" i="53" s="1"/>
  <c r="D465" i="53"/>
  <c r="C465" i="53"/>
  <c r="F464" i="53"/>
  <c r="E464" i="53"/>
  <c r="E463" i="53"/>
  <c r="F463" i="53" s="1"/>
  <c r="G463" i="53" s="1"/>
  <c r="F461" i="53"/>
  <c r="G461" i="53" s="1"/>
  <c r="E461" i="53"/>
  <c r="E460" i="53"/>
  <c r="F460" i="53" s="1"/>
  <c r="G460" i="53" s="1"/>
  <c r="F458" i="53"/>
  <c r="G458" i="53" s="1"/>
  <c r="E458" i="53"/>
  <c r="F456" i="53"/>
  <c r="G456" i="53" s="1"/>
  <c r="F455" i="53"/>
  <c r="G455" i="53" s="1"/>
  <c r="G454" i="53"/>
  <c r="D454" i="53"/>
  <c r="C454" i="53"/>
  <c r="F453" i="53"/>
  <c r="E453" i="53"/>
  <c r="F452" i="53"/>
  <c r="E452" i="53"/>
  <c r="F451" i="53"/>
  <c r="E451" i="53"/>
  <c r="F450" i="53"/>
  <c r="E450" i="53"/>
  <c r="F449" i="53"/>
  <c r="E449" i="53"/>
  <c r="F448" i="53"/>
  <c r="E448" i="53"/>
  <c r="F447" i="53"/>
  <c r="E447" i="53"/>
  <c r="F446" i="53"/>
  <c r="E446" i="53"/>
  <c r="F445" i="53"/>
  <c r="E445" i="53"/>
  <c r="F444" i="53"/>
  <c r="E444" i="53"/>
  <c r="C443" i="53"/>
  <c r="F442" i="53"/>
  <c r="E442" i="53"/>
  <c r="F441" i="53"/>
  <c r="E441" i="53"/>
  <c r="F440" i="53"/>
  <c r="E440" i="53"/>
  <c r="F439" i="53"/>
  <c r="E439" i="53"/>
  <c r="F438" i="53"/>
  <c r="G438" i="53" s="1"/>
  <c r="E438" i="53"/>
  <c r="F437" i="53"/>
  <c r="E437" i="53"/>
  <c r="F436" i="53"/>
  <c r="G436" i="53" s="1"/>
  <c r="E436" i="53"/>
  <c r="F435" i="53"/>
  <c r="E435" i="53"/>
  <c r="C434" i="53"/>
  <c r="F433" i="53"/>
  <c r="E433" i="53"/>
  <c r="F432" i="53"/>
  <c r="E432" i="53"/>
  <c r="F431" i="53"/>
  <c r="E431" i="53"/>
  <c r="F430" i="53"/>
  <c r="E430" i="53"/>
  <c r="E429" i="53" s="1"/>
  <c r="C429" i="53"/>
  <c r="F428" i="53"/>
  <c r="E428" i="53"/>
  <c r="F427" i="53"/>
  <c r="G427" i="53" s="1"/>
  <c r="E427" i="53"/>
  <c r="F426" i="53"/>
  <c r="E426" i="53"/>
  <c r="C425" i="53"/>
  <c r="C424" i="53" s="1"/>
  <c r="D424" i="53"/>
  <c r="F423" i="53"/>
  <c r="E423" i="53"/>
  <c r="F422" i="53"/>
  <c r="G422" i="53" s="1"/>
  <c r="E422" i="53"/>
  <c r="C421" i="53"/>
  <c r="F415" i="53"/>
  <c r="E415" i="53"/>
  <c r="E414" i="53" s="1"/>
  <c r="D414" i="53"/>
  <c r="C414" i="53"/>
  <c r="F413" i="53"/>
  <c r="E413" i="53"/>
  <c r="E412" i="53"/>
  <c r="F412" i="53" s="1"/>
  <c r="G412" i="53" s="1"/>
  <c r="F410" i="53"/>
  <c r="E410" i="53"/>
  <c r="F409" i="53"/>
  <c r="G409" i="53" s="1"/>
  <c r="E409" i="53"/>
  <c r="E407" i="53"/>
  <c r="F407" i="53" s="1"/>
  <c r="G407" i="53" s="1"/>
  <c r="F405" i="53"/>
  <c r="G405" i="53" s="1"/>
  <c r="F404" i="53"/>
  <c r="G404" i="53" s="1"/>
  <c r="G403" i="53"/>
  <c r="D403" i="53"/>
  <c r="C403" i="53"/>
  <c r="F402" i="53"/>
  <c r="E402" i="53"/>
  <c r="F401" i="53"/>
  <c r="E401" i="53"/>
  <c r="F400" i="53"/>
  <c r="E400" i="53"/>
  <c r="F399" i="53"/>
  <c r="E399" i="53"/>
  <c r="F398" i="53"/>
  <c r="E398" i="53"/>
  <c r="F397" i="53"/>
  <c r="E397" i="53"/>
  <c r="F396" i="53"/>
  <c r="E396" i="53"/>
  <c r="F395" i="53"/>
  <c r="E395" i="53"/>
  <c r="F394" i="53"/>
  <c r="E394" i="53"/>
  <c r="F393" i="53"/>
  <c r="E393" i="53"/>
  <c r="C392" i="53"/>
  <c r="F391" i="53"/>
  <c r="E391" i="53"/>
  <c r="F390" i="53"/>
  <c r="E390" i="53"/>
  <c r="F389" i="53"/>
  <c r="E389" i="53"/>
  <c r="F388" i="53"/>
  <c r="E388" i="53"/>
  <c r="F387" i="53"/>
  <c r="E387" i="53"/>
  <c r="F386" i="53"/>
  <c r="E386" i="53"/>
  <c r="F385" i="53"/>
  <c r="E385" i="53"/>
  <c r="F384" i="53"/>
  <c r="E384" i="53"/>
  <c r="C383" i="53"/>
  <c r="F382" i="53"/>
  <c r="G382" i="53" s="1"/>
  <c r="E382" i="53"/>
  <c r="F381" i="53"/>
  <c r="G381" i="53" s="1"/>
  <c r="E381" i="53"/>
  <c r="F380" i="53"/>
  <c r="E380" i="53"/>
  <c r="F379" i="53"/>
  <c r="G379" i="53" s="1"/>
  <c r="E379" i="53"/>
  <c r="C378" i="53"/>
  <c r="F377" i="53"/>
  <c r="E377" i="53"/>
  <c r="F376" i="53"/>
  <c r="E376" i="53"/>
  <c r="F375" i="53"/>
  <c r="E375" i="53"/>
  <c r="C374" i="53"/>
  <c r="D373" i="53"/>
  <c r="F372" i="53"/>
  <c r="E372" i="53"/>
  <c r="F371" i="53"/>
  <c r="E371" i="53"/>
  <c r="C370" i="53"/>
  <c r="F364" i="53"/>
  <c r="E364" i="53"/>
  <c r="E363" i="53" s="1"/>
  <c r="D363" i="53"/>
  <c r="C363" i="53"/>
  <c r="F362" i="53"/>
  <c r="E362" i="53"/>
  <c r="E361" i="53"/>
  <c r="F361" i="53" s="1"/>
  <c r="G361" i="53" s="1"/>
  <c r="F359" i="53"/>
  <c r="E359" i="53"/>
  <c r="E358" i="53"/>
  <c r="F358" i="53" s="1"/>
  <c r="G358" i="53" s="1"/>
  <c r="F356" i="53"/>
  <c r="G356" i="53" s="1"/>
  <c r="E356" i="53"/>
  <c r="F354" i="53"/>
  <c r="G354" i="53" s="1"/>
  <c r="F353" i="53"/>
  <c r="G353" i="53" s="1"/>
  <c r="G352" i="53"/>
  <c r="D352" i="53"/>
  <c r="C352" i="53"/>
  <c r="F351" i="53"/>
  <c r="E351" i="53"/>
  <c r="F350" i="53"/>
  <c r="E350" i="53"/>
  <c r="F349" i="53"/>
  <c r="E349" i="53"/>
  <c r="F348" i="53"/>
  <c r="E348" i="53"/>
  <c r="F347" i="53"/>
  <c r="E347" i="53"/>
  <c r="F346" i="53"/>
  <c r="E346" i="53"/>
  <c r="F345" i="53"/>
  <c r="E345" i="53"/>
  <c r="F344" i="53"/>
  <c r="E344" i="53"/>
  <c r="F343" i="53"/>
  <c r="E343" i="53"/>
  <c r="F342" i="53"/>
  <c r="E342" i="53"/>
  <c r="C341" i="53"/>
  <c r="F340" i="53"/>
  <c r="E340" i="53"/>
  <c r="F339" i="53"/>
  <c r="E339" i="53"/>
  <c r="F338" i="53"/>
  <c r="E338" i="53"/>
  <c r="F337" i="53"/>
  <c r="E337" i="53"/>
  <c r="F336" i="53"/>
  <c r="E336" i="53"/>
  <c r="F335" i="53"/>
  <c r="E335" i="53"/>
  <c r="F334" i="53"/>
  <c r="E334" i="53"/>
  <c r="F333" i="53"/>
  <c r="E333" i="53"/>
  <c r="C332" i="53"/>
  <c r="F331" i="53"/>
  <c r="E331" i="53"/>
  <c r="F330" i="53"/>
  <c r="E330" i="53"/>
  <c r="F329" i="53"/>
  <c r="E329" i="53"/>
  <c r="F328" i="53"/>
  <c r="E328" i="53"/>
  <c r="C327" i="53"/>
  <c r="F326" i="53"/>
  <c r="G326" i="53" s="1"/>
  <c r="E326" i="53"/>
  <c r="F325" i="53"/>
  <c r="G325" i="53" s="1"/>
  <c r="E325" i="53"/>
  <c r="F324" i="53"/>
  <c r="G324" i="53" s="1"/>
  <c r="E324" i="53"/>
  <c r="C323" i="53"/>
  <c r="C322" i="53" s="1"/>
  <c r="D322" i="53"/>
  <c r="F321" i="53"/>
  <c r="G321" i="53" s="1"/>
  <c r="E321" i="53"/>
  <c r="F320" i="53"/>
  <c r="G320" i="53" s="1"/>
  <c r="E320" i="53"/>
  <c r="C319" i="53"/>
  <c r="F313" i="53"/>
  <c r="E313" i="53"/>
  <c r="E312" i="53" s="1"/>
  <c r="D312" i="53"/>
  <c r="C312" i="53"/>
  <c r="F311" i="53"/>
  <c r="E311" i="53"/>
  <c r="E310" i="53"/>
  <c r="F310" i="53" s="1"/>
  <c r="G310" i="53" s="1"/>
  <c r="F308" i="53"/>
  <c r="E308" i="53"/>
  <c r="E307" i="53"/>
  <c r="F307" i="53" s="1"/>
  <c r="G307" i="53" s="1"/>
  <c r="E305" i="53"/>
  <c r="F305" i="53" s="1"/>
  <c r="G305" i="53" s="1"/>
  <c r="F303" i="53"/>
  <c r="G303" i="53" s="1"/>
  <c r="F302" i="53"/>
  <c r="G302" i="53" s="1"/>
  <c r="G301" i="53"/>
  <c r="D301" i="53"/>
  <c r="C301" i="53"/>
  <c r="F299" i="53"/>
  <c r="E299" i="53"/>
  <c r="F298" i="53"/>
  <c r="E298" i="53"/>
  <c r="F297" i="53"/>
  <c r="E297" i="53"/>
  <c r="F296" i="53"/>
  <c r="E296" i="53"/>
  <c r="F295" i="53"/>
  <c r="E295" i="53"/>
  <c r="F294" i="53"/>
  <c r="E294" i="53"/>
  <c r="F293" i="53"/>
  <c r="E293" i="53"/>
  <c r="F292" i="53"/>
  <c r="E292" i="53"/>
  <c r="F291" i="53"/>
  <c r="E291" i="53"/>
  <c r="F290" i="53"/>
  <c r="E290" i="53"/>
  <c r="F288" i="53"/>
  <c r="E288" i="53"/>
  <c r="F287" i="53"/>
  <c r="E287" i="53"/>
  <c r="F286" i="53"/>
  <c r="E286" i="53"/>
  <c r="F285" i="53"/>
  <c r="E285" i="53"/>
  <c r="F284" i="53"/>
  <c r="E284" i="53"/>
  <c r="F283" i="53"/>
  <c r="E283" i="53"/>
  <c r="F282" i="53"/>
  <c r="E282" i="53"/>
  <c r="F281" i="53"/>
  <c r="E281" i="53"/>
  <c r="C280" i="53"/>
  <c r="F279" i="53"/>
  <c r="E279" i="53"/>
  <c r="F278" i="53"/>
  <c r="E278" i="53"/>
  <c r="F277" i="53"/>
  <c r="E277" i="53"/>
  <c r="F276" i="53"/>
  <c r="E276" i="53"/>
  <c r="C275" i="53"/>
  <c r="F274" i="53"/>
  <c r="E274" i="53"/>
  <c r="F273" i="53"/>
  <c r="E273" i="53"/>
  <c r="F272" i="53"/>
  <c r="E272" i="53"/>
  <c r="C271" i="53"/>
  <c r="D270" i="53"/>
  <c r="F269" i="53"/>
  <c r="E269" i="53"/>
  <c r="F268" i="53"/>
  <c r="E268" i="53"/>
  <c r="C267" i="53"/>
  <c r="F261" i="53"/>
  <c r="F260" i="53" s="1"/>
  <c r="E261" i="53"/>
  <c r="E260" i="53" s="1"/>
  <c r="F259" i="53"/>
  <c r="G259" i="53" s="1"/>
  <c r="E259" i="53"/>
  <c r="E258" i="53"/>
  <c r="F256" i="53"/>
  <c r="E256" i="53"/>
  <c r="E255" i="53"/>
  <c r="F255" i="53" s="1"/>
  <c r="G255" i="53" s="1"/>
  <c r="E253" i="53"/>
  <c r="F253" i="53" s="1"/>
  <c r="G253" i="53" s="1"/>
  <c r="G251" i="53"/>
  <c r="G250" i="53"/>
  <c r="D249" i="53"/>
  <c r="C249" i="53"/>
  <c r="F248" i="53"/>
  <c r="E248" i="53"/>
  <c r="F247" i="53"/>
  <c r="E247" i="53"/>
  <c r="F246" i="53"/>
  <c r="E246" i="53"/>
  <c r="F245" i="53"/>
  <c r="E245" i="53"/>
  <c r="F244" i="53"/>
  <c r="E244" i="53"/>
  <c r="F243" i="53"/>
  <c r="E243" i="53"/>
  <c r="F242" i="53"/>
  <c r="E242" i="53"/>
  <c r="F241" i="53"/>
  <c r="E241" i="53"/>
  <c r="F240" i="53"/>
  <c r="E240" i="53"/>
  <c r="F239" i="53"/>
  <c r="E239" i="53"/>
  <c r="C238" i="53"/>
  <c r="F237" i="53"/>
  <c r="E237" i="53"/>
  <c r="F236" i="53"/>
  <c r="E236" i="53"/>
  <c r="F235" i="53"/>
  <c r="E235" i="53"/>
  <c r="F234" i="53"/>
  <c r="E234" i="53"/>
  <c r="F233" i="53"/>
  <c r="E233" i="53"/>
  <c r="F232" i="53"/>
  <c r="E232" i="53"/>
  <c r="F231" i="53"/>
  <c r="E231" i="53"/>
  <c r="F230" i="53"/>
  <c r="E230" i="53"/>
  <c r="C229" i="53"/>
  <c r="F228" i="53"/>
  <c r="E228" i="53"/>
  <c r="F227" i="53"/>
  <c r="G227" i="53" s="1"/>
  <c r="E227" i="53"/>
  <c r="F226" i="53"/>
  <c r="E226" i="53"/>
  <c r="F225" i="53"/>
  <c r="E225" i="53"/>
  <c r="C224" i="53"/>
  <c r="F223" i="53"/>
  <c r="E223" i="53"/>
  <c r="F222" i="53"/>
  <c r="E222" i="53"/>
  <c r="F221" i="53"/>
  <c r="E221" i="53"/>
  <c r="C220" i="53"/>
  <c r="D219" i="53"/>
  <c r="F218" i="53"/>
  <c r="E218" i="53"/>
  <c r="F217" i="53"/>
  <c r="E217" i="53"/>
  <c r="C216" i="53"/>
  <c r="F210" i="53"/>
  <c r="E210" i="53"/>
  <c r="E209" i="53" s="1"/>
  <c r="D209" i="53"/>
  <c r="C209" i="53"/>
  <c r="F208" i="53"/>
  <c r="G208" i="53" s="1"/>
  <c r="E208" i="53"/>
  <c r="E207" i="53"/>
  <c r="F207" i="53" s="1"/>
  <c r="G207" i="53" s="1"/>
  <c r="F205" i="53"/>
  <c r="E205" i="53"/>
  <c r="E204" i="53"/>
  <c r="F204" i="53" s="1"/>
  <c r="G204" i="53" s="1"/>
  <c r="E202" i="53"/>
  <c r="F202" i="53" s="1"/>
  <c r="G202" i="53" s="1"/>
  <c r="F200" i="53"/>
  <c r="G200" i="53" s="1"/>
  <c r="F199" i="53"/>
  <c r="G199" i="53" s="1"/>
  <c r="G198" i="53"/>
  <c r="D198" i="53"/>
  <c r="C198" i="53"/>
  <c r="F197" i="53"/>
  <c r="E197" i="53"/>
  <c r="F196" i="53"/>
  <c r="E196" i="53"/>
  <c r="F195" i="53"/>
  <c r="E195" i="53"/>
  <c r="F194" i="53"/>
  <c r="E194" i="53"/>
  <c r="F193" i="53"/>
  <c r="E193" i="53"/>
  <c r="F192" i="53"/>
  <c r="E192" i="53"/>
  <c r="F191" i="53"/>
  <c r="E191" i="53"/>
  <c r="F190" i="53"/>
  <c r="E190" i="53"/>
  <c r="F189" i="53"/>
  <c r="E189" i="53"/>
  <c r="F188" i="53"/>
  <c r="E188" i="53"/>
  <c r="C187" i="53"/>
  <c r="F186" i="53"/>
  <c r="E186" i="53"/>
  <c r="F185" i="53"/>
  <c r="E185" i="53"/>
  <c r="F184" i="53"/>
  <c r="E184" i="53"/>
  <c r="F183" i="53"/>
  <c r="E183" i="53"/>
  <c r="F182" i="53"/>
  <c r="E182" i="53"/>
  <c r="F181" i="53"/>
  <c r="E181" i="53"/>
  <c r="F180" i="53"/>
  <c r="E180" i="53"/>
  <c r="F179" i="53"/>
  <c r="G179" i="53" s="1"/>
  <c r="E179" i="53"/>
  <c r="C178" i="53"/>
  <c r="F177" i="53"/>
  <c r="E177" i="53"/>
  <c r="F176" i="53"/>
  <c r="E176" i="53"/>
  <c r="F175" i="53"/>
  <c r="E175" i="53"/>
  <c r="F174" i="53"/>
  <c r="E174" i="53"/>
  <c r="C173" i="53"/>
  <c r="F172" i="53"/>
  <c r="G172" i="53" s="1"/>
  <c r="E172" i="53"/>
  <c r="F171" i="53"/>
  <c r="E171" i="53"/>
  <c r="F170" i="53"/>
  <c r="E170" i="53"/>
  <c r="C169" i="53"/>
  <c r="C168" i="53" s="1"/>
  <c r="D168" i="53"/>
  <c r="F167" i="53"/>
  <c r="E167" i="53"/>
  <c r="F166" i="53"/>
  <c r="G166" i="53" s="1"/>
  <c r="E166" i="53"/>
  <c r="C165" i="53"/>
  <c r="F159" i="53"/>
  <c r="E159" i="53"/>
  <c r="E158" i="53" s="1"/>
  <c r="D158" i="53"/>
  <c r="C158" i="53"/>
  <c r="F157" i="53"/>
  <c r="E157" i="53"/>
  <c r="E156" i="53"/>
  <c r="F156" i="53" s="1"/>
  <c r="G156" i="53" s="1"/>
  <c r="F154" i="53"/>
  <c r="G154" i="53" s="1"/>
  <c r="E154" i="53"/>
  <c r="E153" i="53"/>
  <c r="F153" i="53" s="1"/>
  <c r="G153" i="53" s="1"/>
  <c r="F151" i="53"/>
  <c r="G151" i="53" s="1"/>
  <c r="E151" i="53"/>
  <c r="F149" i="53"/>
  <c r="G149" i="53" s="1"/>
  <c r="F148" i="53"/>
  <c r="G148" i="53" s="1"/>
  <c r="G147" i="53"/>
  <c r="D147" i="53"/>
  <c r="C147" i="53"/>
  <c r="F146" i="53"/>
  <c r="E146" i="53"/>
  <c r="F145" i="53"/>
  <c r="E145" i="53"/>
  <c r="F144" i="53"/>
  <c r="E144" i="53"/>
  <c r="F143" i="53"/>
  <c r="E143" i="53"/>
  <c r="F142" i="53"/>
  <c r="E142" i="53"/>
  <c r="F141" i="53"/>
  <c r="E141" i="53"/>
  <c r="F140" i="53"/>
  <c r="E140" i="53"/>
  <c r="F139" i="53"/>
  <c r="E139" i="53"/>
  <c r="F138" i="53"/>
  <c r="E138" i="53"/>
  <c r="F137" i="53"/>
  <c r="E137" i="53"/>
  <c r="C136" i="53"/>
  <c r="F135" i="53"/>
  <c r="E135" i="53"/>
  <c r="F134" i="53"/>
  <c r="E134" i="53"/>
  <c r="F133" i="53"/>
  <c r="E133" i="53"/>
  <c r="F132" i="53"/>
  <c r="E132" i="53"/>
  <c r="F131" i="53"/>
  <c r="E131" i="53"/>
  <c r="F130" i="53"/>
  <c r="E130" i="53"/>
  <c r="F129" i="53"/>
  <c r="E129" i="53"/>
  <c r="F128" i="53"/>
  <c r="E128" i="53"/>
  <c r="C127" i="53"/>
  <c r="F126" i="53"/>
  <c r="E126" i="53"/>
  <c r="F125" i="53"/>
  <c r="E125" i="53"/>
  <c r="F124" i="53"/>
  <c r="E124" i="53"/>
  <c r="F123" i="53"/>
  <c r="E123" i="53"/>
  <c r="C122" i="53"/>
  <c r="F121" i="53"/>
  <c r="E121" i="53"/>
  <c r="F120" i="53"/>
  <c r="E120" i="53"/>
  <c r="F119" i="53"/>
  <c r="E119" i="53"/>
  <c r="C118" i="53"/>
  <c r="C117" i="53" s="1"/>
  <c r="C113" i="53" s="1"/>
  <c r="C112" i="53" s="1"/>
  <c r="D117" i="53"/>
  <c r="F116" i="53"/>
  <c r="E116" i="53"/>
  <c r="F115" i="53"/>
  <c r="E115" i="53"/>
  <c r="C114" i="53"/>
  <c r="G308" i="53" l="1"/>
  <c r="G279" i="53"/>
  <c r="C270" i="53"/>
  <c r="G146" i="51"/>
  <c r="G143" i="51"/>
  <c r="E143" i="51"/>
  <c r="F139" i="51"/>
  <c r="E139" i="51"/>
  <c r="E138" i="51" s="1"/>
  <c r="C130" i="51"/>
  <c r="F131" i="51"/>
  <c r="G402" i="53"/>
  <c r="G496" i="53"/>
  <c r="G498" i="53"/>
  <c r="G500" i="53"/>
  <c r="G502" i="53"/>
  <c r="G442" i="53"/>
  <c r="G274" i="53"/>
  <c r="E323" i="53"/>
  <c r="G345" i="53"/>
  <c r="C373" i="53"/>
  <c r="C369" i="53" s="1"/>
  <c r="C368" i="53" s="1"/>
  <c r="C367" i="53" s="1"/>
  <c r="G410" i="53"/>
  <c r="G408" i="53" s="1"/>
  <c r="G423" i="53"/>
  <c r="G426" i="53"/>
  <c r="G428" i="53"/>
  <c r="G425" i="53" s="1"/>
  <c r="G435" i="53"/>
  <c r="G437" i="53"/>
  <c r="G482" i="53"/>
  <c r="G484" i="53"/>
  <c r="G501" i="53"/>
  <c r="E425" i="53"/>
  <c r="E424" i="53" s="1"/>
  <c r="G128" i="53"/>
  <c r="F216" i="53"/>
  <c r="E267" i="53"/>
  <c r="G331" i="53"/>
  <c r="G479" i="53"/>
  <c r="G241" i="53"/>
  <c r="G295" i="53"/>
  <c r="G297" i="53"/>
  <c r="G396" i="53"/>
  <c r="G389" i="53"/>
  <c r="G391" i="53"/>
  <c r="G243" i="53"/>
  <c r="G191" i="53"/>
  <c r="G245" i="53"/>
  <c r="G284" i="53"/>
  <c r="G195" i="53"/>
  <c r="G181" i="53"/>
  <c r="G116" i="53"/>
  <c r="G119" i="53"/>
  <c r="G121" i="53"/>
  <c r="G371" i="53"/>
  <c r="G387" i="53"/>
  <c r="G394" i="53"/>
  <c r="G397" i="53"/>
  <c r="G399" i="53"/>
  <c r="G413" i="53"/>
  <c r="G411" i="53" s="1"/>
  <c r="G430" i="53"/>
  <c r="G432" i="53"/>
  <c r="G447" i="53"/>
  <c r="E472" i="53"/>
  <c r="G472" i="53" s="1"/>
  <c r="F224" i="53"/>
  <c r="G340" i="53"/>
  <c r="G449" i="53"/>
  <c r="G451" i="53"/>
  <c r="G490" i="53"/>
  <c r="G499" i="53"/>
  <c r="G359" i="53"/>
  <c r="G357" i="53" s="1"/>
  <c r="G377" i="53"/>
  <c r="G384" i="53"/>
  <c r="G386" i="53"/>
  <c r="G400" i="53"/>
  <c r="G431" i="53"/>
  <c r="G433" i="53"/>
  <c r="G503" i="53"/>
  <c r="G290" i="53"/>
  <c r="G292" i="53"/>
  <c r="C420" i="53"/>
  <c r="C419" i="53" s="1"/>
  <c r="C418" i="53" s="1"/>
  <c r="G448" i="53"/>
  <c r="G450" i="53"/>
  <c r="G464" i="53"/>
  <c r="G462" i="53" s="1"/>
  <c r="G466" i="53"/>
  <c r="G465" i="53" s="1"/>
  <c r="G473" i="53"/>
  <c r="G487" i="53"/>
  <c r="G489" i="53"/>
  <c r="F258" i="53"/>
  <c r="E257" i="53"/>
  <c r="G177" i="53"/>
  <c r="G184" i="53"/>
  <c r="G186" i="53"/>
  <c r="G222" i="53"/>
  <c r="G246" i="53"/>
  <c r="G285" i="53"/>
  <c r="G287" i="53"/>
  <c r="G299" i="53"/>
  <c r="G306" i="53"/>
  <c r="G333" i="53"/>
  <c r="G335" i="53"/>
  <c r="G337" i="53"/>
  <c r="G339" i="53"/>
  <c r="E341" i="53"/>
  <c r="G347" i="53"/>
  <c r="G349" i="53"/>
  <c r="G380" i="53"/>
  <c r="G378" i="53" s="1"/>
  <c r="G393" i="53"/>
  <c r="G395" i="53"/>
  <c r="G415" i="53"/>
  <c r="G414" i="53" s="1"/>
  <c r="G439" i="53"/>
  <c r="G441" i="53"/>
  <c r="G445" i="53"/>
  <c r="G452" i="53"/>
  <c r="G486" i="53"/>
  <c r="G493" i="53"/>
  <c r="G504" i="53"/>
  <c r="G459" i="53"/>
  <c r="G506" i="53"/>
  <c r="F505" i="53"/>
  <c r="E220" i="53"/>
  <c r="E327" i="53"/>
  <c r="F374" i="53"/>
  <c r="E443" i="53"/>
  <c r="F485" i="53"/>
  <c r="G515" i="53"/>
  <c r="G115" i="53"/>
  <c r="C111" i="53"/>
  <c r="F118" i="53"/>
  <c r="G126" i="53"/>
  <c r="G157" i="53"/>
  <c r="G155" i="53" s="1"/>
  <c r="G174" i="53"/>
  <c r="G176" i="53"/>
  <c r="G205" i="53"/>
  <c r="G203" i="53" s="1"/>
  <c r="G221" i="53"/>
  <c r="G223" i="53"/>
  <c r="G256" i="53"/>
  <c r="G254" i="53" s="1"/>
  <c r="G272" i="53"/>
  <c r="G276" i="53"/>
  <c r="G278" i="53"/>
  <c r="G286" i="53"/>
  <c r="G288" i="53"/>
  <c r="G293" i="53"/>
  <c r="G311" i="53"/>
  <c r="G309" i="53" s="1"/>
  <c r="G313" i="53"/>
  <c r="G312" i="53" s="1"/>
  <c r="E322" i="53"/>
  <c r="G328" i="53"/>
  <c r="G330" i="53"/>
  <c r="F332" i="53"/>
  <c r="G336" i="53"/>
  <c r="G346" i="53"/>
  <c r="G348" i="53"/>
  <c r="G362" i="53"/>
  <c r="G360" i="53" s="1"/>
  <c r="G364" i="53"/>
  <c r="G363" i="53" s="1"/>
  <c r="G372" i="53"/>
  <c r="G375" i="53"/>
  <c r="G385" i="53"/>
  <c r="G388" i="53"/>
  <c r="G390" i="53"/>
  <c r="G398" i="53"/>
  <c r="G401" i="53"/>
  <c r="E421" i="53"/>
  <c r="E420" i="53" s="1"/>
  <c r="E419" i="53" s="1"/>
  <c r="E434" i="53"/>
  <c r="G440" i="53"/>
  <c r="G444" i="53"/>
  <c r="G446" i="53"/>
  <c r="G453" i="53"/>
  <c r="G481" i="53"/>
  <c r="G495" i="53"/>
  <c r="G144" i="53"/>
  <c r="G235" i="53"/>
  <c r="G237" i="53"/>
  <c r="G249" i="53"/>
  <c r="G131" i="53"/>
  <c r="G135" i="53"/>
  <c r="G137" i="53"/>
  <c r="G139" i="53"/>
  <c r="G141" i="53"/>
  <c r="G143" i="53"/>
  <c r="G182" i="53"/>
  <c r="G189" i="53"/>
  <c r="G192" i="53"/>
  <c r="G194" i="53"/>
  <c r="G242" i="53"/>
  <c r="G248" i="53"/>
  <c r="G130" i="53"/>
  <c r="G138" i="53"/>
  <c r="G140" i="53"/>
  <c r="G197" i="53"/>
  <c r="G129" i="53"/>
  <c r="G232" i="53"/>
  <c r="G233" i="53"/>
  <c r="G234" i="53"/>
  <c r="G228" i="53"/>
  <c r="C219" i="53"/>
  <c r="G119" i="51"/>
  <c r="G118" i="51" s="1"/>
  <c r="E113" i="51"/>
  <c r="F114" i="51"/>
  <c r="G116" i="51"/>
  <c r="G115" i="51"/>
  <c r="C105" i="51"/>
  <c r="G110" i="51"/>
  <c r="E108" i="51"/>
  <c r="E106" i="51" s="1"/>
  <c r="F108" i="51"/>
  <c r="F106" i="51" s="1"/>
  <c r="G517" i="53"/>
  <c r="G516" i="53" s="1"/>
  <c r="G513" i="53"/>
  <c r="G510" i="53"/>
  <c r="G508" i="53" s="1"/>
  <c r="C50" i="53"/>
  <c r="F51" i="53"/>
  <c r="G505" i="53"/>
  <c r="F494" i="53"/>
  <c r="E494" i="53"/>
  <c r="E485" i="53"/>
  <c r="G492" i="53"/>
  <c r="C475" i="53"/>
  <c r="C471" i="53" s="1"/>
  <c r="C470" i="53" s="1"/>
  <c r="C469" i="53" s="1"/>
  <c r="F480" i="53"/>
  <c r="E480" i="53"/>
  <c r="E476" i="53"/>
  <c r="G477" i="53"/>
  <c r="F476" i="53"/>
  <c r="G474" i="53"/>
  <c r="G244" i="51"/>
  <c r="G243" i="51" s="1"/>
  <c r="C234" i="51"/>
  <c r="C226" i="51" s="1"/>
  <c r="E239" i="51"/>
  <c r="E234" i="51" s="1"/>
  <c r="G236" i="51"/>
  <c r="G235" i="51" s="1"/>
  <c r="F234" i="51"/>
  <c r="G231" i="51"/>
  <c r="E229" i="51"/>
  <c r="E227" i="51" s="1"/>
  <c r="F246" i="51"/>
  <c r="G229" i="51"/>
  <c r="G227" i="51" s="1"/>
  <c r="G240" i="51"/>
  <c r="G239" i="51" s="1"/>
  <c r="E247" i="51"/>
  <c r="G247" i="51" s="1"/>
  <c r="E248" i="51"/>
  <c r="G248" i="51" s="1"/>
  <c r="E250" i="51"/>
  <c r="G250" i="51" s="1"/>
  <c r="F243" i="51"/>
  <c r="F249" i="51"/>
  <c r="G249" i="51" s="1"/>
  <c r="F229" i="51"/>
  <c r="F227" i="51" s="1"/>
  <c r="G210" i="51"/>
  <c r="F210" i="51"/>
  <c r="G216" i="51"/>
  <c r="G215" i="51" s="1"/>
  <c r="E222" i="51"/>
  <c r="E221" i="51" s="1"/>
  <c r="E223" i="51"/>
  <c r="G223" i="51" s="1"/>
  <c r="E225" i="51"/>
  <c r="G225" i="51" s="1"/>
  <c r="E205" i="51"/>
  <c r="E203" i="51" s="1"/>
  <c r="E202" i="51" s="1"/>
  <c r="G207" i="51"/>
  <c r="G205" i="51" s="1"/>
  <c r="G203" i="51" s="1"/>
  <c r="F219" i="51"/>
  <c r="F224" i="51"/>
  <c r="G224" i="51" s="1"/>
  <c r="G198" i="51"/>
  <c r="F197" i="51"/>
  <c r="G181" i="51"/>
  <c r="G179" i="51" s="1"/>
  <c r="G201" i="51"/>
  <c r="F191" i="51"/>
  <c r="F186" i="51" s="1"/>
  <c r="E198" i="51"/>
  <c r="E199" i="51"/>
  <c r="G199" i="51" s="1"/>
  <c r="E200" i="51"/>
  <c r="G200" i="51" s="1"/>
  <c r="E201" i="51"/>
  <c r="F195" i="51"/>
  <c r="F181" i="51"/>
  <c r="F179" i="51" s="1"/>
  <c r="F178" i="51" s="1"/>
  <c r="G175" i="51"/>
  <c r="E173" i="51"/>
  <c r="E154" i="51" s="1"/>
  <c r="G177" i="51"/>
  <c r="G168" i="51"/>
  <c r="G167" i="51" s="1"/>
  <c r="G162" i="51" s="1"/>
  <c r="E175" i="51"/>
  <c r="E177" i="51"/>
  <c r="G159" i="51"/>
  <c r="G157" i="51" s="1"/>
  <c r="G155" i="51" s="1"/>
  <c r="F171" i="51"/>
  <c r="F174" i="51"/>
  <c r="F176" i="51"/>
  <c r="G176" i="51" s="1"/>
  <c r="F149" i="51"/>
  <c r="G139" i="51"/>
  <c r="G138" i="51" s="1"/>
  <c r="D149" i="51"/>
  <c r="F143" i="51"/>
  <c r="F138" i="51" s="1"/>
  <c r="E150" i="51"/>
  <c r="E149" i="51" s="1"/>
  <c r="E151" i="51"/>
  <c r="G151" i="51" s="1"/>
  <c r="E152" i="51"/>
  <c r="G152" i="51" s="1"/>
  <c r="E153" i="51"/>
  <c r="G153" i="51" s="1"/>
  <c r="E133" i="51"/>
  <c r="E131" i="51" s="1"/>
  <c r="E130" i="51" s="1"/>
  <c r="G135" i="51"/>
  <c r="G133" i="51" s="1"/>
  <c r="G131" i="51" s="1"/>
  <c r="F147" i="51"/>
  <c r="F125" i="51"/>
  <c r="G108" i="51"/>
  <c r="G106" i="51" s="1"/>
  <c r="G111" i="51"/>
  <c r="F118" i="51"/>
  <c r="F113" i="51" s="1"/>
  <c r="E126" i="51"/>
  <c r="E127" i="51"/>
  <c r="G127" i="51" s="1"/>
  <c r="E128" i="51"/>
  <c r="G128" i="51" s="1"/>
  <c r="E129" i="51"/>
  <c r="G129" i="51" s="1"/>
  <c r="F94" i="51"/>
  <c r="F89" i="51" s="1"/>
  <c r="E101" i="51"/>
  <c r="E100" i="51" s="1"/>
  <c r="E81" i="51" s="1"/>
  <c r="E104" i="51"/>
  <c r="G104" i="51" s="1"/>
  <c r="G86" i="51"/>
  <c r="G84" i="51" s="1"/>
  <c r="G82" i="51" s="1"/>
  <c r="F98" i="51"/>
  <c r="F102" i="51"/>
  <c r="G102" i="51" s="1"/>
  <c r="F103" i="51"/>
  <c r="G103" i="51" s="1"/>
  <c r="F82" i="51"/>
  <c r="G60" i="51"/>
  <c r="G77" i="51"/>
  <c r="G58" i="51"/>
  <c r="G80" i="51"/>
  <c r="G71" i="51"/>
  <c r="G70" i="51" s="1"/>
  <c r="G65" i="51" s="1"/>
  <c r="E77" i="51"/>
  <c r="E80" i="51"/>
  <c r="E60" i="51"/>
  <c r="E58" i="51" s="1"/>
  <c r="G62" i="51"/>
  <c r="F74" i="51"/>
  <c r="F78" i="51"/>
  <c r="G78" i="51" s="1"/>
  <c r="F79" i="51"/>
  <c r="G79" i="51" s="1"/>
  <c r="C12" i="53"/>
  <c r="F475" i="53"/>
  <c r="G478" i="53"/>
  <c r="G483" i="53"/>
  <c r="G488" i="53"/>
  <c r="G497" i="53"/>
  <c r="G494" i="53" s="1"/>
  <c r="F425" i="53"/>
  <c r="F421" i="53"/>
  <c r="F429" i="53"/>
  <c r="F434" i="53"/>
  <c r="F443" i="53"/>
  <c r="F465" i="53"/>
  <c r="E374" i="53"/>
  <c r="G376" i="53"/>
  <c r="E370" i="53"/>
  <c r="E378" i="53"/>
  <c r="E383" i="53"/>
  <c r="E392" i="53"/>
  <c r="F370" i="53"/>
  <c r="F378" i="53"/>
  <c r="F373" i="53" s="1"/>
  <c r="F383" i="53"/>
  <c r="F392" i="53"/>
  <c r="F414" i="53"/>
  <c r="G152" i="53"/>
  <c r="G132" i="53"/>
  <c r="G134" i="53"/>
  <c r="G142" i="53"/>
  <c r="G145" i="53"/>
  <c r="G175" i="53"/>
  <c r="G188" i="53"/>
  <c r="G190" i="53"/>
  <c r="G210" i="53"/>
  <c r="G209" i="53" s="1"/>
  <c r="G225" i="53"/>
  <c r="G236" i="53"/>
  <c r="F238" i="53"/>
  <c r="G247" i="53"/>
  <c r="G268" i="53"/>
  <c r="G273" i="53"/>
  <c r="F275" i="53"/>
  <c r="G281" i="53"/>
  <c r="G283" i="53"/>
  <c r="G294" i="53"/>
  <c r="G296" i="53"/>
  <c r="E319" i="53"/>
  <c r="E318" i="53" s="1"/>
  <c r="E317" i="53" s="1"/>
  <c r="E332" i="53"/>
  <c r="G338" i="53"/>
  <c r="G342" i="53"/>
  <c r="G344" i="53"/>
  <c r="G351" i="53"/>
  <c r="E280" i="53"/>
  <c r="G123" i="53"/>
  <c r="G125" i="53"/>
  <c r="G133" i="53"/>
  <c r="G146" i="53"/>
  <c r="C164" i="53"/>
  <c r="C163" i="53" s="1"/>
  <c r="C162" i="53" s="1"/>
  <c r="F169" i="53"/>
  <c r="G206" i="53"/>
  <c r="F229" i="53"/>
  <c r="G239" i="53"/>
  <c r="G244" i="53"/>
  <c r="G261" i="53"/>
  <c r="G260" i="53" s="1"/>
  <c r="E271" i="53"/>
  <c r="E275" i="53"/>
  <c r="G298" i="53"/>
  <c r="F327" i="53"/>
  <c r="G124" i="53"/>
  <c r="G159" i="53"/>
  <c r="G158" i="53" s="1"/>
  <c r="G167" i="53"/>
  <c r="G170" i="53"/>
  <c r="G180" i="53"/>
  <c r="G183" i="53"/>
  <c r="G185" i="53"/>
  <c r="G193" i="53"/>
  <c r="G196" i="53"/>
  <c r="G217" i="53"/>
  <c r="G230" i="53"/>
  <c r="F267" i="53"/>
  <c r="F280" i="53"/>
  <c r="F341" i="53"/>
  <c r="G350" i="53"/>
  <c r="C318" i="53"/>
  <c r="C317" i="53" s="1"/>
  <c r="C316" i="53" s="1"/>
  <c r="G323" i="53"/>
  <c r="F323" i="53"/>
  <c r="G329" i="53"/>
  <c r="G334" i="53"/>
  <c r="G343" i="53"/>
  <c r="F319" i="53"/>
  <c r="F363" i="53"/>
  <c r="C266" i="53"/>
  <c r="C265" i="53" s="1"/>
  <c r="C264" i="53" s="1"/>
  <c r="G269" i="53"/>
  <c r="F271" i="53"/>
  <c r="G277" i="53"/>
  <c r="G275" i="53" s="1"/>
  <c r="G282" i="53"/>
  <c r="G291" i="53"/>
  <c r="F312" i="53"/>
  <c r="C215" i="53"/>
  <c r="C214" i="53" s="1"/>
  <c r="C213" i="53" s="1"/>
  <c r="E216" i="53"/>
  <c r="G218" i="53"/>
  <c r="F220" i="53"/>
  <c r="F219" i="53" s="1"/>
  <c r="E224" i="53"/>
  <c r="E219" i="53" s="1"/>
  <c r="G226" i="53"/>
  <c r="E229" i="53"/>
  <c r="G231" i="53"/>
  <c r="E238" i="53"/>
  <c r="G240" i="53"/>
  <c r="E169" i="53"/>
  <c r="G171" i="53"/>
  <c r="E165" i="53"/>
  <c r="E173" i="53"/>
  <c r="E178" i="53"/>
  <c r="E187" i="53"/>
  <c r="F165" i="53"/>
  <c r="F173" i="53"/>
  <c r="F178" i="53"/>
  <c r="F187" i="53"/>
  <c r="F209" i="53"/>
  <c r="E118" i="53"/>
  <c r="G120" i="53"/>
  <c r="E114" i="53"/>
  <c r="E122" i="53"/>
  <c r="E127" i="53"/>
  <c r="E136" i="53"/>
  <c r="F114" i="53"/>
  <c r="F122" i="53"/>
  <c r="F117" i="53" s="1"/>
  <c r="F127" i="53"/>
  <c r="F136" i="53"/>
  <c r="F158" i="53"/>
  <c r="F130" i="51" l="1"/>
  <c r="G429" i="53"/>
  <c r="G476" i="53"/>
  <c r="G485" i="53"/>
  <c r="G434" i="53"/>
  <c r="G271" i="53"/>
  <c r="G173" i="53"/>
  <c r="G304" i="53"/>
  <c r="E316" i="53"/>
  <c r="E418" i="53"/>
  <c r="G355" i="53"/>
  <c r="G457" i="53"/>
  <c r="G392" i="53"/>
  <c r="G220" i="53"/>
  <c r="G332" i="53"/>
  <c r="G118" i="53"/>
  <c r="G327" i="53"/>
  <c r="G406" i="53"/>
  <c r="E270" i="53"/>
  <c r="E266" i="53" s="1"/>
  <c r="E265" i="53" s="1"/>
  <c r="E264" i="53" s="1"/>
  <c r="F270" i="53"/>
  <c r="G267" i="53"/>
  <c r="G374" i="53"/>
  <c r="G480" i="53"/>
  <c r="G383" i="53"/>
  <c r="G150" i="53"/>
  <c r="F322" i="53"/>
  <c r="G322" i="53" s="1"/>
  <c r="G341" i="53"/>
  <c r="G443" i="53"/>
  <c r="G258" i="53"/>
  <c r="G257" i="53" s="1"/>
  <c r="G252" i="53" s="1"/>
  <c r="F257" i="53"/>
  <c r="G238" i="53"/>
  <c r="G187" i="53"/>
  <c r="G201" i="53"/>
  <c r="G136" i="53"/>
  <c r="G229" i="53"/>
  <c r="G169" i="53"/>
  <c r="G216" i="53"/>
  <c r="G178" i="53"/>
  <c r="G127" i="53"/>
  <c r="F105" i="51"/>
  <c r="G114" i="51"/>
  <c r="G113" i="51" s="1"/>
  <c r="E475" i="53"/>
  <c r="E471" i="53" s="1"/>
  <c r="E470" i="53" s="1"/>
  <c r="E469" i="53" s="1"/>
  <c r="G234" i="51"/>
  <c r="F226" i="51"/>
  <c r="E246" i="51"/>
  <c r="E226" i="51" s="1"/>
  <c r="G246" i="51"/>
  <c r="G226" i="51" s="1"/>
  <c r="F221" i="51"/>
  <c r="F202" i="51" s="1"/>
  <c r="G222" i="51"/>
  <c r="G221" i="51" s="1"/>
  <c r="G202" i="51" s="1"/>
  <c r="G197" i="51"/>
  <c r="G178" i="51" s="1"/>
  <c r="E197" i="51"/>
  <c r="E178" i="51" s="1"/>
  <c r="G174" i="51"/>
  <c r="G173" i="51" s="1"/>
  <c r="G154" i="51" s="1"/>
  <c r="F173" i="51"/>
  <c r="F154" i="51" s="1"/>
  <c r="G150" i="51"/>
  <c r="G149" i="51" s="1"/>
  <c r="G130" i="51" s="1"/>
  <c r="E125" i="51"/>
  <c r="E105" i="51" s="1"/>
  <c r="G126" i="51"/>
  <c r="G125" i="51" s="1"/>
  <c r="G101" i="51"/>
  <c r="G100" i="51" s="1"/>
  <c r="G81" i="51" s="1"/>
  <c r="F100" i="51"/>
  <c r="F81" i="51" s="1"/>
  <c r="F57" i="51"/>
  <c r="E76" i="51"/>
  <c r="E57" i="51" s="1"/>
  <c r="G76" i="51"/>
  <c r="G57" i="51" s="1"/>
  <c r="F76" i="51"/>
  <c r="G475" i="53"/>
  <c r="G471" i="53" s="1"/>
  <c r="F471" i="53"/>
  <c r="F470" i="53" s="1"/>
  <c r="G421" i="53"/>
  <c r="F424" i="53"/>
  <c r="G424" i="53" s="1"/>
  <c r="F369" i="53"/>
  <c r="F368" i="53" s="1"/>
  <c r="G370" i="53"/>
  <c r="E373" i="53"/>
  <c r="G373" i="53" s="1"/>
  <c r="G280" i="53"/>
  <c r="G122" i="53"/>
  <c r="G224" i="53"/>
  <c r="F168" i="53"/>
  <c r="F164" i="53" s="1"/>
  <c r="F163" i="53" s="1"/>
  <c r="F318" i="53"/>
  <c r="F317" i="53" s="1"/>
  <c r="G319" i="53"/>
  <c r="E215" i="53"/>
  <c r="E214" i="53" s="1"/>
  <c r="E213" i="53" s="1"/>
  <c r="F215" i="53"/>
  <c r="F214" i="53" s="1"/>
  <c r="G165" i="53"/>
  <c r="E168" i="53"/>
  <c r="E164" i="53" s="1"/>
  <c r="E163" i="53" s="1"/>
  <c r="E162" i="53" s="1"/>
  <c r="F113" i="53"/>
  <c r="F112" i="53" s="1"/>
  <c r="G114" i="53"/>
  <c r="E117" i="53"/>
  <c r="G117" i="53" s="1"/>
  <c r="G270" i="53" l="1"/>
  <c r="G266" i="53" s="1"/>
  <c r="G219" i="53"/>
  <c r="G318" i="53"/>
  <c r="F266" i="53"/>
  <c r="F265" i="53" s="1"/>
  <c r="E369" i="53"/>
  <c r="E368" i="53" s="1"/>
  <c r="E367" i="53" s="1"/>
  <c r="G215" i="53"/>
  <c r="G105" i="51"/>
  <c r="F469" i="53"/>
  <c r="G470" i="53"/>
  <c r="G469" i="53" s="1"/>
  <c r="G420" i="53"/>
  <c r="F420" i="53"/>
  <c r="F419" i="53" s="1"/>
  <c r="G369" i="53"/>
  <c r="F367" i="53"/>
  <c r="G368" i="53"/>
  <c r="G367" i="53" s="1"/>
  <c r="E113" i="53"/>
  <c r="E112" i="53" s="1"/>
  <c r="E111" i="53" s="1"/>
  <c r="G168" i="53"/>
  <c r="G164" i="53" s="1"/>
  <c r="F316" i="53"/>
  <c r="G317" i="53"/>
  <c r="G316" i="53" s="1"/>
  <c r="F213" i="53"/>
  <c r="G214" i="53"/>
  <c r="G213" i="53" s="1"/>
  <c r="F162" i="53"/>
  <c r="G163" i="53"/>
  <c r="G162" i="53" s="1"/>
  <c r="F111" i="53"/>
  <c r="G113" i="53"/>
  <c r="G112" i="53" l="1"/>
  <c r="G111" i="53" s="1"/>
  <c r="F264" i="53"/>
  <c r="G265" i="53"/>
  <c r="G264" i="53" s="1"/>
  <c r="F418" i="53"/>
  <c r="G419" i="53"/>
  <c r="G418" i="53" s="1"/>
  <c r="F49" i="51" l="1"/>
  <c r="G49" i="51" s="1"/>
  <c r="E49" i="51"/>
  <c r="F48" i="51"/>
  <c r="E48" i="51"/>
  <c r="F47" i="51"/>
  <c r="G47" i="51" s="1"/>
  <c r="E47" i="51"/>
  <c r="C46" i="51"/>
  <c r="F45" i="51"/>
  <c r="E45" i="51"/>
  <c r="F44" i="51"/>
  <c r="E44" i="51"/>
  <c r="F43" i="51"/>
  <c r="E43" i="51"/>
  <c r="G43" i="51" l="1"/>
  <c r="G45" i="51"/>
  <c r="G48" i="51"/>
  <c r="G46" i="51" s="1"/>
  <c r="E46" i="51"/>
  <c r="F46" i="51"/>
  <c r="G44" i="51"/>
  <c r="C53" i="53" l="1"/>
  <c r="C48" i="53" s="1"/>
  <c r="E55" i="53"/>
  <c r="F54" i="53"/>
  <c r="E54" i="53"/>
  <c r="E52" i="53"/>
  <c r="F49" i="53"/>
  <c r="E49" i="53"/>
  <c r="E45" i="53"/>
  <c r="F24" i="51"/>
  <c r="E24" i="51"/>
  <c r="F23" i="51"/>
  <c r="E23" i="51"/>
  <c r="F22" i="51"/>
  <c r="E22" i="51"/>
  <c r="F20" i="51"/>
  <c r="E20" i="51"/>
  <c r="F19" i="51"/>
  <c r="E19" i="51"/>
  <c r="F18" i="51"/>
  <c r="E18" i="51"/>
  <c r="C16" i="51"/>
  <c r="G42" i="51"/>
  <c r="F42" i="51"/>
  <c r="E42" i="51"/>
  <c r="C42" i="51"/>
  <c r="G49" i="53" l="1"/>
  <c r="E17" i="51"/>
  <c r="E53" i="53"/>
  <c r="E21" i="51"/>
  <c r="F21" i="51"/>
  <c r="G24" i="51"/>
  <c r="G54" i="53"/>
  <c r="G18" i="51"/>
  <c r="G20" i="51"/>
  <c r="G23" i="51"/>
  <c r="G19" i="51"/>
  <c r="G22" i="51"/>
  <c r="F17" i="51"/>
  <c r="E16" i="51" l="1"/>
  <c r="G17" i="51"/>
  <c r="G21" i="51"/>
  <c r="F16" i="51"/>
  <c r="G16" i="51" l="1"/>
  <c r="F23" i="53"/>
  <c r="F22" i="53"/>
  <c r="F21" i="53"/>
  <c r="F19" i="53"/>
  <c r="F18" i="53"/>
  <c r="F17" i="53"/>
  <c r="E23" i="53"/>
  <c r="E22" i="53"/>
  <c r="E21" i="53"/>
  <c r="E19" i="53"/>
  <c r="E18" i="53"/>
  <c r="E17" i="53"/>
  <c r="F74" i="53"/>
  <c r="F73" i="53"/>
  <c r="F72" i="53"/>
  <c r="F70" i="53"/>
  <c r="F69" i="53"/>
  <c r="F68" i="53"/>
  <c r="E74" i="53"/>
  <c r="E73" i="53"/>
  <c r="E72" i="53"/>
  <c r="E70" i="53"/>
  <c r="E69" i="53"/>
  <c r="E68" i="53"/>
  <c r="G72" i="53" l="1"/>
  <c r="G70" i="53"/>
  <c r="G21" i="53"/>
  <c r="G17" i="53"/>
  <c r="G19" i="53"/>
  <c r="G23" i="53"/>
  <c r="G18" i="53"/>
  <c r="G22" i="53"/>
  <c r="G68" i="53"/>
  <c r="G73" i="53"/>
  <c r="G69" i="53"/>
  <c r="G74" i="53"/>
  <c r="G71" i="53" l="1"/>
  <c r="G67" i="53"/>
  <c r="G20" i="53"/>
  <c r="F20" i="53"/>
  <c r="E20" i="53"/>
  <c r="C20" i="53"/>
  <c r="G16" i="53"/>
  <c r="F16" i="53"/>
  <c r="E16" i="53"/>
  <c r="C16" i="53"/>
  <c r="F71" i="53"/>
  <c r="E71" i="53"/>
  <c r="C71" i="53"/>
  <c r="F67" i="53"/>
  <c r="E67" i="53"/>
  <c r="C67" i="53"/>
  <c r="F15" i="53" l="1"/>
  <c r="E15" i="53"/>
  <c r="G15" i="53"/>
  <c r="Q8" i="55"/>
  <c r="P8" i="55"/>
  <c r="O8" i="55"/>
  <c r="N8" i="55"/>
  <c r="M8" i="55"/>
  <c r="L8" i="55"/>
  <c r="K8" i="55"/>
  <c r="J8" i="55"/>
  <c r="I8" i="55"/>
  <c r="H8" i="55"/>
  <c r="G8" i="55"/>
  <c r="F8" i="55"/>
  <c r="E8" i="55"/>
  <c r="D8" i="55"/>
  <c r="C8" i="55"/>
  <c r="W35" i="55"/>
  <c r="V35" i="55"/>
  <c r="U35" i="55"/>
  <c r="T35" i="55"/>
  <c r="S35" i="55"/>
  <c r="R35" i="55"/>
  <c r="Q35" i="55"/>
  <c r="P35" i="55"/>
  <c r="O35" i="55"/>
  <c r="N35" i="55"/>
  <c r="M35" i="55"/>
  <c r="L35" i="55"/>
  <c r="K35" i="55"/>
  <c r="J35" i="55"/>
  <c r="I35" i="55"/>
  <c r="H35" i="55"/>
  <c r="G35" i="55"/>
  <c r="F35" i="55"/>
  <c r="E35" i="55"/>
  <c r="D35" i="55"/>
  <c r="C35" i="55"/>
  <c r="R46" i="55"/>
  <c r="P46" i="55"/>
  <c r="R45" i="55"/>
  <c r="P45" i="55"/>
  <c r="R44" i="55"/>
  <c r="P44" i="55"/>
  <c r="R43" i="55"/>
  <c r="P43" i="55"/>
  <c r="R42" i="55"/>
  <c r="P42" i="55"/>
  <c r="R41" i="55"/>
  <c r="P41" i="55"/>
  <c r="R40" i="55"/>
  <c r="P40" i="55"/>
  <c r="R39" i="55"/>
  <c r="P39" i="55"/>
  <c r="R38" i="55"/>
  <c r="P38" i="55"/>
  <c r="R37" i="55"/>
  <c r="P37" i="55"/>
  <c r="R36" i="55"/>
  <c r="P36" i="55"/>
  <c r="F108" i="53"/>
  <c r="E108" i="53"/>
  <c r="E107" i="53" s="1"/>
  <c r="D107" i="53"/>
  <c r="C107" i="53"/>
  <c r="F106" i="53"/>
  <c r="E106" i="53"/>
  <c r="E105" i="53"/>
  <c r="F105" i="53" s="1"/>
  <c r="G105" i="53" s="1"/>
  <c r="F103" i="53"/>
  <c r="E103" i="53"/>
  <c r="E102" i="53"/>
  <c r="F102" i="53" s="1"/>
  <c r="G102" i="53" s="1"/>
  <c r="E100" i="53"/>
  <c r="F100" i="53" s="1"/>
  <c r="G100" i="53" s="1"/>
  <c r="F98" i="53"/>
  <c r="G98" i="53" s="1"/>
  <c r="F97" i="53"/>
  <c r="G97" i="53" s="1"/>
  <c r="G96" i="53"/>
  <c r="D96" i="53"/>
  <c r="C96" i="53"/>
  <c r="F95" i="53"/>
  <c r="E95" i="53"/>
  <c r="F94" i="53"/>
  <c r="E94" i="53"/>
  <c r="F93" i="53"/>
  <c r="E93" i="53"/>
  <c r="F92" i="53"/>
  <c r="E92" i="53"/>
  <c r="F91" i="53"/>
  <c r="E91" i="53"/>
  <c r="F90" i="53"/>
  <c r="E90" i="53"/>
  <c r="F89" i="53"/>
  <c r="E89" i="53"/>
  <c r="F88" i="53"/>
  <c r="E88" i="53"/>
  <c r="F87" i="53"/>
  <c r="E87" i="53"/>
  <c r="F86" i="53"/>
  <c r="E86" i="53"/>
  <c r="C85" i="53"/>
  <c r="F84" i="53"/>
  <c r="E84" i="53"/>
  <c r="F83" i="53"/>
  <c r="E83" i="53"/>
  <c r="F82" i="53"/>
  <c r="E82" i="53"/>
  <c r="F81" i="53"/>
  <c r="E81" i="53"/>
  <c r="F80" i="53"/>
  <c r="E80" i="53"/>
  <c r="F79" i="53"/>
  <c r="E79" i="53"/>
  <c r="F78" i="53"/>
  <c r="E78" i="53"/>
  <c r="F77" i="53"/>
  <c r="E77" i="53"/>
  <c r="C76" i="53"/>
  <c r="F75" i="53"/>
  <c r="E75" i="53"/>
  <c r="D66" i="53"/>
  <c r="F65" i="53"/>
  <c r="E65" i="53"/>
  <c r="F64" i="53"/>
  <c r="E64" i="53"/>
  <c r="C63" i="53"/>
  <c r="D56" i="51"/>
  <c r="F56" i="51" s="1"/>
  <c r="D55" i="51"/>
  <c r="F55" i="51" s="1"/>
  <c r="D54" i="51"/>
  <c r="F54" i="51" s="1"/>
  <c r="D53" i="51"/>
  <c r="F53" i="51" s="1"/>
  <c r="C52" i="51"/>
  <c r="F51" i="51"/>
  <c r="E51" i="51"/>
  <c r="E50" i="51" s="1"/>
  <c r="D50" i="51"/>
  <c r="C41" i="51"/>
  <c r="D41" i="51"/>
  <c r="F40" i="51"/>
  <c r="E40" i="51"/>
  <c r="F39" i="51"/>
  <c r="E39" i="51"/>
  <c r="F38" i="51"/>
  <c r="E38" i="51"/>
  <c r="F37" i="51"/>
  <c r="F36" i="51" s="1"/>
  <c r="E37" i="51"/>
  <c r="C36" i="51"/>
  <c r="C34" i="51" s="1"/>
  <c r="F35" i="51"/>
  <c r="E35" i="51"/>
  <c r="G86" i="53" l="1"/>
  <c r="G91" i="53"/>
  <c r="G35" i="51"/>
  <c r="F34" i="51"/>
  <c r="G80" i="53"/>
  <c r="G77" i="53"/>
  <c r="G38" i="51"/>
  <c r="G40" i="51"/>
  <c r="E36" i="51"/>
  <c r="E34" i="51" s="1"/>
  <c r="G39" i="51"/>
  <c r="G51" i="51"/>
  <c r="G50" i="51" s="1"/>
  <c r="G37" i="51"/>
  <c r="C33" i="51"/>
  <c r="D52" i="51"/>
  <c r="G75" i="53"/>
  <c r="G81" i="53"/>
  <c r="G87" i="53"/>
  <c r="G79" i="53"/>
  <c r="E63" i="53"/>
  <c r="G82" i="53"/>
  <c r="G88" i="53"/>
  <c r="G93" i="53"/>
  <c r="G95" i="53"/>
  <c r="G106" i="53"/>
  <c r="G104" i="53" s="1"/>
  <c r="G65" i="53"/>
  <c r="G92" i="53"/>
  <c r="E41" i="51"/>
  <c r="G41" i="51"/>
  <c r="F76" i="53"/>
  <c r="G78" i="53"/>
  <c r="G83" i="53"/>
  <c r="G90" i="53"/>
  <c r="E66" i="53"/>
  <c r="E85" i="53"/>
  <c r="G94" i="53"/>
  <c r="G64" i="53"/>
  <c r="C66" i="53"/>
  <c r="C62" i="53" s="1"/>
  <c r="C61" i="53" s="1"/>
  <c r="C60" i="53" s="1"/>
  <c r="G84" i="53"/>
  <c r="G89" i="53"/>
  <c r="G103" i="53"/>
  <c r="G101" i="53" s="1"/>
  <c r="G108" i="53"/>
  <c r="G107" i="53" s="1"/>
  <c r="F66" i="53"/>
  <c r="F63" i="53"/>
  <c r="F62" i="53" s="1"/>
  <c r="F85" i="53"/>
  <c r="F107" i="53"/>
  <c r="E76" i="53"/>
  <c r="F52" i="51"/>
  <c r="F41" i="51"/>
  <c r="E53" i="51"/>
  <c r="E54" i="51"/>
  <c r="G54" i="51" s="1"/>
  <c r="E55" i="51"/>
  <c r="G55" i="51" s="1"/>
  <c r="E56" i="51"/>
  <c r="G56" i="51" s="1"/>
  <c r="F50" i="51"/>
  <c r="G36" i="51" l="1"/>
  <c r="G34" i="51"/>
  <c r="E62" i="53"/>
  <c r="E61" i="53" s="1"/>
  <c r="E60" i="53" s="1"/>
  <c r="F33" i="51"/>
  <c r="G66" i="53"/>
  <c r="G85" i="53"/>
  <c r="G76" i="53"/>
  <c r="G99" i="53"/>
  <c r="F61" i="53"/>
  <c r="G63" i="53"/>
  <c r="E52" i="51"/>
  <c r="E33" i="51" s="1"/>
  <c r="G53" i="51"/>
  <c r="G52" i="51" s="1"/>
  <c r="G33" i="51" s="1"/>
  <c r="G62" i="53" l="1"/>
  <c r="G61" i="53"/>
  <c r="G60" i="53" s="1"/>
  <c r="F60" i="53"/>
  <c r="W8" i="55" l="1"/>
  <c r="V8" i="55"/>
  <c r="U8" i="55"/>
  <c r="T8" i="55"/>
  <c r="S8" i="55"/>
  <c r="F57" i="53" l="1"/>
  <c r="F56" i="53" s="1"/>
  <c r="F55" i="53"/>
  <c r="G55" i="53" s="1"/>
  <c r="F52" i="53"/>
  <c r="G52" i="53" s="1"/>
  <c r="F47" i="53"/>
  <c r="G47" i="53" s="1"/>
  <c r="F46" i="53"/>
  <c r="G46" i="53" s="1"/>
  <c r="F44" i="53"/>
  <c r="F43" i="53"/>
  <c r="F42" i="53"/>
  <c r="F41" i="53"/>
  <c r="F40" i="53"/>
  <c r="F39" i="53"/>
  <c r="F38" i="53"/>
  <c r="F37" i="53"/>
  <c r="F36" i="53"/>
  <c r="F35" i="53"/>
  <c r="F33" i="53"/>
  <c r="F32" i="53"/>
  <c r="F31" i="53"/>
  <c r="F30" i="53"/>
  <c r="F29" i="53"/>
  <c r="F28" i="53"/>
  <c r="F27" i="53"/>
  <c r="F26" i="53"/>
  <c r="F24" i="53"/>
  <c r="F14" i="53"/>
  <c r="F13" i="53"/>
  <c r="E57" i="53"/>
  <c r="E56" i="53" s="1"/>
  <c r="E51" i="53"/>
  <c r="E50" i="53" s="1"/>
  <c r="E48" i="53" s="1"/>
  <c r="E44" i="53"/>
  <c r="E43" i="53"/>
  <c r="E42" i="53"/>
  <c r="E41" i="53"/>
  <c r="E40" i="53"/>
  <c r="E39" i="53"/>
  <c r="E38" i="53"/>
  <c r="E37" i="53"/>
  <c r="E36" i="53"/>
  <c r="E35" i="53"/>
  <c r="E33" i="53"/>
  <c r="E32" i="53"/>
  <c r="E31" i="53"/>
  <c r="E30" i="53"/>
  <c r="E29" i="53"/>
  <c r="E28" i="53"/>
  <c r="E27" i="53"/>
  <c r="E26" i="53"/>
  <c r="E24" i="53"/>
  <c r="E14" i="53"/>
  <c r="E13" i="53"/>
  <c r="G57" i="53" l="1"/>
  <c r="G56" i="53" s="1"/>
  <c r="G24" i="53"/>
  <c r="G31" i="53"/>
  <c r="G26" i="53"/>
  <c r="G40" i="53"/>
  <c r="G37" i="53"/>
  <c r="G41" i="53"/>
  <c r="G44" i="53"/>
  <c r="G38" i="53"/>
  <c r="G42" i="53"/>
  <c r="G36" i="53"/>
  <c r="G35" i="53"/>
  <c r="G39" i="53"/>
  <c r="G43" i="53"/>
  <c r="G28" i="53"/>
  <c r="G32" i="53"/>
  <c r="G29" i="53"/>
  <c r="G33" i="53"/>
  <c r="G30" i="53"/>
  <c r="G27" i="53"/>
  <c r="E12" i="53"/>
  <c r="E11" i="53" s="1"/>
  <c r="E10" i="53" s="1"/>
  <c r="G14" i="53"/>
  <c r="G13" i="53"/>
  <c r="F12" i="53"/>
  <c r="E25" i="53"/>
  <c r="F25" i="53"/>
  <c r="F34" i="53"/>
  <c r="G45" i="53"/>
  <c r="F45" i="53"/>
  <c r="E34" i="53"/>
  <c r="G53" i="53"/>
  <c r="F11" i="53"/>
  <c r="F10" i="53" s="1"/>
  <c r="F53" i="53"/>
  <c r="C45" i="53"/>
  <c r="D45" i="53"/>
  <c r="F26" i="51"/>
  <c r="E26" i="51"/>
  <c r="E25" i="51" s="1"/>
  <c r="F15" i="51"/>
  <c r="F14" i="51"/>
  <c r="F13" i="51"/>
  <c r="F12" i="51"/>
  <c r="E15" i="51"/>
  <c r="E14" i="51"/>
  <c r="E13" i="51"/>
  <c r="E12" i="51"/>
  <c r="F10" i="51"/>
  <c r="E10" i="51"/>
  <c r="D25" i="51"/>
  <c r="C27" i="51"/>
  <c r="C25" i="51"/>
  <c r="G12" i="53" l="1"/>
  <c r="G11" i="53" s="1"/>
  <c r="G10" i="53" s="1"/>
  <c r="G10" i="51"/>
  <c r="E11" i="51"/>
  <c r="E9" i="51" s="1"/>
  <c r="F50" i="53"/>
  <c r="F48" i="53" s="1"/>
  <c r="G51" i="53"/>
  <c r="G50" i="53" s="1"/>
  <c r="G48" i="53" s="1"/>
  <c r="G15" i="51"/>
  <c r="G12" i="51"/>
  <c r="G13" i="51"/>
  <c r="G26" i="51"/>
  <c r="G25" i="51" s="1"/>
  <c r="G14" i="51"/>
  <c r="G25" i="53"/>
  <c r="G34" i="53"/>
  <c r="F25" i="51"/>
  <c r="F11" i="51"/>
  <c r="F9" i="51" s="1"/>
  <c r="G11" i="51" l="1"/>
  <c r="G9" i="51" s="1"/>
  <c r="M7" i="55" l="1"/>
  <c r="I7" i="55"/>
  <c r="C7" i="55"/>
  <c r="G7" i="55" s="1"/>
  <c r="I6" i="55"/>
  <c r="J6" i="55" s="1"/>
  <c r="K6" i="55" s="1"/>
  <c r="L6" i="55" s="1"/>
  <c r="M6" i="55" s="1"/>
  <c r="N6" i="55" s="1"/>
  <c r="O6" i="55" s="1"/>
  <c r="P6" i="55" s="1"/>
  <c r="Q6" i="55" s="1"/>
  <c r="H6" i="55"/>
  <c r="B6" i="55"/>
  <c r="C6" i="55" s="1"/>
  <c r="D6" i="55" s="1"/>
  <c r="E6" i="55" s="1"/>
  <c r="F6" i="55" s="1"/>
  <c r="H7" i="55" l="1"/>
  <c r="Q7" i="55" s="1"/>
  <c r="P7" i="55"/>
  <c r="C25" i="53" l="1"/>
  <c r="C34" i="53"/>
  <c r="C15" i="53"/>
  <c r="C11" i="53"/>
  <c r="C10" i="53" s="1"/>
  <c r="D31" i="51"/>
  <c r="D30" i="51"/>
  <c r="D29" i="51"/>
  <c r="D28" i="51"/>
  <c r="C9" i="51"/>
  <c r="C8" i="51" s="1"/>
  <c r="E28" i="51" l="1"/>
  <c r="D27" i="51"/>
  <c r="F28" i="51"/>
  <c r="F29" i="51"/>
  <c r="E29" i="51"/>
  <c r="E30" i="51"/>
  <c r="F30" i="51"/>
  <c r="F31" i="51"/>
  <c r="E31" i="51"/>
  <c r="C9" i="53"/>
  <c r="D11" i="53"/>
  <c r="G31" i="51" l="1"/>
  <c r="G30" i="51"/>
  <c r="F27" i="51"/>
  <c r="F8" i="51" s="1"/>
  <c r="G29" i="51"/>
  <c r="G28" i="51"/>
  <c r="E27" i="51"/>
  <c r="E8" i="51" s="1"/>
  <c r="E9" i="53"/>
  <c r="G27" i="51" l="1"/>
  <c r="G8" i="51" s="1"/>
  <c r="G9" i="53"/>
  <c r="F9" i="53"/>
  <c r="C5" i="41" l="1"/>
  <c r="N53" i="42" l="1"/>
  <c r="N54" i="42" s="1"/>
  <c r="M53" i="42"/>
  <c r="M54" i="42" s="1"/>
  <c r="L53" i="42"/>
  <c r="L54" i="42" s="1"/>
  <c r="K53" i="42"/>
  <c r="K54" i="42" s="1"/>
  <c r="J53" i="42"/>
  <c r="J54" i="42" s="1"/>
  <c r="I53" i="42"/>
  <c r="I54" i="42" s="1"/>
  <c r="H53" i="42"/>
  <c r="H54" i="42" s="1"/>
  <c r="G53" i="42"/>
  <c r="G54" i="42" s="1"/>
  <c r="F53" i="42"/>
  <c r="F54" i="42" s="1"/>
  <c r="D53" i="42"/>
  <c r="D54" i="42" s="1"/>
  <c r="D52" i="42"/>
  <c r="N35" i="42"/>
  <c r="N34" i="42" s="1"/>
  <c r="M35" i="42"/>
  <c r="L35" i="42"/>
  <c r="K35" i="42"/>
  <c r="K34" i="42" s="1"/>
  <c r="J35" i="42"/>
  <c r="J34" i="42" s="1"/>
  <c r="I35" i="42"/>
  <c r="H35" i="42"/>
  <c r="G35" i="42"/>
  <c r="G34" i="42" s="1"/>
  <c r="F35" i="42"/>
  <c r="F34" i="42" s="1"/>
  <c r="D35" i="42"/>
  <c r="M34" i="42"/>
  <c r="L34" i="42"/>
  <c r="I34" i="42"/>
  <c r="H34" i="42"/>
  <c r="D34" i="42"/>
  <c r="E31" i="42"/>
  <c r="E30" i="42"/>
  <c r="C30" i="42" s="1"/>
  <c r="E29" i="42"/>
  <c r="C29" i="42" s="1"/>
  <c r="E28" i="42"/>
  <c r="C28" i="42" s="1"/>
  <c r="E27" i="42"/>
  <c r="E23" i="42"/>
  <c r="C23" i="42"/>
  <c r="E22" i="42"/>
  <c r="C22" i="42" s="1"/>
  <c r="E21" i="42"/>
  <c r="C21" i="42"/>
  <c r="E20" i="42"/>
  <c r="C20" i="42" s="1"/>
  <c r="E19" i="42"/>
  <c r="C19" i="42" s="1"/>
  <c r="E18" i="42"/>
  <c r="C18" i="42" s="1"/>
  <c r="E17" i="42"/>
  <c r="C17" i="42" s="1"/>
  <c r="E16" i="42"/>
  <c r="C16" i="42" s="1"/>
  <c r="N15" i="42"/>
  <c r="N25" i="42" s="1"/>
  <c r="M15" i="42"/>
  <c r="M25" i="42" s="1"/>
  <c r="L15" i="42"/>
  <c r="L25" i="42" s="1"/>
  <c r="K15" i="42"/>
  <c r="K25" i="42" s="1"/>
  <c r="J15" i="42"/>
  <c r="J25" i="42" s="1"/>
  <c r="I15" i="42"/>
  <c r="I25" i="42" s="1"/>
  <c r="H15" i="42"/>
  <c r="H25" i="42" s="1"/>
  <c r="G15" i="42"/>
  <c r="G25" i="42" s="1"/>
  <c r="F15" i="42"/>
  <c r="F25" i="42" s="1"/>
  <c r="D15" i="42"/>
  <c r="D25" i="42" s="1"/>
  <c r="E14" i="42"/>
  <c r="E13" i="42"/>
  <c r="C13" i="42" s="1"/>
  <c r="E12" i="42"/>
  <c r="C12" i="42" s="1"/>
  <c r="E11" i="42"/>
  <c r="C11" i="42" s="1"/>
  <c r="E10" i="42"/>
  <c r="C10" i="42" s="1"/>
  <c r="E9" i="42"/>
  <c r="C9" i="42" s="1"/>
  <c r="E7" i="42"/>
  <c r="C7" i="42" s="1"/>
  <c r="E15" i="42" l="1"/>
  <c r="E25" i="42"/>
  <c r="E53" i="42"/>
  <c r="E54" i="42" s="1"/>
  <c r="E35" i="42"/>
  <c r="E34" i="42" s="1"/>
  <c r="F33" i="42"/>
  <c r="F38" i="42" s="1"/>
  <c r="F32" i="42"/>
  <c r="J33" i="42"/>
  <c r="J38" i="42" s="1"/>
  <c r="J32" i="42"/>
  <c r="N33" i="42"/>
  <c r="N38" i="42" s="1"/>
  <c r="N32" i="42"/>
  <c r="E33" i="42"/>
  <c r="E32" i="42"/>
  <c r="G33" i="42"/>
  <c r="G38" i="42" s="1"/>
  <c r="G32" i="42"/>
  <c r="K33" i="42"/>
  <c r="K38" i="42" s="1"/>
  <c r="K32" i="42"/>
  <c r="D33" i="42"/>
  <c r="D38" i="42" s="1"/>
  <c r="D32" i="42"/>
  <c r="H33" i="42"/>
  <c r="H38" i="42" s="1"/>
  <c r="H32" i="42"/>
  <c r="L33" i="42"/>
  <c r="L38" i="42" s="1"/>
  <c r="L32" i="42"/>
  <c r="I33" i="42"/>
  <c r="I38" i="42" s="1"/>
  <c r="I32" i="42"/>
  <c r="M33" i="42"/>
  <c r="M38" i="42" s="1"/>
  <c r="M32" i="42"/>
  <c r="C15" i="42"/>
  <c r="C27" i="42"/>
  <c r="C31" i="42"/>
  <c r="C35" i="42" s="1"/>
  <c r="C34" i="42" s="1"/>
  <c r="C14" i="42"/>
  <c r="E38" i="42" l="1"/>
  <c r="C38" i="42"/>
  <c r="I55" i="42"/>
  <c r="H55" i="42"/>
  <c r="K55" i="42"/>
  <c r="E55" i="42"/>
  <c r="J55" i="42"/>
  <c r="C25" i="42"/>
  <c r="M55" i="42"/>
  <c r="L55" i="42"/>
  <c r="D55" i="42"/>
  <c r="G55" i="42"/>
  <c r="N55" i="42"/>
  <c r="F55" i="42"/>
  <c r="C33" i="42" l="1"/>
  <c r="C32" i="42"/>
  <c r="J2" i="41" l="1"/>
  <c r="AH281" i="40" l="1"/>
  <c r="AH280" i="40"/>
  <c r="AH279" i="40"/>
  <c r="AH278" i="40"/>
  <c r="AH277" i="40"/>
  <c r="AH276" i="40"/>
  <c r="AH275" i="40"/>
  <c r="AH274" i="40"/>
  <c r="AH273" i="40"/>
  <c r="AH272" i="40"/>
  <c r="AH271" i="40"/>
  <c r="AH270" i="40"/>
  <c r="AC270" i="40"/>
  <c r="AE270" i="40" s="1"/>
  <c r="AH269" i="40"/>
  <c r="AI269" i="40" s="1"/>
  <c r="AG269" i="40" s="1"/>
  <c r="AJ269" i="40" s="1"/>
  <c r="AC269" i="40"/>
  <c r="AE269" i="40" s="1"/>
  <c r="AH268" i="40"/>
  <c r="AC268" i="40"/>
  <c r="AE268" i="40" s="1"/>
  <c r="AH267" i="40"/>
  <c r="AI267" i="40" s="1"/>
  <c r="AC267" i="40"/>
  <c r="AE267" i="40" s="1"/>
  <c r="AH266" i="40"/>
  <c r="AD266" i="40"/>
  <c r="AB266" i="40"/>
  <c r="AA266" i="40"/>
  <c r="Z266" i="40"/>
  <c r="Y266" i="40"/>
  <c r="X266" i="40"/>
  <c r="AH265" i="40"/>
  <c r="AC265" i="40"/>
  <c r="AE265" i="40" s="1"/>
  <c r="AH264" i="40"/>
  <c r="AI264" i="40" s="1"/>
  <c r="AG264" i="40" s="1"/>
  <c r="AJ264" i="40" s="1"/>
  <c r="AC264" i="40"/>
  <c r="AE264" i="40" s="1"/>
  <c r="AH263" i="40"/>
  <c r="AC263" i="40"/>
  <c r="AE263" i="40" s="1"/>
  <c r="AH262" i="40"/>
  <c r="AI262" i="40" s="1"/>
  <c r="AG262" i="40" s="1"/>
  <c r="AJ262" i="40" s="1"/>
  <c r="AC262" i="40"/>
  <c r="AE262" i="40" s="1"/>
  <c r="AH261" i="40"/>
  <c r="AC261" i="40"/>
  <c r="AE261" i="40" s="1"/>
  <c r="AH260" i="40"/>
  <c r="AI260" i="40" s="1"/>
  <c r="AG260" i="40" s="1"/>
  <c r="AJ260" i="40" s="1"/>
  <c r="AH259" i="40"/>
  <c r="AI259" i="40" s="1"/>
  <c r="AG259" i="40" s="1"/>
  <c r="AJ259" i="40" s="1"/>
  <c r="AE259" i="40"/>
  <c r="AH258" i="40"/>
  <c r="AI258" i="40" s="1"/>
  <c r="AE258" i="40"/>
  <c r="AH257" i="40"/>
  <c r="AE257" i="40"/>
  <c r="AH256" i="40"/>
  <c r="AI256" i="40" s="1"/>
  <c r="AG256" i="40" s="1"/>
  <c r="AJ256" i="40" s="1"/>
  <c r="AE256" i="40"/>
  <c r="AH255" i="40"/>
  <c r="AI255" i="40" s="1"/>
  <c r="AG255" i="40" s="1"/>
  <c r="AJ255" i="40" s="1"/>
  <c r="AE255" i="40"/>
  <c r="AH254" i="40"/>
  <c r="AI254" i="40" s="1"/>
  <c r="AE254" i="40"/>
  <c r="AH253" i="40"/>
  <c r="AE253" i="40"/>
  <c r="AH252" i="40"/>
  <c r="AI252" i="40" s="1"/>
  <c r="AG252" i="40" s="1"/>
  <c r="AJ252" i="40" s="1"/>
  <c r="AE252" i="40"/>
  <c r="AH251" i="40"/>
  <c r="AI251" i="40" s="1"/>
  <c r="AG251" i="40" s="1"/>
  <c r="AJ251" i="40" s="1"/>
  <c r="AE251" i="40"/>
  <c r="AH250" i="40"/>
  <c r="AI250" i="40" s="1"/>
  <c r="AE250" i="40"/>
  <c r="AH249" i="40"/>
  <c r="AE249" i="40"/>
  <c r="AH248" i="40"/>
  <c r="AI248" i="40" s="1"/>
  <c r="AG248" i="40" s="1"/>
  <c r="AJ248" i="40" s="1"/>
  <c r="AE248" i="40"/>
  <c r="AH247" i="40"/>
  <c r="AI247" i="40" s="1"/>
  <c r="AG247" i="40" s="1"/>
  <c r="AJ247" i="40" s="1"/>
  <c r="AH246" i="40"/>
  <c r="AI246" i="40" s="1"/>
  <c r="AG246" i="40" s="1"/>
  <c r="AJ246" i="40" s="1"/>
  <c r="AH245" i="40"/>
  <c r="AI245" i="40" s="1"/>
  <c r="AG245" i="40" s="1"/>
  <c r="AJ245" i="40" s="1"/>
  <c r="AH244" i="40"/>
  <c r="AG244" i="40"/>
  <c r="AJ244" i="40" s="1"/>
  <c r="AH243" i="40"/>
  <c r="AG243" i="40" s="1"/>
  <c r="AJ243" i="40" s="1"/>
  <c r="AH242" i="40"/>
  <c r="AG242" i="40" s="1"/>
  <c r="AJ242" i="40" s="1"/>
  <c r="AH241" i="40"/>
  <c r="AG241" i="40"/>
  <c r="AJ241" i="40" s="1"/>
  <c r="AH240" i="40"/>
  <c r="AG240" i="40"/>
  <c r="AJ240" i="40" s="1"/>
  <c r="AH239" i="40"/>
  <c r="AG239" i="40" s="1"/>
  <c r="AJ239" i="40" s="1"/>
  <c r="AH238" i="40"/>
  <c r="AG238" i="40" s="1"/>
  <c r="AJ238" i="40" s="1"/>
  <c r="AH237" i="40"/>
  <c r="AG237" i="40"/>
  <c r="AJ237" i="40" s="1"/>
  <c r="AH236" i="40"/>
  <c r="AI236" i="40" s="1"/>
  <c r="AG236" i="40" s="1"/>
  <c r="AJ236" i="40" s="1"/>
  <c r="AH235" i="40"/>
  <c r="AI235" i="40" s="1"/>
  <c r="AG235" i="40" s="1"/>
  <c r="AJ235" i="40" s="1"/>
  <c r="AH234" i="40"/>
  <c r="AI234" i="40" s="1"/>
  <c r="AG234" i="40" s="1"/>
  <c r="AJ234" i="40" s="1"/>
  <c r="AH233" i="40"/>
  <c r="AI233" i="40" s="1"/>
  <c r="AG233" i="40" s="1"/>
  <c r="AJ233" i="40" s="1"/>
  <c r="AH232" i="40"/>
  <c r="AI232" i="40" s="1"/>
  <c r="AG232" i="40" s="1"/>
  <c r="AJ232" i="40" s="1"/>
  <c r="AH231" i="40"/>
  <c r="AI231" i="40" s="1"/>
  <c r="AG231" i="40" s="1"/>
  <c r="AJ231" i="40" s="1"/>
  <c r="AH230" i="40"/>
  <c r="AI230" i="40" s="1"/>
  <c r="AG230" i="40" s="1"/>
  <c r="AJ230" i="40" s="1"/>
  <c r="AH229" i="40"/>
  <c r="AI229" i="40" s="1"/>
  <c r="AG229" i="40" s="1"/>
  <c r="AJ229" i="40" s="1"/>
  <c r="AH228" i="40"/>
  <c r="AI228" i="40" s="1"/>
  <c r="AG228" i="40" s="1"/>
  <c r="AJ228" i="40" s="1"/>
  <c r="AH227" i="40"/>
  <c r="AI227" i="40" s="1"/>
  <c r="AG227" i="40" s="1"/>
  <c r="AJ227" i="40" s="1"/>
  <c r="AH226" i="40"/>
  <c r="AI226" i="40" s="1"/>
  <c r="AG226" i="40" s="1"/>
  <c r="AJ226" i="40" s="1"/>
  <c r="AH225" i="40"/>
  <c r="AI225" i="40" s="1"/>
  <c r="AG225" i="40" s="1"/>
  <c r="AJ225" i="40" s="1"/>
  <c r="AH224" i="40"/>
  <c r="AI224" i="40" s="1"/>
  <c r="AG224" i="40" s="1"/>
  <c r="AJ224" i="40" s="1"/>
  <c r="AH223" i="40"/>
  <c r="AI223" i="40" s="1"/>
  <c r="AG223" i="40" s="1"/>
  <c r="AJ223" i="40" s="1"/>
  <c r="AH222" i="40"/>
  <c r="AI222" i="40" s="1"/>
  <c r="AG222" i="40" s="1"/>
  <c r="AJ222" i="40" s="1"/>
  <c r="AH221" i="40"/>
  <c r="AI221" i="40" s="1"/>
  <c r="AG221" i="40" s="1"/>
  <c r="AJ221" i="40" s="1"/>
  <c r="AC221" i="40"/>
  <c r="AH220" i="40"/>
  <c r="AI220" i="40" s="1"/>
  <c r="AH219" i="40"/>
  <c r="AI219" i="40" s="1"/>
  <c r="AH218" i="40"/>
  <c r="AI218" i="40" s="1"/>
  <c r="AH217" i="40"/>
  <c r="AI217" i="40" s="1"/>
  <c r="AE217" i="40"/>
  <c r="AH216" i="40"/>
  <c r="AC216" i="40"/>
  <c r="AE216" i="40" s="1"/>
  <c r="AH215" i="40"/>
  <c r="AI215" i="40" s="1"/>
  <c r="AG215" i="40" s="1"/>
  <c r="AJ215" i="40" s="1"/>
  <c r="AC215" i="40"/>
  <c r="AE215" i="40" s="1"/>
  <c r="AH214" i="40"/>
  <c r="AC214" i="40"/>
  <c r="AE214" i="40" s="1"/>
  <c r="AH213" i="40"/>
  <c r="AI213" i="40" s="1"/>
  <c r="AG213" i="40" s="1"/>
  <c r="AJ213" i="40" s="1"/>
  <c r="AH212" i="40"/>
  <c r="AI212" i="40" s="1"/>
  <c r="AG212" i="40" s="1"/>
  <c r="AJ212" i="40" s="1"/>
  <c r="AC212" i="40"/>
  <c r="AE212" i="40" s="1"/>
  <c r="AH211" i="40"/>
  <c r="AC211" i="40"/>
  <c r="AE211" i="40" s="1"/>
  <c r="AH210" i="40"/>
  <c r="AI210" i="40" s="1"/>
  <c r="AG210" i="40" s="1"/>
  <c r="AJ210" i="40" s="1"/>
  <c r="AE210" i="40"/>
  <c r="AH209" i="40"/>
  <c r="AI209" i="40" s="1"/>
  <c r="AC209" i="40"/>
  <c r="AH208" i="40"/>
  <c r="AC208" i="40"/>
  <c r="AE208" i="40" s="1"/>
  <c r="AH207" i="40"/>
  <c r="AI207" i="40" s="1"/>
  <c r="AG207" i="40" s="1"/>
  <c r="AJ207" i="40" s="1"/>
  <c r="AH206" i="40"/>
  <c r="AI206" i="40" s="1"/>
  <c r="AG206" i="40" s="1"/>
  <c r="AJ206" i="40" s="1"/>
  <c r="AH205" i="40"/>
  <c r="AI205" i="40" s="1"/>
  <c r="AG205" i="40" s="1"/>
  <c r="AJ205" i="40" s="1"/>
  <c r="AH204" i="40"/>
  <c r="AI204" i="40" s="1"/>
  <c r="AG204" i="40" s="1"/>
  <c r="AJ204" i="40" s="1"/>
  <c r="AC204" i="40"/>
  <c r="AE204" i="40" s="1"/>
  <c r="AH203" i="40"/>
  <c r="AI203" i="40" s="1"/>
  <c r="AC203" i="40"/>
  <c r="AE203" i="40" s="1"/>
  <c r="AH202" i="40"/>
  <c r="AI202" i="40" s="1"/>
  <c r="AG202" i="40"/>
  <c r="AJ202" i="40" s="1"/>
  <c r="AC202" i="40"/>
  <c r="AE202" i="40" s="1"/>
  <c r="AH201" i="40"/>
  <c r="AC201" i="40"/>
  <c r="AE201" i="40" s="1"/>
  <c r="AH200" i="40"/>
  <c r="AI200" i="40" s="1"/>
  <c r="AC200" i="40"/>
  <c r="AE200" i="40" s="1"/>
  <c r="AH199" i="40"/>
  <c r="AC199" i="40"/>
  <c r="AE199" i="40" s="1"/>
  <c r="AH198" i="40"/>
  <c r="AI198" i="40" s="1"/>
  <c r="AC198" i="40"/>
  <c r="AE198" i="40" s="1"/>
  <c r="AH197" i="40"/>
  <c r="AC197" i="40"/>
  <c r="AE197" i="40" s="1"/>
  <c r="AH196" i="40"/>
  <c r="AI196" i="40" s="1"/>
  <c r="AG196" i="40"/>
  <c r="AJ196" i="40" s="1"/>
  <c r="AC196" i="40"/>
  <c r="AE196" i="40" s="1"/>
  <c r="AH195" i="40"/>
  <c r="AI195" i="40" s="1"/>
  <c r="AC195" i="40"/>
  <c r="AE195" i="40" s="1"/>
  <c r="AH194" i="40"/>
  <c r="AI194" i="40" s="1"/>
  <c r="AG194" i="40"/>
  <c r="AJ194" i="40" s="1"/>
  <c r="AC194" i="40"/>
  <c r="AE194" i="40" s="1"/>
  <c r="AH193" i="40"/>
  <c r="AI193" i="40" s="1"/>
  <c r="AC193" i="40"/>
  <c r="AE193" i="40" s="1"/>
  <c r="AD192" i="40"/>
  <c r="AB192" i="40"/>
  <c r="AA192" i="40"/>
  <c r="Z192" i="40"/>
  <c r="Y192" i="40"/>
  <c r="X192" i="40"/>
  <c r="AH191" i="40"/>
  <c r="AI191" i="40" s="1"/>
  <c r="AH190" i="40"/>
  <c r="AI190" i="40" s="1"/>
  <c r="AG190" i="40"/>
  <c r="AJ190" i="40" s="1"/>
  <c r="AH189" i="40"/>
  <c r="AI189" i="40" s="1"/>
  <c r="AG189" i="40" s="1"/>
  <c r="AJ189" i="40" s="1"/>
  <c r="AH188" i="40"/>
  <c r="AI188" i="40" s="1"/>
  <c r="AG188" i="40" s="1"/>
  <c r="AJ188" i="40" s="1"/>
  <c r="AH187" i="40"/>
  <c r="AI187" i="40" s="1"/>
  <c r="AG187" i="40" s="1"/>
  <c r="AJ187" i="40" s="1"/>
  <c r="AH186" i="40"/>
  <c r="AI186" i="40" s="1"/>
  <c r="AG186" i="40" s="1"/>
  <c r="AJ186" i="40" s="1"/>
  <c r="AH185" i="40"/>
  <c r="AI185" i="40" s="1"/>
  <c r="AG185" i="40" s="1"/>
  <c r="AJ185" i="40" s="1"/>
  <c r="AH184" i="40"/>
  <c r="AI184" i="40" s="1"/>
  <c r="AG184" i="40" s="1"/>
  <c r="AJ184" i="40" s="1"/>
  <c r="AH183" i="40"/>
  <c r="AI183" i="40" s="1"/>
  <c r="AG183" i="40" s="1"/>
  <c r="AJ183" i="40" s="1"/>
  <c r="AH182" i="40"/>
  <c r="AI182" i="40" s="1"/>
  <c r="AG182" i="40" s="1"/>
  <c r="AJ182" i="40" s="1"/>
  <c r="AH181" i="40"/>
  <c r="AI181" i="40" s="1"/>
  <c r="AG181" i="40" s="1"/>
  <c r="AJ181" i="40" s="1"/>
  <c r="AH180" i="40"/>
  <c r="AI180" i="40" s="1"/>
  <c r="AG180" i="40" s="1"/>
  <c r="AJ180" i="40" s="1"/>
  <c r="AH179" i="40"/>
  <c r="AI179" i="40" s="1"/>
  <c r="AG179" i="40" s="1"/>
  <c r="AJ179" i="40" s="1"/>
  <c r="AH178" i="40"/>
  <c r="AI178" i="40" s="1"/>
  <c r="AG178" i="40" s="1"/>
  <c r="AJ178" i="40" s="1"/>
  <c r="AC178" i="40"/>
  <c r="AE178" i="40" s="1"/>
  <c r="AH177" i="40"/>
  <c r="AI177" i="40" s="1"/>
  <c r="AG177" i="40"/>
  <c r="AJ177" i="40" s="1"/>
  <c r="AE177" i="40"/>
  <c r="AH176" i="40"/>
  <c r="AE176" i="40"/>
  <c r="AH175" i="40"/>
  <c r="AI175" i="40" s="1"/>
  <c r="AG175" i="40" s="1"/>
  <c r="AJ175" i="40" s="1"/>
  <c r="AH174" i="40"/>
  <c r="AI174" i="40" s="1"/>
  <c r="AG174" i="40" s="1"/>
  <c r="AJ174" i="40" s="1"/>
  <c r="AC174" i="40"/>
  <c r="AE174" i="40" s="1"/>
  <c r="AH173" i="40"/>
  <c r="AI173" i="40" s="1"/>
  <c r="AG173" i="40"/>
  <c r="AJ173" i="40" s="1"/>
  <c r="AC173" i="40"/>
  <c r="AE173" i="40" s="1"/>
  <c r="AH172" i="40"/>
  <c r="AI172" i="40" s="1"/>
  <c r="AG172" i="40" s="1"/>
  <c r="AJ172" i="40" s="1"/>
  <c r="AH171" i="40"/>
  <c r="AI171" i="40" s="1"/>
  <c r="AG171" i="40" s="1"/>
  <c r="AJ171" i="40" s="1"/>
  <c r="AH170" i="40"/>
  <c r="AI170" i="40" s="1"/>
  <c r="AG170" i="40" s="1"/>
  <c r="AC170" i="40"/>
  <c r="AE170" i="40" s="1"/>
  <c r="AE166" i="40" s="1"/>
  <c r="AH169" i="40"/>
  <c r="AI169" i="40" s="1"/>
  <c r="AH168" i="40"/>
  <c r="AI168" i="40" s="1"/>
  <c r="AG168" i="40"/>
  <c r="AJ168" i="40" s="1"/>
  <c r="AH167" i="40"/>
  <c r="AI167" i="40" s="1"/>
  <c r="AD166" i="40"/>
  <c r="AB166" i="40"/>
  <c r="AA166" i="40"/>
  <c r="Z166" i="40"/>
  <c r="Y166" i="40"/>
  <c r="X166" i="40"/>
  <c r="AH165" i="40"/>
  <c r="AI165" i="40" s="1"/>
  <c r="AH164" i="40"/>
  <c r="AI164" i="40" s="1"/>
  <c r="AG164" i="40"/>
  <c r="AJ164" i="40" s="1"/>
  <c r="AH163" i="40"/>
  <c r="AI163" i="40" s="1"/>
  <c r="AC163" i="40"/>
  <c r="AE163" i="40" s="1"/>
  <c r="AH162" i="40"/>
  <c r="AI162" i="40" s="1"/>
  <c r="AG162" i="40" s="1"/>
  <c r="AJ162" i="40" s="1"/>
  <c r="AH161" i="40"/>
  <c r="AI161" i="40" s="1"/>
  <c r="AG161" i="40" s="1"/>
  <c r="AJ161" i="40" s="1"/>
  <c r="AH160" i="40"/>
  <c r="AI160" i="40" s="1"/>
  <c r="AG160" i="40" s="1"/>
  <c r="AJ160" i="40" s="1"/>
  <c r="AH159" i="40"/>
  <c r="AI159" i="40" s="1"/>
  <c r="AG159" i="40" s="1"/>
  <c r="AJ159" i="40" s="1"/>
  <c r="AH158" i="40"/>
  <c r="AI158" i="40" s="1"/>
  <c r="AG158" i="40" s="1"/>
  <c r="AJ158" i="40" s="1"/>
  <c r="AH157" i="40"/>
  <c r="AI157" i="40" s="1"/>
  <c r="AG157" i="40" s="1"/>
  <c r="AJ157" i="40" s="1"/>
  <c r="AH156" i="40"/>
  <c r="AI156" i="40" s="1"/>
  <c r="AG156" i="40" s="1"/>
  <c r="AJ156" i="40" s="1"/>
  <c r="AH155" i="40"/>
  <c r="AI155" i="40" s="1"/>
  <c r="AG155" i="40" s="1"/>
  <c r="AJ155" i="40" s="1"/>
  <c r="AH154" i="40"/>
  <c r="AI154" i="40" s="1"/>
  <c r="AG154" i="40" s="1"/>
  <c r="AJ154" i="40" s="1"/>
  <c r="AH153" i="40"/>
  <c r="AI153" i="40" s="1"/>
  <c r="AG153" i="40" s="1"/>
  <c r="AJ153" i="40" s="1"/>
  <c r="AH152" i="40"/>
  <c r="AI152" i="40" s="1"/>
  <c r="AG152" i="40" s="1"/>
  <c r="AJ152" i="40" s="1"/>
  <c r="AH151" i="40"/>
  <c r="AI151" i="40" s="1"/>
  <c r="AG151" i="40" s="1"/>
  <c r="AJ151" i="40" s="1"/>
  <c r="AH150" i="40"/>
  <c r="AI150" i="40" s="1"/>
  <c r="AG150" i="40" s="1"/>
  <c r="AJ150" i="40" s="1"/>
  <c r="AH149" i="40"/>
  <c r="AI149" i="40" s="1"/>
  <c r="AG149" i="40" s="1"/>
  <c r="AJ149" i="40" s="1"/>
  <c r="AH148" i="40"/>
  <c r="AI148" i="40" s="1"/>
  <c r="AG148" i="40" s="1"/>
  <c r="AJ148" i="40" s="1"/>
  <c r="AH147" i="40"/>
  <c r="AI147" i="40" s="1"/>
  <c r="AG147" i="40" s="1"/>
  <c r="AJ147" i="40" s="1"/>
  <c r="AH146" i="40"/>
  <c r="AI146" i="40" s="1"/>
  <c r="AG146" i="40" s="1"/>
  <c r="AJ146" i="40" s="1"/>
  <c r="AH145" i="40"/>
  <c r="AI145" i="40" s="1"/>
  <c r="AG145" i="40" s="1"/>
  <c r="AJ145" i="40" s="1"/>
  <c r="AH144" i="40"/>
  <c r="AI144" i="40" s="1"/>
  <c r="AG144" i="40" s="1"/>
  <c r="AJ144" i="40" s="1"/>
  <c r="AH143" i="40"/>
  <c r="AI143" i="40" s="1"/>
  <c r="AG143" i="40" s="1"/>
  <c r="AJ143" i="40" s="1"/>
  <c r="AH142" i="40"/>
  <c r="AI142" i="40" s="1"/>
  <c r="AG142" i="40" s="1"/>
  <c r="AJ142" i="40" s="1"/>
  <c r="AH141" i="40"/>
  <c r="AI141" i="40" s="1"/>
  <c r="AG141" i="40" s="1"/>
  <c r="AJ141" i="40" s="1"/>
  <c r="AH140" i="40"/>
  <c r="AI140" i="40" s="1"/>
  <c r="AG140" i="40" s="1"/>
  <c r="AJ140" i="40" s="1"/>
  <c r="AH139" i="40"/>
  <c r="AI139" i="40" s="1"/>
  <c r="AG139" i="40" s="1"/>
  <c r="AJ139" i="40" s="1"/>
  <c r="AH138" i="40"/>
  <c r="AI138" i="40" s="1"/>
  <c r="AH137" i="40"/>
  <c r="AI137" i="40" s="1"/>
  <c r="AG137" i="40" s="1"/>
  <c r="AJ137" i="40" s="1"/>
  <c r="AH136" i="40"/>
  <c r="AI136" i="40" s="1"/>
  <c r="AG136" i="40" s="1"/>
  <c r="AJ136" i="40" s="1"/>
  <c r="AH135" i="40"/>
  <c r="AI135" i="40" s="1"/>
  <c r="AH134" i="40"/>
  <c r="AI134" i="40" s="1"/>
  <c r="AG134" i="40"/>
  <c r="AJ134" i="40" s="1"/>
  <c r="AH133" i="40"/>
  <c r="AI133" i="40" s="1"/>
  <c r="AG133" i="40" s="1"/>
  <c r="AJ133" i="40" s="1"/>
  <c r="AH132" i="40"/>
  <c r="AI132" i="40" s="1"/>
  <c r="AG132" i="40" s="1"/>
  <c r="AJ132" i="40" s="1"/>
  <c r="AH131" i="40"/>
  <c r="AI131" i="40" s="1"/>
  <c r="AG131" i="40"/>
  <c r="AJ131" i="40" s="1"/>
  <c r="AH130" i="40"/>
  <c r="AI130" i="40" s="1"/>
  <c r="AH129" i="40"/>
  <c r="AI129" i="40" s="1"/>
  <c r="AG129" i="40" s="1"/>
  <c r="AJ129" i="40" s="1"/>
  <c r="AH128" i="40"/>
  <c r="AI128" i="40" s="1"/>
  <c r="AG128" i="40" s="1"/>
  <c r="AJ128" i="40" s="1"/>
  <c r="AH127" i="40"/>
  <c r="AI127" i="40" s="1"/>
  <c r="AH126" i="40"/>
  <c r="AI126" i="40" s="1"/>
  <c r="AG126" i="40"/>
  <c r="AJ126" i="40" s="1"/>
  <c r="AH125" i="40"/>
  <c r="AI125" i="40" s="1"/>
  <c r="AG125" i="40" s="1"/>
  <c r="AJ125" i="40" s="1"/>
  <c r="AH124" i="40"/>
  <c r="AI124" i="40" s="1"/>
  <c r="AG124" i="40" s="1"/>
  <c r="AJ124" i="40" s="1"/>
  <c r="AH123" i="40"/>
  <c r="AI123" i="40" s="1"/>
  <c r="AH122" i="40"/>
  <c r="AI122" i="40" s="1"/>
  <c r="AG122" i="40"/>
  <c r="AJ122" i="40" s="1"/>
  <c r="AH121" i="40"/>
  <c r="AH120" i="40"/>
  <c r="AI120" i="40" s="1"/>
  <c r="AG120" i="40" s="1"/>
  <c r="AJ120" i="40" s="1"/>
  <c r="AH119" i="40"/>
  <c r="AI119" i="40" s="1"/>
  <c r="AH118" i="40"/>
  <c r="AI118" i="40" s="1"/>
  <c r="AH117" i="40"/>
  <c r="AH116" i="40"/>
  <c r="AI116" i="40" s="1"/>
  <c r="AG116" i="40" s="1"/>
  <c r="AJ116" i="40" s="1"/>
  <c r="AH115" i="40"/>
  <c r="AI115" i="40" s="1"/>
  <c r="AH114" i="40"/>
  <c r="AI114" i="40" s="1"/>
  <c r="AG114" i="40"/>
  <c r="AJ114" i="40" s="1"/>
  <c r="AC114" i="40"/>
  <c r="AE114" i="40" s="1"/>
  <c r="AH113" i="40"/>
  <c r="AI113" i="40" s="1"/>
  <c r="AC113" i="40"/>
  <c r="AE113" i="40" s="1"/>
  <c r="AH112" i="40"/>
  <c r="AI112" i="40" s="1"/>
  <c r="AG112" i="40" s="1"/>
  <c r="AJ112" i="40" s="1"/>
  <c r="AC112" i="40"/>
  <c r="AE112" i="40" s="1"/>
  <c r="AH111" i="40"/>
  <c r="AI111" i="40" s="1"/>
  <c r="AG111" i="40" s="1"/>
  <c r="AJ111" i="40" s="1"/>
  <c r="AC111" i="40"/>
  <c r="AE111" i="40" s="1"/>
  <c r="AH110" i="40"/>
  <c r="AI110" i="40" s="1"/>
  <c r="AG110" i="40"/>
  <c r="AJ110" i="40" s="1"/>
  <c r="AC110" i="40"/>
  <c r="AE110" i="40" s="1"/>
  <c r="AH109" i="40"/>
  <c r="AI109" i="40" s="1"/>
  <c r="AG109" i="40" s="1"/>
  <c r="AJ109" i="40" s="1"/>
  <c r="AC109" i="40"/>
  <c r="AE109" i="40" s="1"/>
  <c r="AH108" i="40"/>
  <c r="AI108" i="40" s="1"/>
  <c r="AC108" i="40"/>
  <c r="AE108" i="40" s="1"/>
  <c r="AD107" i="40"/>
  <c r="AB107" i="40"/>
  <c r="AA107" i="40"/>
  <c r="Z107" i="40"/>
  <c r="Y107" i="40"/>
  <c r="X107" i="40"/>
  <c r="AH106" i="40"/>
  <c r="AI106" i="40" s="1"/>
  <c r="AG106" i="40" s="1"/>
  <c r="AJ106" i="40" s="1"/>
  <c r="AC106" i="40"/>
  <c r="AE106" i="40" s="1"/>
  <c r="AH105" i="40"/>
  <c r="AG105" i="40" s="1"/>
  <c r="AC105" i="40"/>
  <c r="AD105" i="40" s="1"/>
  <c r="AH104" i="40"/>
  <c r="AG104" i="40" s="1"/>
  <c r="AC104" i="40"/>
  <c r="AD104" i="40" s="1"/>
  <c r="AH103" i="40"/>
  <c r="AG103" i="40" s="1"/>
  <c r="AJ103" i="40" s="1"/>
  <c r="AE103" i="40"/>
  <c r="AH102" i="40"/>
  <c r="AG102" i="40" s="1"/>
  <c r="AC102" i="40"/>
  <c r="AD102" i="40" s="1"/>
  <c r="AH101" i="40"/>
  <c r="AG101" i="40" s="1"/>
  <c r="AC101" i="40"/>
  <c r="AD101" i="40" s="1"/>
  <c r="AH100" i="40"/>
  <c r="AI100" i="40" s="1"/>
  <c r="AG100" i="40"/>
  <c r="AJ100" i="40" s="1"/>
  <c r="AC100" i="40"/>
  <c r="AE100" i="40" s="1"/>
  <c r="AH99" i="40"/>
  <c r="AC99" i="40"/>
  <c r="AB98" i="40"/>
  <c r="AA98" i="40"/>
  <c r="Z98" i="40"/>
  <c r="Y98" i="40"/>
  <c r="X98" i="40"/>
  <c r="AH97" i="40"/>
  <c r="AI97" i="40" s="1"/>
  <c r="AG97" i="40" s="1"/>
  <c r="AJ97" i="40" s="1"/>
  <c r="AH96" i="40"/>
  <c r="AG96" i="40" s="1"/>
  <c r="AJ96" i="40" s="1"/>
  <c r="AC96" i="40"/>
  <c r="AE96" i="40" s="1"/>
  <c r="AH95" i="40"/>
  <c r="AH94" i="40"/>
  <c r="AH93" i="40"/>
  <c r="AH92" i="40"/>
  <c r="AH91" i="40"/>
  <c r="AH90" i="40"/>
  <c r="AH89" i="40"/>
  <c r="AH88" i="40"/>
  <c r="AH87" i="40"/>
  <c r="AH86" i="40"/>
  <c r="AH85" i="40"/>
  <c r="AH84" i="40"/>
  <c r="AH83" i="40"/>
  <c r="AH82" i="40"/>
  <c r="AH81" i="40"/>
  <c r="AH80" i="40"/>
  <c r="AH79" i="40"/>
  <c r="AH78" i="40"/>
  <c r="AH77" i="40"/>
  <c r="AH76" i="40"/>
  <c r="AH75" i="40"/>
  <c r="AH74" i="40"/>
  <c r="AH73" i="40"/>
  <c r="AH72" i="40"/>
  <c r="AH71" i="40"/>
  <c r="AH70" i="40"/>
  <c r="AH69" i="40"/>
  <c r="AH68" i="40"/>
  <c r="AH67" i="40"/>
  <c r="AH66" i="40"/>
  <c r="AH65" i="40"/>
  <c r="AH64" i="40"/>
  <c r="AH63" i="40"/>
  <c r="AH62" i="40"/>
  <c r="AH61" i="40"/>
  <c r="AH60" i="40"/>
  <c r="AH59" i="40"/>
  <c r="AH58" i="40"/>
  <c r="AH57" i="40"/>
  <c r="AH56" i="40"/>
  <c r="AH55" i="40"/>
  <c r="AH54" i="40"/>
  <c r="AH53" i="40"/>
  <c r="AH52" i="40"/>
  <c r="AH51" i="40"/>
  <c r="AH50" i="40"/>
  <c r="AH49" i="40"/>
  <c r="AH48" i="40"/>
  <c r="AH47" i="40"/>
  <c r="AC47" i="40"/>
  <c r="AE47" i="40" s="1"/>
  <c r="AH46" i="40"/>
  <c r="AC46" i="40"/>
  <c r="AE46" i="40" s="1"/>
  <c r="AH45" i="40"/>
  <c r="AC45" i="40"/>
  <c r="AE45" i="40" s="1"/>
  <c r="AH44" i="40"/>
  <c r="AG44" i="40"/>
  <c r="AJ44" i="40" s="1"/>
  <c r="AC44" i="40"/>
  <c r="AE44" i="40" s="1"/>
  <c r="AH43" i="40"/>
  <c r="AI43" i="40" s="1"/>
  <c r="AG43" i="40"/>
  <c r="AJ43" i="40" s="1"/>
  <c r="AC43" i="40"/>
  <c r="AE43" i="40" s="1"/>
  <c r="AH42" i="40"/>
  <c r="AI42" i="40" s="1"/>
  <c r="AG42" i="40" s="1"/>
  <c r="AJ42" i="40" s="1"/>
  <c r="AC42" i="40"/>
  <c r="AE42" i="40" s="1"/>
  <c r="AH41" i="40"/>
  <c r="AI41" i="40" s="1"/>
  <c r="AC41" i="40"/>
  <c r="AE41" i="40" s="1"/>
  <c r="AH40" i="40"/>
  <c r="AI40" i="40" s="1"/>
  <c r="AG40" i="40"/>
  <c r="AJ40" i="40" s="1"/>
  <c r="AC40" i="40"/>
  <c r="AE40" i="40" s="1"/>
  <c r="AH39" i="40"/>
  <c r="AI39" i="40" s="1"/>
  <c r="AG39" i="40"/>
  <c r="AJ39" i="40" s="1"/>
  <c r="AC39" i="40"/>
  <c r="AE39" i="40" s="1"/>
  <c r="AH38" i="40"/>
  <c r="AI38" i="40" s="1"/>
  <c r="AC38" i="40"/>
  <c r="AE38" i="40" s="1"/>
  <c r="AH37" i="40"/>
  <c r="AI37" i="40" s="1"/>
  <c r="AH36" i="40"/>
  <c r="AI36" i="40" s="1"/>
  <c r="AG36" i="40" s="1"/>
  <c r="AJ36" i="40" s="1"/>
  <c r="AC36" i="40"/>
  <c r="AE36" i="40" s="1"/>
  <c r="AH35" i="40"/>
  <c r="AI35" i="40" s="1"/>
  <c r="AG35" i="40" s="1"/>
  <c r="AJ35" i="40" s="1"/>
  <c r="AC35" i="40"/>
  <c r="AE35" i="40" s="1"/>
  <c r="AH34" i="40"/>
  <c r="AC34" i="40"/>
  <c r="AE34" i="40" s="1"/>
  <c r="AH33" i="40"/>
  <c r="AI33" i="40" s="1"/>
  <c r="AC33" i="40"/>
  <c r="AE33" i="40" s="1"/>
  <c r="AD32" i="40"/>
  <c r="AC32" i="40"/>
  <c r="AB32" i="40"/>
  <c r="AA32" i="40"/>
  <c r="Z32" i="40"/>
  <c r="Y32" i="40"/>
  <c r="X32" i="40"/>
  <c r="AH31" i="40"/>
  <c r="AH30" i="40"/>
  <c r="AH29" i="40"/>
  <c r="AC29" i="40"/>
  <c r="AE29" i="40" s="1"/>
  <c r="AH28" i="40"/>
  <c r="AI28" i="40" s="1"/>
  <c r="AE27" i="40"/>
  <c r="AD27" i="40"/>
  <c r="AC27" i="40"/>
  <c r="AB27" i="40"/>
  <c r="AA27" i="40"/>
  <c r="Z27" i="40"/>
  <c r="Y27" i="40"/>
  <c r="X27" i="40"/>
  <c r="AH26" i="40"/>
  <c r="AG26" i="40"/>
  <c r="AJ26" i="40" s="1"/>
  <c r="AH25" i="40"/>
  <c r="AG25" i="40" s="1"/>
  <c r="AJ25" i="40" s="1"/>
  <c r="AH24" i="40"/>
  <c r="AG24" i="40"/>
  <c r="AJ24" i="40" s="1"/>
  <c r="AH23" i="40"/>
  <c r="AG23" i="40" s="1"/>
  <c r="AJ23" i="40" s="1"/>
  <c r="AH22" i="40"/>
  <c r="AG22" i="40"/>
  <c r="AJ22" i="40" s="1"/>
  <c r="AE22" i="40"/>
  <c r="AC22" i="40" s="1"/>
  <c r="AH21" i="40"/>
  <c r="AG21" i="40"/>
  <c r="AJ21" i="40" s="1"/>
  <c r="AE21" i="40"/>
  <c r="AC21" i="40"/>
  <c r="AH20" i="40"/>
  <c r="AH19" i="40"/>
  <c r="AH18" i="40"/>
  <c r="AC18" i="40"/>
  <c r="AE18" i="40" s="1"/>
  <c r="AH17" i="40"/>
  <c r="AG17" i="40"/>
  <c r="AJ17" i="40" s="1"/>
  <c r="AE17" i="40"/>
  <c r="AH16" i="40"/>
  <c r="AG16" i="40"/>
  <c r="AJ16" i="40" s="1"/>
  <c r="AE16" i="40"/>
  <c r="AH15" i="40"/>
  <c r="AG15" i="40" s="1"/>
  <c r="AJ15" i="40" s="1"/>
  <c r="AE15" i="40"/>
  <c r="AD14" i="40"/>
  <c r="AB14" i="40"/>
  <c r="AA14" i="40"/>
  <c r="Z14" i="40"/>
  <c r="Y14" i="40"/>
  <c r="X14" i="40"/>
  <c r="AH13" i="40"/>
  <c r="AG13" i="40"/>
  <c r="AJ13" i="40" s="1"/>
  <c r="AH12" i="40"/>
  <c r="AG12" i="40" s="1"/>
  <c r="AJ12" i="40" s="1"/>
  <c r="AH11" i="40"/>
  <c r="AG11" i="40" s="1"/>
  <c r="AJ11" i="40" s="1"/>
  <c r="AH10" i="40"/>
  <c r="AI10" i="40" s="1"/>
  <c r="AG10" i="40" s="1"/>
  <c r="AJ10" i="40" s="1"/>
  <c r="AC10" i="40"/>
  <c r="AE10" i="40" s="1"/>
  <c r="AH9" i="40"/>
  <c r="AI9" i="40" s="1"/>
  <c r="AG9" i="40" s="1"/>
  <c r="AJ9" i="40" s="1"/>
  <c r="AC9" i="40"/>
  <c r="AE9" i="40" s="1"/>
  <c r="AH8" i="40"/>
  <c r="AI8" i="40" s="1"/>
  <c r="AE8" i="40"/>
  <c r="AH7" i="40"/>
  <c r="AD7" i="40"/>
  <c r="AB7" i="40"/>
  <c r="AA7" i="40"/>
  <c r="Z7" i="40"/>
  <c r="Y7" i="40"/>
  <c r="X7" i="40"/>
  <c r="AE192" i="40" l="1"/>
  <c r="AH32" i="40"/>
  <c r="AG38" i="40"/>
  <c r="AJ38" i="40" s="1"/>
  <c r="AD98" i="40"/>
  <c r="AD6" i="40" s="1"/>
  <c r="AE107" i="40"/>
  <c r="AG163" i="40"/>
  <c r="AJ163" i="40" s="1"/>
  <c r="AG165" i="40"/>
  <c r="AJ165" i="40" s="1"/>
  <c r="AG167" i="40"/>
  <c r="AJ167" i="40" s="1"/>
  <c r="AG169" i="40"/>
  <c r="AJ169" i="40" s="1"/>
  <c r="AG198" i="40"/>
  <c r="AJ198" i="40" s="1"/>
  <c r="AC7" i="40"/>
  <c r="AE32" i="40"/>
  <c r="AG37" i="40"/>
  <c r="AJ37" i="40" s="1"/>
  <c r="AG41" i="40"/>
  <c r="AJ41" i="40" s="1"/>
  <c r="AG108" i="40"/>
  <c r="AG113" i="40"/>
  <c r="AJ113" i="40" s="1"/>
  <c r="AG118" i="40"/>
  <c r="AJ118" i="40" s="1"/>
  <c r="AG127" i="40"/>
  <c r="AJ127" i="40" s="1"/>
  <c r="AG130" i="40"/>
  <c r="AJ130" i="40" s="1"/>
  <c r="AG135" i="40"/>
  <c r="AJ135" i="40" s="1"/>
  <c r="AG138" i="40"/>
  <c r="AJ138" i="40" s="1"/>
  <c r="AG200" i="40"/>
  <c r="AJ200" i="40" s="1"/>
  <c r="AE7" i="40"/>
  <c r="AE14" i="40"/>
  <c r="AH98" i="40"/>
  <c r="AI99" i="40"/>
  <c r="AJ102" i="40"/>
  <c r="AJ104" i="40"/>
  <c r="AJ105" i="40"/>
  <c r="AI201" i="40"/>
  <c r="AG201" i="40" s="1"/>
  <c r="AJ201" i="40" s="1"/>
  <c r="AI208" i="40"/>
  <c r="AG208" i="40" s="1"/>
  <c r="AJ208" i="40" s="1"/>
  <c r="AI211" i="40"/>
  <c r="AG211" i="40" s="1"/>
  <c r="AJ211" i="40" s="1"/>
  <c r="AI214" i="40"/>
  <c r="AG214" i="40" s="1"/>
  <c r="AJ214" i="40" s="1"/>
  <c r="AI216" i="40"/>
  <c r="AG216" i="40" s="1"/>
  <c r="AJ216" i="40" s="1"/>
  <c r="AI249" i="40"/>
  <c r="AG249" i="40" s="1"/>
  <c r="AJ249" i="40" s="1"/>
  <c r="AI253" i="40"/>
  <c r="AG253" i="40" s="1"/>
  <c r="AJ253" i="40" s="1"/>
  <c r="AI257" i="40"/>
  <c r="AG257" i="40" s="1"/>
  <c r="AJ257" i="40" s="1"/>
  <c r="AI261" i="40"/>
  <c r="AG261" i="40" s="1"/>
  <c r="AJ261" i="40" s="1"/>
  <c r="AI263" i="40"/>
  <c r="AG263" i="40" s="1"/>
  <c r="AJ263" i="40" s="1"/>
  <c r="AI265" i="40"/>
  <c r="AG265" i="40" s="1"/>
  <c r="AJ265" i="40" s="1"/>
  <c r="AE266" i="40"/>
  <c r="AI268" i="40"/>
  <c r="AG268" i="40" s="1"/>
  <c r="AJ268" i="40" s="1"/>
  <c r="AI270" i="40"/>
  <c r="AG270" i="40" s="1"/>
  <c r="AJ270" i="40" s="1"/>
  <c r="AI271" i="40"/>
  <c r="AG271" i="40" s="1"/>
  <c r="AJ271" i="40" s="1"/>
  <c r="AI272" i="40"/>
  <c r="AG272" i="40" s="1"/>
  <c r="AJ272" i="40" s="1"/>
  <c r="AI273" i="40"/>
  <c r="AG273" i="40" s="1"/>
  <c r="AJ273" i="40" s="1"/>
  <c r="AI274" i="40"/>
  <c r="AG274" i="40" s="1"/>
  <c r="AJ274" i="40" s="1"/>
  <c r="AI275" i="40"/>
  <c r="AG275" i="40" s="1"/>
  <c r="AJ275" i="40" s="1"/>
  <c r="AI276" i="40"/>
  <c r="AG276" i="40" s="1"/>
  <c r="AJ276" i="40" s="1"/>
  <c r="AI277" i="40"/>
  <c r="AG277" i="40" s="1"/>
  <c r="AJ277" i="40" s="1"/>
  <c r="AI278" i="40"/>
  <c r="AG278" i="40" s="1"/>
  <c r="AJ278" i="40" s="1"/>
  <c r="AI279" i="40"/>
  <c r="AG279" i="40" s="1"/>
  <c r="AJ279" i="40" s="1"/>
  <c r="AI280" i="40"/>
  <c r="AG280" i="40" s="1"/>
  <c r="AJ280" i="40" s="1"/>
  <c r="AI281" i="40"/>
  <c r="AG281" i="40" s="1"/>
  <c r="AJ281" i="40" s="1"/>
  <c r="AI7" i="40"/>
  <c r="AG8" i="40"/>
  <c r="AI95" i="40"/>
  <c r="AG95" i="40" s="1"/>
  <c r="AJ95" i="40" s="1"/>
  <c r="AI18" i="40"/>
  <c r="AI19" i="40"/>
  <c r="AG19" i="40" s="1"/>
  <c r="AJ19" i="40" s="1"/>
  <c r="AI20" i="40"/>
  <c r="AG20" i="40" s="1"/>
  <c r="AJ20" i="40" s="1"/>
  <c r="AG28" i="40"/>
  <c r="AI29" i="40"/>
  <c r="AG29" i="40" s="1"/>
  <c r="AJ29" i="40" s="1"/>
  <c r="AI30" i="40"/>
  <c r="AG30" i="40" s="1"/>
  <c r="AJ30" i="40" s="1"/>
  <c r="AI31" i="40"/>
  <c r="AG31" i="40" s="1"/>
  <c r="AJ31" i="40" s="1"/>
  <c r="AG33" i="40"/>
  <c r="AI34" i="40"/>
  <c r="AG34" i="40" s="1"/>
  <c r="AJ34" i="40" s="1"/>
  <c r="AI45" i="40"/>
  <c r="AG45" i="40" s="1"/>
  <c r="AJ45" i="40" s="1"/>
  <c r="AI46" i="40"/>
  <c r="AG46" i="40" s="1"/>
  <c r="AJ46" i="40" s="1"/>
  <c r="AI47" i="40"/>
  <c r="AG47" i="40" s="1"/>
  <c r="AJ47" i="40" s="1"/>
  <c r="AI49" i="40"/>
  <c r="AG49" i="40" s="1"/>
  <c r="AJ49" i="40" s="1"/>
  <c r="AI51" i="40"/>
  <c r="AG51" i="40" s="1"/>
  <c r="AJ51" i="40" s="1"/>
  <c r="AI53" i="40"/>
  <c r="AG53" i="40"/>
  <c r="AJ53" i="40" s="1"/>
  <c r="AI55" i="40"/>
  <c r="AG55" i="40" s="1"/>
  <c r="AJ55" i="40" s="1"/>
  <c r="AI57" i="40"/>
  <c r="AG57" i="40" s="1"/>
  <c r="AJ57" i="40" s="1"/>
  <c r="AI59" i="40"/>
  <c r="AG59" i="40" s="1"/>
  <c r="AJ59" i="40" s="1"/>
  <c r="AI61" i="40"/>
  <c r="AG61" i="40"/>
  <c r="AJ61" i="40" s="1"/>
  <c r="AI63" i="40"/>
  <c r="AG63" i="40" s="1"/>
  <c r="AJ63" i="40" s="1"/>
  <c r="AI65" i="40"/>
  <c r="AG65" i="40" s="1"/>
  <c r="AJ65" i="40" s="1"/>
  <c r="AI67" i="40"/>
  <c r="AG67" i="40" s="1"/>
  <c r="AJ67" i="40" s="1"/>
  <c r="AI69" i="40"/>
  <c r="AG69" i="40"/>
  <c r="AJ69" i="40" s="1"/>
  <c r="AI71" i="40"/>
  <c r="AG71" i="40" s="1"/>
  <c r="AJ71" i="40" s="1"/>
  <c r="AI73" i="40"/>
  <c r="AG73" i="40" s="1"/>
  <c r="AJ73" i="40" s="1"/>
  <c r="AI75" i="40"/>
  <c r="AG75" i="40" s="1"/>
  <c r="AJ75" i="40" s="1"/>
  <c r="AI77" i="40"/>
  <c r="AG77" i="40"/>
  <c r="AJ77" i="40" s="1"/>
  <c r="AI79" i="40"/>
  <c r="AG79" i="40" s="1"/>
  <c r="AJ79" i="40" s="1"/>
  <c r="AI81" i="40"/>
  <c r="AG81" i="40" s="1"/>
  <c r="AJ81" i="40" s="1"/>
  <c r="AI83" i="40"/>
  <c r="AG83" i="40" s="1"/>
  <c r="AJ83" i="40" s="1"/>
  <c r="AI85" i="40"/>
  <c r="AG85" i="40"/>
  <c r="AJ85" i="40" s="1"/>
  <c r="AI87" i="40"/>
  <c r="AG87" i="40" s="1"/>
  <c r="AJ87" i="40" s="1"/>
  <c r="AI89" i="40"/>
  <c r="AG89" i="40" s="1"/>
  <c r="AJ89" i="40" s="1"/>
  <c r="AI91" i="40"/>
  <c r="AG91" i="40" s="1"/>
  <c r="AJ91" i="40" s="1"/>
  <c r="AI93" i="40"/>
  <c r="AG93" i="40"/>
  <c r="AJ93" i="40" s="1"/>
  <c r="AE99" i="40"/>
  <c r="AE98" i="40" s="1"/>
  <c r="AC98" i="40"/>
  <c r="AC14" i="40"/>
  <c r="AH14" i="40"/>
  <c r="AH27" i="40"/>
  <c r="AI48" i="40"/>
  <c r="AG48" i="40" s="1"/>
  <c r="AJ48" i="40" s="1"/>
  <c r="AI50" i="40"/>
  <c r="AG50" i="40"/>
  <c r="AJ50" i="40" s="1"/>
  <c r="AI52" i="40"/>
  <c r="AG52" i="40" s="1"/>
  <c r="AJ52" i="40" s="1"/>
  <c r="AI54" i="40"/>
  <c r="AG54" i="40" s="1"/>
  <c r="AJ54" i="40" s="1"/>
  <c r="AI56" i="40"/>
  <c r="AG56" i="40" s="1"/>
  <c r="AJ56" i="40" s="1"/>
  <c r="AI58" i="40"/>
  <c r="AG58" i="40"/>
  <c r="AJ58" i="40" s="1"/>
  <c r="AI60" i="40"/>
  <c r="AG60" i="40" s="1"/>
  <c r="AJ60" i="40" s="1"/>
  <c r="AI62" i="40"/>
  <c r="AG62" i="40" s="1"/>
  <c r="AJ62" i="40" s="1"/>
  <c r="AI64" i="40"/>
  <c r="AG64" i="40" s="1"/>
  <c r="AJ64" i="40" s="1"/>
  <c r="AI66" i="40"/>
  <c r="AG66" i="40"/>
  <c r="AJ66" i="40" s="1"/>
  <c r="AI68" i="40"/>
  <c r="AG68" i="40" s="1"/>
  <c r="AJ68" i="40" s="1"/>
  <c r="AI70" i="40"/>
  <c r="AG70" i="40" s="1"/>
  <c r="AJ70" i="40" s="1"/>
  <c r="AI72" i="40"/>
  <c r="AG72" i="40" s="1"/>
  <c r="AJ72" i="40" s="1"/>
  <c r="AI74" i="40"/>
  <c r="AG74" i="40"/>
  <c r="AJ74" i="40" s="1"/>
  <c r="AI76" i="40"/>
  <c r="AG76" i="40" s="1"/>
  <c r="AJ76" i="40" s="1"/>
  <c r="AI78" i="40"/>
  <c r="AG78" i="40" s="1"/>
  <c r="AJ78" i="40" s="1"/>
  <c r="AI80" i="40"/>
  <c r="AG80" i="40" s="1"/>
  <c r="AJ80" i="40" s="1"/>
  <c r="AI82" i="40"/>
  <c r="AG82" i="40"/>
  <c r="AJ82" i="40" s="1"/>
  <c r="AI84" i="40"/>
  <c r="AG84" i="40" s="1"/>
  <c r="AJ84" i="40" s="1"/>
  <c r="AI86" i="40"/>
  <c r="AG86" i="40" s="1"/>
  <c r="AJ86" i="40" s="1"/>
  <c r="AI88" i="40"/>
  <c r="AG88" i="40" s="1"/>
  <c r="AJ88" i="40" s="1"/>
  <c r="AI90" i="40"/>
  <c r="AG90" i="40"/>
  <c r="AJ90" i="40" s="1"/>
  <c r="AI92" i="40"/>
  <c r="AG92" i="40" s="1"/>
  <c r="AJ92" i="40" s="1"/>
  <c r="AI94" i="40"/>
  <c r="AG94" i="40" s="1"/>
  <c r="AJ94" i="40" s="1"/>
  <c r="AG99" i="40"/>
  <c r="AI98" i="40"/>
  <c r="AJ101" i="40"/>
  <c r="AC107" i="40"/>
  <c r="AH107" i="40"/>
  <c r="AJ108" i="40"/>
  <c r="AG115" i="40"/>
  <c r="AJ115" i="40" s="1"/>
  <c r="AI117" i="40"/>
  <c r="AG119" i="40"/>
  <c r="AJ119" i="40" s="1"/>
  <c r="AI121" i="40"/>
  <c r="AG121" i="40" s="1"/>
  <c r="AJ121" i="40" s="1"/>
  <c r="AG123" i="40"/>
  <c r="AJ123" i="40" s="1"/>
  <c r="AJ170" i="40"/>
  <c r="AG267" i="40"/>
  <c r="AC166" i="40"/>
  <c r="AH166" i="40"/>
  <c r="AI176" i="40"/>
  <c r="AG176" i="40" s="1"/>
  <c r="AJ176" i="40" s="1"/>
  <c r="AG191" i="40"/>
  <c r="AJ191" i="40" s="1"/>
  <c r="AC192" i="40"/>
  <c r="AH192" i="40"/>
  <c r="AG193" i="40"/>
  <c r="AI197" i="40"/>
  <c r="AI199" i="40"/>
  <c r="AG199" i="40" s="1"/>
  <c r="AJ199" i="40" s="1"/>
  <c r="AG195" i="40"/>
  <c r="AJ195" i="40" s="1"/>
  <c r="AG203" i="40"/>
  <c r="AJ203" i="40" s="1"/>
  <c r="AG209" i="40"/>
  <c r="AJ209" i="40" s="1"/>
  <c r="AG217" i="40"/>
  <c r="AJ217" i="40" s="1"/>
  <c r="AG218" i="40"/>
  <c r="AJ218" i="40" s="1"/>
  <c r="AG219" i="40"/>
  <c r="AJ219" i="40" s="1"/>
  <c r="AG220" i="40"/>
  <c r="AJ220" i="40" s="1"/>
  <c r="AG250" i="40"/>
  <c r="AJ250" i="40" s="1"/>
  <c r="AG254" i="40"/>
  <c r="AJ254" i="40" s="1"/>
  <c r="AG258" i="40"/>
  <c r="AJ258" i="40" s="1"/>
  <c r="AC266" i="40"/>
  <c r="AI266" i="40" l="1"/>
  <c r="AI166" i="40"/>
  <c r="AE6" i="40"/>
  <c r="AI192" i="40"/>
  <c r="AG197" i="40"/>
  <c r="AJ197" i="40" s="1"/>
  <c r="AJ166" i="40"/>
  <c r="AI107" i="40"/>
  <c r="AI14" i="40"/>
  <c r="AJ99" i="40"/>
  <c r="AJ98" i="40" s="1"/>
  <c r="AG98" i="40"/>
  <c r="AC6" i="40"/>
  <c r="AJ8" i="40"/>
  <c r="AJ7" i="40" s="1"/>
  <c r="AG7" i="40"/>
  <c r="AI27" i="40"/>
  <c r="AG166" i="40"/>
  <c r="AG117" i="40"/>
  <c r="AJ117" i="40" s="1"/>
  <c r="AJ107" i="40" s="1"/>
  <c r="AG32" i="40"/>
  <c r="AJ33" i="40"/>
  <c r="AJ32" i="40" s="1"/>
  <c r="AG27" i="40"/>
  <c r="AJ28" i="40"/>
  <c r="AJ27" i="40" s="1"/>
  <c r="AG18" i="40"/>
  <c r="AJ193" i="40"/>
  <c r="AJ192" i="40" s="1"/>
  <c r="AG192" i="40"/>
  <c r="AJ267" i="40"/>
  <c r="AJ266" i="40" s="1"/>
  <c r="AG266" i="40"/>
  <c r="AI32" i="40"/>
  <c r="AH6" i="40"/>
  <c r="AI6" i="40" l="1"/>
  <c r="AJ18" i="40"/>
  <c r="AJ14" i="40" s="1"/>
  <c r="AJ6" i="40" s="1"/>
  <c r="AK6" i="40" s="1"/>
  <c r="AL6" i="40" s="1"/>
  <c r="AG14" i="40"/>
  <c r="AG107" i="40"/>
  <c r="AG6" i="40" l="1"/>
  <c r="Q84" i="38"/>
  <c r="Q83" i="38"/>
  <c r="Q82" i="38"/>
  <c r="P81" i="38"/>
  <c r="O81" i="38"/>
  <c r="Q81" i="38" s="1"/>
  <c r="M81" i="38"/>
  <c r="L81" i="38"/>
  <c r="K81" i="38"/>
  <c r="J81" i="38"/>
  <c r="I81" i="38"/>
  <c r="H81" i="38"/>
  <c r="G81" i="38"/>
  <c r="F81" i="38"/>
  <c r="Q80" i="38"/>
  <c r="Q79" i="38"/>
  <c r="Q78" i="38"/>
  <c r="P77" i="38"/>
  <c r="O77" i="38"/>
  <c r="N77" i="38"/>
  <c r="M77" i="38"/>
  <c r="L77" i="38"/>
  <c r="K77" i="38"/>
  <c r="J77" i="38"/>
  <c r="I77" i="38"/>
  <c r="H77" i="38"/>
  <c r="G77" i="38"/>
  <c r="F77" i="38"/>
  <c r="Q76" i="38"/>
  <c r="Q75" i="38"/>
  <c r="Q74" i="38"/>
  <c r="Q73" i="38"/>
  <c r="P72" i="38"/>
  <c r="O72" i="38"/>
  <c r="Q72" i="38" s="1"/>
  <c r="M72" i="38"/>
  <c r="L72" i="38"/>
  <c r="K72" i="38"/>
  <c r="J72" i="38"/>
  <c r="I72" i="38"/>
  <c r="H72" i="38"/>
  <c r="G72" i="38"/>
  <c r="F72" i="38"/>
  <c r="Q71" i="38"/>
  <c r="Q70" i="38"/>
  <c r="Q69" i="38"/>
  <c r="Q68" i="38"/>
  <c r="Q67" i="38"/>
  <c r="P66" i="38"/>
  <c r="O66" i="38"/>
  <c r="N66" i="38"/>
  <c r="M66" i="38"/>
  <c r="L66" i="38"/>
  <c r="K66" i="38"/>
  <c r="J66" i="38"/>
  <c r="I66" i="38"/>
  <c r="H66" i="38"/>
  <c r="G66" i="38"/>
  <c r="F66" i="38"/>
  <c r="Q65" i="38"/>
  <c r="Q64" i="38"/>
  <c r="Q63" i="38"/>
  <c r="Q62" i="38"/>
  <c r="P61" i="38"/>
  <c r="O61" i="38"/>
  <c r="Q61" i="38" s="1"/>
  <c r="M61" i="38"/>
  <c r="L61" i="38"/>
  <c r="K61" i="38"/>
  <c r="J61" i="38"/>
  <c r="I61" i="38"/>
  <c r="H61" i="38"/>
  <c r="G61" i="38"/>
  <c r="F61" i="38"/>
  <c r="Q60" i="38"/>
  <c r="Q59" i="38"/>
  <c r="P58" i="38"/>
  <c r="O58" i="38"/>
  <c r="M58" i="38"/>
  <c r="L58" i="38"/>
  <c r="K58" i="38"/>
  <c r="J58" i="38"/>
  <c r="I58" i="38"/>
  <c r="H58" i="38"/>
  <c r="G58" i="38"/>
  <c r="F58" i="38"/>
  <c r="Q57" i="38"/>
  <c r="Q56" i="38"/>
  <c r="Q55" i="38"/>
  <c r="Q54" i="38"/>
  <c r="Q53" i="38"/>
  <c r="Q52" i="38"/>
  <c r="Q51" i="38"/>
  <c r="P50" i="38"/>
  <c r="O50" i="38"/>
  <c r="N50" i="38"/>
  <c r="M50" i="38"/>
  <c r="L50" i="38"/>
  <c r="K50" i="38"/>
  <c r="J50" i="38"/>
  <c r="I50" i="38"/>
  <c r="H50" i="38"/>
  <c r="G50" i="38"/>
  <c r="F50" i="38"/>
  <c r="Q49" i="38"/>
  <c r="Q48" i="38"/>
  <c r="Q47" i="38"/>
  <c r="Q46" i="38"/>
  <c r="Q45" i="38"/>
  <c r="P44" i="38"/>
  <c r="O44" i="38"/>
  <c r="N44" i="38"/>
  <c r="M44" i="38"/>
  <c r="L44" i="38"/>
  <c r="K44" i="38"/>
  <c r="J44" i="38"/>
  <c r="I44" i="38"/>
  <c r="H44" i="38"/>
  <c r="G44" i="38"/>
  <c r="F44" i="38"/>
  <c r="Q43" i="38"/>
  <c r="Q42" i="38"/>
  <c r="Q41" i="38"/>
  <c r="Q40" i="38"/>
  <c r="Q39" i="38"/>
  <c r="P38" i="38"/>
  <c r="P37" i="38" s="1"/>
  <c r="O38" i="38"/>
  <c r="N38" i="38"/>
  <c r="M38" i="38"/>
  <c r="L38" i="38"/>
  <c r="L37" i="38" s="1"/>
  <c r="K38" i="38"/>
  <c r="J38" i="38"/>
  <c r="I38" i="38"/>
  <c r="H38" i="38"/>
  <c r="H37" i="38" s="1"/>
  <c r="G38" i="38"/>
  <c r="F38" i="38"/>
  <c r="O37" i="38"/>
  <c r="M37" i="38"/>
  <c r="K37" i="38"/>
  <c r="I37" i="38"/>
  <c r="G37" i="38"/>
  <c r="R36" i="38"/>
  <c r="O36" i="38"/>
  <c r="P36" i="38" s="1"/>
  <c r="O35" i="38"/>
  <c r="P35" i="38" s="1"/>
  <c r="R34" i="38"/>
  <c r="O34" i="38"/>
  <c r="P34" i="38" s="1"/>
  <c r="R33" i="38"/>
  <c r="O33" i="38"/>
  <c r="P33" i="38" s="1"/>
  <c r="R32" i="38"/>
  <c r="O32" i="38"/>
  <c r="P32" i="38" s="1"/>
  <c r="R29" i="38"/>
  <c r="P29" i="38"/>
  <c r="O29" i="38"/>
  <c r="Q29" i="38" s="1"/>
  <c r="M29" i="38"/>
  <c r="L29" i="38"/>
  <c r="K29" i="38"/>
  <c r="J29" i="38"/>
  <c r="I29" i="38"/>
  <c r="H29" i="38"/>
  <c r="G29" i="38"/>
  <c r="F29" i="38"/>
  <c r="R28" i="38"/>
  <c r="O28" i="38"/>
  <c r="P28" i="38" s="1"/>
  <c r="R27" i="38"/>
  <c r="O27" i="38"/>
  <c r="P27" i="38" s="1"/>
  <c r="R26" i="38"/>
  <c r="O26" i="38"/>
  <c r="P26" i="38" s="1"/>
  <c r="R25" i="38"/>
  <c r="O25" i="38"/>
  <c r="P25" i="38" s="1"/>
  <c r="R24" i="38"/>
  <c r="O24" i="38"/>
  <c r="Q24" i="38" s="1"/>
  <c r="R23" i="38"/>
  <c r="O23" i="38"/>
  <c r="P23" i="38" s="1"/>
  <c r="R22" i="38"/>
  <c r="O22" i="38"/>
  <c r="P22" i="38" s="1"/>
  <c r="R21" i="38"/>
  <c r="P21" i="38"/>
  <c r="K18" i="38"/>
  <c r="L18" i="38" s="1"/>
  <c r="J18" i="38"/>
  <c r="I18" i="38"/>
  <c r="H18" i="38"/>
  <c r="G18" i="38"/>
  <c r="F18" i="38"/>
  <c r="R17" i="38"/>
  <c r="O17" i="38"/>
  <c r="P17" i="38" s="1"/>
  <c r="R14" i="38"/>
  <c r="P14" i="38"/>
  <c r="O14" i="38"/>
  <c r="M14" i="38"/>
  <c r="L14" i="38"/>
  <c r="K14" i="38"/>
  <c r="J14" i="38"/>
  <c r="I14" i="38"/>
  <c r="H14" i="38"/>
  <c r="G14" i="38"/>
  <c r="F14" i="38"/>
  <c r="R10" i="38"/>
  <c r="P10" i="38"/>
  <c r="O10" i="38"/>
  <c r="Q10" i="38" s="1"/>
  <c r="Q7" i="38" s="1"/>
  <c r="M10" i="38"/>
  <c r="L10" i="38"/>
  <c r="L7" i="38" s="1"/>
  <c r="K10" i="38"/>
  <c r="J10" i="38"/>
  <c r="J7" i="38" s="1"/>
  <c r="I10" i="38"/>
  <c r="H10" i="38"/>
  <c r="H7" i="38" s="1"/>
  <c r="G10" i="38"/>
  <c r="F10" i="38"/>
  <c r="F7" i="38" s="1"/>
  <c r="R9" i="38"/>
  <c r="O9" i="38"/>
  <c r="P9" i="38" s="1"/>
  <c r="R8" i="38"/>
  <c r="O8" i="38"/>
  <c r="P8" i="38" s="1"/>
  <c r="N7" i="38"/>
  <c r="M7" i="38"/>
  <c r="M6" i="38" s="1"/>
  <c r="I7" i="38"/>
  <c r="I6" i="38" s="1"/>
  <c r="L6" i="38" l="1"/>
  <c r="H6" i="38"/>
  <c r="R7" i="38"/>
  <c r="R6" i="38" s="1"/>
  <c r="G7" i="38"/>
  <c r="G6" i="38" s="1"/>
  <c r="K7" i="38"/>
  <c r="K6" i="38" s="1"/>
  <c r="Q77" i="38"/>
  <c r="Q44" i="38"/>
  <c r="Q37" i="38" s="1"/>
  <c r="Q6" i="38" s="1"/>
  <c r="Q50" i="38"/>
  <c r="Q66" i="38"/>
  <c r="Q38" i="38"/>
  <c r="F37" i="38"/>
  <c r="F6" i="38" s="1"/>
  <c r="J37" i="38"/>
  <c r="J6" i="38" s="1"/>
  <c r="N37" i="38"/>
  <c r="N6" i="38" s="1"/>
  <c r="Q58" i="38"/>
  <c r="P7" i="38"/>
  <c r="P6" i="38" s="1"/>
  <c r="O7" i="38"/>
  <c r="O6" i="38" s="1"/>
  <c r="C17" i="37" l="1"/>
  <c r="C16" i="37"/>
  <c r="C15" i="37"/>
  <c r="C14" i="37"/>
  <c r="C13" i="37"/>
  <c r="C12" i="37"/>
  <c r="C11" i="37"/>
  <c r="G10" i="37"/>
  <c r="F10" i="37"/>
  <c r="E10" i="37"/>
  <c r="D10" i="37"/>
  <c r="C10" i="37"/>
  <c r="C8" i="37"/>
  <c r="F12" i="36"/>
  <c r="C10" i="36"/>
  <c r="C9" i="36"/>
  <c r="C8" i="36"/>
  <c r="H7" i="36"/>
  <c r="H14" i="36" s="1"/>
  <c r="G7" i="36"/>
  <c r="G14" i="36" s="1"/>
  <c r="F7" i="36"/>
  <c r="F14" i="36" s="1"/>
  <c r="E7" i="36"/>
  <c r="E14" i="36" s="1"/>
  <c r="D7" i="36"/>
  <c r="D14" i="36" s="1"/>
  <c r="C7" i="36" l="1"/>
  <c r="C14" i="36" s="1"/>
  <c r="F15" i="36"/>
  <c r="F16" i="36"/>
  <c r="D16" i="36"/>
  <c r="D15" i="36"/>
  <c r="H16" i="36"/>
  <c r="H15" i="36"/>
  <c r="E15" i="36"/>
  <c r="E16" i="36"/>
  <c r="C16" i="36"/>
  <c r="C15" i="36"/>
  <c r="G16" i="36"/>
  <c r="G15" i="36"/>
  <c r="D32" i="35" l="1"/>
  <c r="D44" i="34" l="1"/>
  <c r="I44" i="34" s="1"/>
  <c r="D43" i="34"/>
  <c r="J43" i="34" s="1"/>
  <c r="D42" i="34"/>
  <c r="L41" i="34"/>
  <c r="D41" i="34"/>
  <c r="J41" i="34" s="1"/>
  <c r="D40" i="34"/>
  <c r="J40" i="34" s="1"/>
  <c r="D39" i="34"/>
  <c r="I39" i="34" s="1"/>
  <c r="D38" i="34"/>
  <c r="J38" i="34" s="1"/>
  <c r="D37" i="34"/>
  <c r="I37" i="34" s="1"/>
  <c r="D36" i="34"/>
  <c r="I36" i="34" s="1"/>
  <c r="D35" i="34"/>
  <c r="I35" i="34" s="1"/>
  <c r="D34" i="34"/>
  <c r="D33" i="34"/>
  <c r="D32" i="34"/>
  <c r="D31" i="34"/>
  <c r="I31" i="34" s="1"/>
  <c r="D30" i="34"/>
  <c r="I30" i="34" s="1"/>
  <c r="D29" i="34"/>
  <c r="I29" i="34" s="1"/>
  <c r="D28" i="34"/>
  <c r="I28" i="34" s="1"/>
  <c r="D27" i="34"/>
  <c r="I27" i="34" s="1"/>
  <c r="D26" i="34"/>
  <c r="I26" i="34" s="1"/>
  <c r="D25" i="34"/>
  <c r="I25" i="34" s="1"/>
  <c r="D24" i="34"/>
  <c r="I24" i="34" s="1"/>
  <c r="D23" i="34"/>
  <c r="I23" i="34" s="1"/>
  <c r="D22" i="34"/>
  <c r="I22" i="34" s="1"/>
  <c r="D21" i="34"/>
  <c r="I21" i="34" s="1"/>
  <c r="D20" i="34"/>
  <c r="I20" i="34" s="1"/>
  <c r="D19" i="34"/>
  <c r="I19" i="34" s="1"/>
  <c r="D18" i="34"/>
  <c r="I18" i="34" s="1"/>
  <c r="D17" i="34"/>
  <c r="I17" i="34" s="1"/>
  <c r="D16" i="34"/>
  <c r="I16" i="34" s="1"/>
  <c r="D15" i="34"/>
  <c r="J15" i="34" s="1"/>
  <c r="D14" i="34"/>
  <c r="I14" i="34" s="1"/>
  <c r="D13" i="34"/>
  <c r="I13" i="34" s="1"/>
  <c r="K12" i="34"/>
  <c r="K11" i="34" s="1"/>
  <c r="H12" i="34"/>
  <c r="G12" i="34"/>
  <c r="G11" i="34" s="1"/>
  <c r="F12" i="34"/>
  <c r="E12" i="34"/>
  <c r="E11" i="34" s="1"/>
  <c r="C12" i="34"/>
  <c r="C11" i="34" s="1"/>
  <c r="H11" i="34"/>
  <c r="F11" i="34"/>
  <c r="D12" i="34" l="1"/>
  <c r="D11" i="34" s="1"/>
  <c r="L32" i="34"/>
  <c r="J32" i="34"/>
  <c r="L34" i="34"/>
  <c r="I34" i="34"/>
  <c r="J42" i="34"/>
  <c r="L42" i="34"/>
  <c r="I12" i="34"/>
  <c r="I11" i="34" s="1"/>
  <c r="J19" i="34"/>
  <c r="L40" i="34"/>
  <c r="L43" i="34" s="1"/>
  <c r="J12" i="34" l="1"/>
  <c r="J11" i="34" s="1"/>
  <c r="E115" i="24" l="1"/>
  <c r="D115" i="24"/>
  <c r="C115" i="24"/>
  <c r="F115" i="24" s="1"/>
  <c r="E107" i="24"/>
  <c r="D107" i="24"/>
  <c r="C107" i="24"/>
  <c r="E99" i="24"/>
  <c r="D99" i="24"/>
  <c r="C99" i="24"/>
  <c r="E83" i="24"/>
  <c r="D83" i="24"/>
  <c r="C83" i="24"/>
  <c r="E71" i="24"/>
  <c r="D71" i="24"/>
  <c r="C71" i="24"/>
  <c r="F71" i="24" s="1"/>
  <c r="E53" i="24"/>
  <c r="D53" i="24"/>
  <c r="C53" i="24"/>
  <c r="F53" i="24" s="1"/>
  <c r="E38" i="24"/>
  <c r="D38" i="24"/>
  <c r="C38" i="24"/>
  <c r="E26" i="24"/>
  <c r="D26" i="24"/>
  <c r="C26" i="24"/>
  <c r="E11" i="24"/>
  <c r="D11" i="24"/>
  <c r="C11" i="24"/>
  <c r="G112" i="25"/>
  <c r="D112" i="25"/>
  <c r="D104" i="25"/>
  <c r="D96" i="25"/>
  <c r="D80" i="25"/>
  <c r="D68" i="25"/>
  <c r="D50" i="25"/>
  <c r="D35" i="25"/>
  <c r="D23" i="25"/>
  <c r="D8" i="25"/>
  <c r="K7" i="25"/>
  <c r="J7" i="25"/>
  <c r="I7" i="25"/>
  <c r="H7" i="25"/>
  <c r="G7" i="25"/>
  <c r="F7" i="25"/>
  <c r="E7" i="25"/>
  <c r="C7" i="25"/>
  <c r="D10" i="24" l="1"/>
  <c r="F107" i="24"/>
  <c r="E10" i="24"/>
  <c r="F38" i="24"/>
  <c r="F99" i="24"/>
  <c r="F26" i="24"/>
  <c r="F83" i="24"/>
  <c r="L7" i="25"/>
  <c r="D7" i="25"/>
  <c r="F11" i="24"/>
  <c r="C10" i="24"/>
  <c r="F10" i="24" s="1"/>
  <c r="C16" i="19" l="1"/>
  <c r="C15" i="19" s="1"/>
  <c r="F16" i="19"/>
  <c r="F15" i="19" s="1"/>
  <c r="G16" i="19"/>
  <c r="D17" i="19"/>
  <c r="D18" i="19"/>
  <c r="D19" i="19"/>
  <c r="D20" i="19"/>
  <c r="D21" i="19"/>
  <c r="D22" i="19"/>
  <c r="D23" i="19"/>
  <c r="D24" i="19"/>
  <c r="D25" i="19"/>
  <c r="D26" i="19"/>
  <c r="D27" i="19"/>
  <c r="D28" i="19"/>
  <c r="D29" i="19"/>
  <c r="D30" i="19"/>
  <c r="D31" i="19"/>
  <c r="D32" i="19"/>
  <c r="D33" i="19"/>
  <c r="D34" i="19"/>
  <c r="D35" i="19"/>
  <c r="D36" i="19"/>
  <c r="D37" i="19"/>
  <c r="D38" i="19"/>
  <c r="D39" i="19"/>
  <c r="D40" i="19"/>
  <c r="D41" i="19"/>
  <c r="D42" i="19"/>
  <c r="D43" i="19"/>
  <c r="D44" i="19"/>
  <c r="D45" i="19"/>
  <c r="D46" i="19"/>
  <c r="D47" i="19"/>
  <c r="D48" i="19"/>
  <c r="D49" i="19"/>
  <c r="D50" i="19"/>
  <c r="D51" i="19"/>
  <c r="D52" i="19"/>
  <c r="D53" i="19"/>
  <c r="C56" i="19"/>
  <c r="D56" i="19"/>
  <c r="E56" i="19"/>
  <c r="F56" i="19"/>
  <c r="G56" i="19"/>
  <c r="F57" i="19"/>
  <c r="D60" i="19"/>
  <c r="C57" i="19"/>
  <c r="D63" i="19"/>
  <c r="D69" i="19"/>
  <c r="D73" i="19"/>
  <c r="E89" i="19"/>
  <c r="D93" i="19"/>
  <c r="C106" i="19"/>
  <c r="C105" i="19" s="1"/>
  <c r="D110" i="19"/>
  <c r="C113" i="19"/>
  <c r="C112" i="19" s="1"/>
  <c r="E113" i="19"/>
  <c r="E112" i="19" s="1"/>
  <c r="F113" i="19"/>
  <c r="F112" i="19" s="1"/>
  <c r="G113" i="19"/>
  <c r="G112" i="19" s="1"/>
  <c r="D114" i="19"/>
  <c r="D115" i="19"/>
  <c r="D116" i="19"/>
  <c r="D118" i="19"/>
  <c r="D119" i="19"/>
  <c r="C120" i="19"/>
  <c r="F120" i="19"/>
  <c r="C123" i="19"/>
  <c r="C122" i="19" s="1"/>
  <c r="E123" i="19"/>
  <c r="E122" i="19" s="1"/>
  <c r="F123" i="19"/>
  <c r="F122" i="19" s="1"/>
  <c r="G123" i="19"/>
  <c r="G122" i="19" s="1"/>
  <c r="D124" i="19"/>
  <c r="D123" i="19" s="1"/>
  <c r="D122" i="19" s="1"/>
  <c r="C126" i="19"/>
  <c r="C125" i="19" s="1"/>
  <c r="E126" i="19"/>
  <c r="E125" i="19" s="1"/>
  <c r="F126" i="19"/>
  <c r="F125" i="19" s="1"/>
  <c r="G126" i="19"/>
  <c r="G125" i="19" s="1"/>
  <c r="D128" i="19"/>
  <c r="D129" i="19"/>
  <c r="D130" i="19"/>
  <c r="D131" i="19"/>
  <c r="C134" i="19"/>
  <c r="D146" i="19"/>
  <c r="D154" i="19"/>
  <c r="D155" i="19"/>
  <c r="D156" i="19"/>
  <c r="D157" i="19"/>
  <c r="D159" i="19"/>
  <c r="C163" i="19"/>
  <c r="F163" i="19"/>
  <c r="D164" i="19"/>
  <c r="D165" i="19"/>
  <c r="D166" i="19"/>
  <c r="E163" i="19"/>
  <c r="G163" i="19"/>
  <c r="D185" i="19"/>
  <c r="D199" i="19"/>
  <c r="D200" i="19"/>
  <c r="D202" i="19"/>
  <c r="D203" i="19"/>
  <c r="D208" i="19"/>
  <c r="D209" i="19"/>
  <c r="D210" i="19"/>
  <c r="D213" i="19"/>
  <c r="D214" i="19"/>
  <c r="D197" i="19" l="1"/>
  <c r="D160" i="19"/>
  <c r="F104" i="19"/>
  <c r="D82" i="19"/>
  <c r="D196" i="19"/>
  <c r="D198" i="19"/>
  <c r="D194" i="19"/>
  <c r="D101" i="19"/>
  <c r="E104" i="19"/>
  <c r="D97" i="19"/>
  <c r="D88" i="19"/>
  <c r="D87" i="19"/>
  <c r="D85" i="19"/>
  <c r="D81" i="19"/>
  <c r="D72" i="19"/>
  <c r="D71" i="19"/>
  <c r="D70" i="19"/>
  <c r="D224" i="19"/>
  <c r="D211" i="19"/>
  <c r="C133" i="19"/>
  <c r="E106" i="19"/>
  <c r="E105" i="19" s="1"/>
  <c r="D61" i="19"/>
  <c r="D66" i="19" s="1"/>
  <c r="D221" i="19"/>
  <c r="D201" i="19"/>
  <c r="D192" i="19"/>
  <c r="D174" i="19"/>
  <c r="D167" i="19"/>
  <c r="D163" i="19" s="1"/>
  <c r="D162" i="19" s="1"/>
  <c r="D153" i="19"/>
  <c r="D126" i="19"/>
  <c r="D125" i="19" s="1"/>
  <c r="D100" i="19"/>
  <c r="D99" i="19"/>
  <c r="E92" i="19"/>
  <c r="C89" i="19"/>
  <c r="D84" i="19"/>
  <c r="D74" i="19"/>
  <c r="D62" i="19"/>
  <c r="G77" i="19"/>
  <c r="D222" i="19"/>
  <c r="C169" i="19"/>
  <c r="D184" i="19"/>
  <c r="D183" i="19"/>
  <c r="D172" i="19"/>
  <c r="D171" i="19" s="1"/>
  <c r="D96" i="19"/>
  <c r="G89" i="19"/>
  <c r="D80" i="19"/>
  <c r="D76" i="19"/>
  <c r="E57" i="19"/>
  <c r="F14" i="19"/>
  <c r="E134" i="19"/>
  <c r="E133" i="19" s="1"/>
  <c r="D223" i="19"/>
  <c r="D102" i="19"/>
  <c r="G104" i="19"/>
  <c r="D90" i="19"/>
  <c r="E16" i="19"/>
  <c r="E15" i="19" s="1"/>
  <c r="D142" i="19"/>
  <c r="D16" i="19"/>
  <c r="D151" i="19"/>
  <c r="D220" i="19"/>
  <c r="D212" i="19"/>
  <c r="D188" i="19"/>
  <c r="D179" i="19"/>
  <c r="D175" i="19"/>
  <c r="D135" i="19"/>
  <c r="D113" i="19"/>
  <c r="D112" i="19" s="1"/>
  <c r="C104" i="19"/>
  <c r="D95" i="19"/>
  <c r="D83" i="19"/>
  <c r="D78" i="19"/>
  <c r="C14" i="19"/>
  <c r="D191" i="19"/>
  <c r="G120" i="19"/>
  <c r="G106" i="19"/>
  <c r="G105" i="19" s="1"/>
  <c r="E77" i="19"/>
  <c r="G15" i="19"/>
  <c r="D207" i="19"/>
  <c r="F92" i="19"/>
  <c r="D204" i="19"/>
  <c r="D189" i="19"/>
  <c r="D187" i="19"/>
  <c r="D186" i="19" s="1"/>
  <c r="D177" i="19"/>
  <c r="E120" i="19"/>
  <c r="D103" i="19"/>
  <c r="D98" i="19"/>
  <c r="G92" i="19"/>
  <c r="G68" i="19" s="1"/>
  <c r="G67" i="19" s="1"/>
  <c r="C92" i="19"/>
  <c r="D86" i="19"/>
  <c r="C77" i="19"/>
  <c r="D75" i="19"/>
  <c r="D141" i="19"/>
  <c r="D140" i="19"/>
  <c r="D139" i="19"/>
  <c r="D138" i="19"/>
  <c r="D137" i="19"/>
  <c r="D136" i="19"/>
  <c r="D91" i="19"/>
  <c r="F89" i="19"/>
  <c r="D79" i="19"/>
  <c r="F77" i="19"/>
  <c r="D94" i="19"/>
  <c r="D176" i="19" l="1"/>
  <c r="E14" i="19"/>
  <c r="D92" i="19"/>
  <c r="C68" i="19"/>
  <c r="C67" i="19" s="1"/>
  <c r="D89" i="19"/>
  <c r="E68" i="19"/>
  <c r="E67" i="19" s="1"/>
  <c r="D55" i="19"/>
  <c r="D15" i="19" s="1"/>
  <c r="D195" i="19"/>
  <c r="D193" i="19" s="1"/>
  <c r="D206" i="19"/>
  <c r="D205" i="19" s="1"/>
  <c r="D190" i="19"/>
  <c r="F68" i="19"/>
  <c r="F67" i="19" s="1"/>
  <c r="G134" i="19"/>
  <c r="G133" i="19" s="1"/>
  <c r="D148" i="19"/>
  <c r="F106" i="19"/>
  <c r="F105" i="19" s="1"/>
  <c r="D108" i="19"/>
  <c r="D106" i="19" s="1"/>
  <c r="D105" i="19" s="1"/>
  <c r="D104" i="19"/>
  <c r="D77" i="19"/>
  <c r="G57" i="19"/>
  <c r="G14" i="19" s="1"/>
  <c r="D59" i="19"/>
  <c r="D57" i="19" s="1"/>
  <c r="F134" i="19"/>
  <c r="F133" i="19" s="1"/>
  <c r="F169" i="19"/>
  <c r="D144" i="19"/>
  <c r="D121" i="19"/>
  <c r="D120" i="19" s="1"/>
  <c r="D219" i="19"/>
  <c r="D218" i="19" s="1"/>
  <c r="D217" i="19" s="1"/>
  <c r="D170" i="19" l="1"/>
  <c r="D68" i="19"/>
  <c r="D67" i="19" s="1"/>
  <c r="D134" i="19"/>
  <c r="D133" i="19" s="1"/>
  <c r="D14" i="19"/>
  <c r="S250" i="4" l="1"/>
  <c r="R250" i="4"/>
  <c r="Q250" i="4"/>
  <c r="S249" i="4"/>
  <c r="R249" i="4"/>
  <c r="Q249" i="4"/>
  <c r="S248" i="4"/>
  <c r="R248" i="4"/>
  <c r="Q248" i="4"/>
  <c r="S247" i="4"/>
  <c r="R247" i="4"/>
  <c r="Q247" i="4"/>
  <c r="S246" i="4"/>
  <c r="R246" i="4"/>
  <c r="Q246" i="4"/>
  <c r="S245" i="4"/>
  <c r="R245" i="4"/>
  <c r="Q245" i="4"/>
  <c r="S244" i="4"/>
  <c r="R244" i="4"/>
  <c r="Q244" i="4"/>
  <c r="S243" i="4"/>
  <c r="R243" i="4"/>
  <c r="Q243" i="4"/>
  <c r="S242" i="4"/>
  <c r="R242" i="4"/>
  <c r="Q242" i="4"/>
  <c r="S241" i="4"/>
  <c r="R241" i="4"/>
  <c r="Q241" i="4"/>
  <c r="S238" i="4"/>
  <c r="R238" i="4"/>
  <c r="Q238" i="4"/>
  <c r="S237" i="4"/>
  <c r="R237" i="4"/>
  <c r="Q237" i="4"/>
  <c r="S236" i="4"/>
  <c r="R236" i="4"/>
  <c r="Q236" i="4"/>
  <c r="S235" i="4"/>
  <c r="R235" i="4"/>
  <c r="Q235" i="4"/>
  <c r="S234" i="4"/>
  <c r="R234" i="4"/>
  <c r="Q234" i="4"/>
  <c r="S233" i="4"/>
  <c r="R233" i="4"/>
  <c r="Q233" i="4"/>
  <c r="S232" i="4"/>
  <c r="R232" i="4"/>
  <c r="Q232" i="4"/>
  <c r="S231" i="4"/>
  <c r="R231" i="4"/>
  <c r="Q231" i="4"/>
  <c r="S230" i="4"/>
  <c r="R230" i="4"/>
  <c r="Q230" i="4"/>
  <c r="S229" i="4"/>
  <c r="R229" i="4"/>
  <c r="Q229" i="4"/>
  <c r="S228" i="4"/>
  <c r="R228" i="4"/>
  <c r="Q228" i="4"/>
  <c r="S227" i="4"/>
  <c r="R227" i="4"/>
  <c r="Q227" i="4"/>
  <c r="S226" i="4"/>
  <c r="R226" i="4"/>
  <c r="Q226" i="4"/>
  <c r="S225" i="4"/>
  <c r="R225" i="4"/>
  <c r="Q225" i="4"/>
  <c r="S224" i="4"/>
  <c r="R224" i="4"/>
  <c r="Q224" i="4"/>
  <c r="S223" i="4"/>
  <c r="R223" i="4"/>
  <c r="Q223" i="4"/>
  <c r="S221" i="4"/>
  <c r="R221" i="4"/>
  <c r="Q221" i="4"/>
  <c r="S220" i="4"/>
  <c r="R220" i="4"/>
  <c r="Q220" i="4"/>
  <c r="S219" i="4"/>
  <c r="R219" i="4"/>
  <c r="Q219" i="4"/>
  <c r="S218" i="4"/>
  <c r="R218" i="4"/>
  <c r="Q218" i="4"/>
  <c r="S217" i="4"/>
  <c r="R217" i="4"/>
  <c r="Q217" i="4"/>
  <c r="S216" i="4"/>
  <c r="R216" i="4"/>
  <c r="Q216" i="4"/>
  <c r="S213" i="4"/>
  <c r="R213" i="4"/>
  <c r="Q213" i="4"/>
  <c r="S212" i="4"/>
  <c r="R212" i="4"/>
  <c r="Q212" i="4"/>
  <c r="S211" i="4"/>
  <c r="R211" i="4"/>
  <c r="Q211" i="4"/>
  <c r="S210" i="4"/>
  <c r="R210" i="4"/>
  <c r="Q210" i="4"/>
  <c r="S209" i="4"/>
  <c r="R209" i="4"/>
  <c r="Q209" i="4"/>
  <c r="S208" i="4"/>
  <c r="R208" i="4"/>
  <c r="Q208" i="4"/>
  <c r="S207" i="4"/>
  <c r="R207" i="4"/>
  <c r="Q207" i="4"/>
  <c r="S206" i="4"/>
  <c r="R206" i="4"/>
  <c r="Q206" i="4"/>
  <c r="S205" i="4"/>
  <c r="R205" i="4"/>
  <c r="Q205" i="4"/>
  <c r="S204" i="4"/>
  <c r="R204" i="4"/>
  <c r="Q204" i="4"/>
  <c r="S203" i="4"/>
  <c r="R203" i="4"/>
  <c r="Q203" i="4"/>
  <c r="S200" i="4"/>
  <c r="R200" i="4"/>
  <c r="Q200" i="4"/>
  <c r="S199" i="4"/>
  <c r="R199" i="4"/>
  <c r="Q199" i="4"/>
  <c r="S197" i="4"/>
  <c r="R197" i="4"/>
  <c r="Q197" i="4"/>
  <c r="S196" i="4"/>
  <c r="R196" i="4"/>
  <c r="Q196" i="4"/>
  <c r="S194" i="4"/>
  <c r="R194" i="4"/>
  <c r="Q194" i="4"/>
  <c r="S193" i="4"/>
  <c r="R193" i="4"/>
  <c r="Q193" i="4"/>
  <c r="S192" i="4"/>
  <c r="R192" i="4"/>
  <c r="Q192" i="4"/>
  <c r="S191" i="4"/>
  <c r="R191" i="4"/>
  <c r="Q191" i="4"/>
  <c r="S190" i="4"/>
  <c r="R190" i="4"/>
  <c r="Q190" i="4"/>
  <c r="S188" i="4"/>
  <c r="R188" i="4"/>
  <c r="Q188" i="4"/>
  <c r="S187" i="4"/>
  <c r="R187" i="4"/>
  <c r="Q187" i="4"/>
  <c r="S186" i="4"/>
  <c r="R186" i="4"/>
  <c r="Q186" i="4"/>
  <c r="S184" i="4"/>
  <c r="R184" i="4"/>
  <c r="Q184" i="4"/>
  <c r="S183" i="4"/>
  <c r="R183" i="4"/>
  <c r="Q183" i="4"/>
  <c r="S182" i="4"/>
  <c r="R182" i="4"/>
  <c r="Q182" i="4"/>
  <c r="S181" i="4"/>
  <c r="R181" i="4"/>
  <c r="Q181" i="4"/>
  <c r="S180" i="4"/>
  <c r="R180" i="4"/>
  <c r="Q180" i="4"/>
  <c r="S176" i="4"/>
  <c r="R176" i="4"/>
  <c r="Q176" i="4"/>
  <c r="S175" i="4"/>
  <c r="R175" i="4"/>
  <c r="Q175" i="4"/>
  <c r="S174" i="4"/>
  <c r="R174" i="4"/>
  <c r="Q174" i="4"/>
  <c r="S173" i="4"/>
  <c r="R173" i="4"/>
  <c r="Q173" i="4"/>
  <c r="S172" i="4"/>
  <c r="R172" i="4"/>
  <c r="Q172" i="4"/>
  <c r="S171" i="4"/>
  <c r="R171" i="4"/>
  <c r="Q171" i="4"/>
  <c r="S170" i="4"/>
  <c r="R170" i="4"/>
  <c r="Q170" i="4"/>
  <c r="S169" i="4"/>
  <c r="R169" i="4"/>
  <c r="Q169" i="4"/>
  <c r="S168" i="4"/>
  <c r="R168" i="4"/>
  <c r="Q168" i="4"/>
  <c r="S167" i="4"/>
  <c r="R167" i="4"/>
  <c r="Q167" i="4"/>
  <c r="S165" i="4"/>
  <c r="R165" i="4"/>
  <c r="Q165" i="4"/>
  <c r="S164" i="4"/>
  <c r="R164" i="4"/>
  <c r="Q164" i="4"/>
  <c r="S156" i="4"/>
  <c r="R156" i="4"/>
  <c r="Q156" i="4"/>
  <c r="S162" i="4"/>
  <c r="R162" i="4"/>
  <c r="Q162" i="4"/>
  <c r="S161" i="4"/>
  <c r="R161" i="4"/>
  <c r="Q161" i="4"/>
  <c r="S160" i="4"/>
  <c r="R160" i="4"/>
  <c r="Q160" i="4"/>
  <c r="S159" i="4"/>
  <c r="R159" i="4"/>
  <c r="Q159" i="4"/>
  <c r="S158" i="4"/>
  <c r="R158" i="4"/>
  <c r="Q158" i="4"/>
  <c r="S157" i="4"/>
  <c r="R157" i="4"/>
  <c r="Q157" i="4"/>
  <c r="S155" i="4"/>
  <c r="R155" i="4"/>
  <c r="Q155" i="4"/>
  <c r="S154" i="4"/>
  <c r="R154" i="4"/>
  <c r="Q154" i="4"/>
  <c r="S152" i="4"/>
  <c r="R152" i="4"/>
  <c r="Q152" i="4"/>
  <c r="S151" i="4"/>
  <c r="R151" i="4"/>
  <c r="Q151" i="4"/>
  <c r="S150" i="4"/>
  <c r="R150" i="4"/>
  <c r="Q150" i="4"/>
  <c r="S149" i="4"/>
  <c r="R149" i="4"/>
  <c r="Q149" i="4"/>
  <c r="S148" i="4"/>
  <c r="R148" i="4"/>
  <c r="Q148" i="4"/>
  <c r="S144" i="4"/>
  <c r="R144" i="4"/>
  <c r="Q144" i="4"/>
  <c r="S143" i="4"/>
  <c r="R143" i="4"/>
  <c r="Q143" i="4"/>
  <c r="S142" i="4"/>
  <c r="R142" i="4"/>
  <c r="Q142" i="4"/>
  <c r="S141" i="4"/>
  <c r="R141" i="4"/>
  <c r="Q141" i="4"/>
  <c r="S140" i="4"/>
  <c r="R140" i="4"/>
  <c r="Q140" i="4"/>
  <c r="S139" i="4"/>
  <c r="R139" i="4"/>
  <c r="Q139" i="4"/>
  <c r="S136" i="4"/>
  <c r="R136" i="4"/>
  <c r="Q136" i="4"/>
  <c r="S134" i="4"/>
  <c r="R134" i="4"/>
  <c r="Q134" i="4"/>
  <c r="S131" i="4"/>
  <c r="R131" i="4"/>
  <c r="Q131" i="4"/>
  <c r="S130" i="4"/>
  <c r="R130" i="4"/>
  <c r="Q130" i="4"/>
  <c r="S129" i="4"/>
  <c r="R129" i="4"/>
  <c r="Q129" i="4"/>
  <c r="S128" i="4"/>
  <c r="R128" i="4"/>
  <c r="Q128" i="4"/>
  <c r="S127" i="4"/>
  <c r="R127" i="4"/>
  <c r="Q127" i="4"/>
  <c r="S123" i="4"/>
  <c r="R123" i="4"/>
  <c r="Q123" i="4"/>
  <c r="S122" i="4"/>
  <c r="R122" i="4"/>
  <c r="Q122" i="4"/>
  <c r="S121" i="4"/>
  <c r="R121" i="4"/>
  <c r="Q121" i="4"/>
  <c r="S120" i="4"/>
  <c r="R120" i="4"/>
  <c r="Q120" i="4"/>
  <c r="S119" i="4"/>
  <c r="R119" i="4"/>
  <c r="Q119" i="4"/>
  <c r="S118" i="4"/>
  <c r="R118" i="4"/>
  <c r="Q118" i="4"/>
  <c r="S115" i="4"/>
  <c r="R115" i="4"/>
  <c r="Q115" i="4"/>
  <c r="S114" i="4"/>
  <c r="R114" i="4"/>
  <c r="Q114" i="4"/>
  <c r="S113" i="4"/>
  <c r="R113" i="4"/>
  <c r="Q113" i="4"/>
  <c r="S112" i="4"/>
  <c r="R112" i="4"/>
  <c r="Q112" i="4"/>
  <c r="S111" i="4"/>
  <c r="R111" i="4"/>
  <c r="Q111" i="4"/>
  <c r="S110" i="4"/>
  <c r="R110" i="4"/>
  <c r="Q110" i="4"/>
  <c r="S109" i="4"/>
  <c r="R109" i="4"/>
  <c r="Q109" i="4"/>
  <c r="S108" i="4"/>
  <c r="R108" i="4"/>
  <c r="Q108" i="4"/>
  <c r="S107" i="4"/>
  <c r="R107" i="4"/>
  <c r="Q107" i="4"/>
  <c r="S106" i="4"/>
  <c r="R106" i="4"/>
  <c r="Q106" i="4"/>
  <c r="S104" i="4"/>
  <c r="R104" i="4"/>
  <c r="Q104" i="4"/>
  <c r="S103" i="4"/>
  <c r="R103" i="4"/>
  <c r="Q103" i="4"/>
  <c r="S100" i="4"/>
  <c r="R100" i="4"/>
  <c r="Q100" i="4"/>
  <c r="S99" i="4"/>
  <c r="R99" i="4"/>
  <c r="Q99" i="4"/>
  <c r="S97" i="4"/>
  <c r="R97" i="4"/>
  <c r="Q97" i="4"/>
  <c r="S96" i="4"/>
  <c r="R96" i="4"/>
  <c r="Q96" i="4"/>
  <c r="S95" i="4"/>
  <c r="R95" i="4"/>
  <c r="Q95" i="4"/>
  <c r="S94" i="4"/>
  <c r="R94" i="4"/>
  <c r="Q94" i="4"/>
  <c r="S93" i="4"/>
  <c r="R93" i="4"/>
  <c r="Q93" i="4"/>
  <c r="S92" i="4"/>
  <c r="R92" i="4"/>
  <c r="Q92" i="4"/>
  <c r="S91" i="4"/>
  <c r="R91" i="4"/>
  <c r="Q91" i="4"/>
  <c r="S90" i="4"/>
  <c r="R90" i="4"/>
  <c r="Q90" i="4"/>
  <c r="S89" i="4"/>
  <c r="R89" i="4"/>
  <c r="Q89" i="4"/>
  <c r="S88" i="4"/>
  <c r="R88" i="4"/>
  <c r="Q88" i="4"/>
  <c r="S87" i="4"/>
  <c r="R87" i="4"/>
  <c r="Q87" i="4"/>
  <c r="S86" i="4"/>
  <c r="R86" i="4"/>
  <c r="Q86" i="4"/>
  <c r="S85" i="4"/>
  <c r="R85" i="4"/>
  <c r="Q85" i="4"/>
  <c r="S81" i="4"/>
  <c r="R81" i="4"/>
  <c r="Q81" i="4"/>
  <c r="S80" i="4"/>
  <c r="R80" i="4"/>
  <c r="Q80" i="4"/>
  <c r="S79" i="4"/>
  <c r="R79" i="4"/>
  <c r="Q79" i="4"/>
  <c r="S78" i="4"/>
  <c r="R78" i="4"/>
  <c r="Q78" i="4"/>
  <c r="S77" i="4"/>
  <c r="R77" i="4"/>
  <c r="Q77" i="4"/>
  <c r="S76" i="4"/>
  <c r="R76" i="4"/>
  <c r="Q76" i="4"/>
  <c r="S75" i="4"/>
  <c r="R75" i="4"/>
  <c r="Q75" i="4"/>
  <c r="S74" i="4"/>
  <c r="R74" i="4"/>
  <c r="Q74" i="4"/>
  <c r="S72" i="4"/>
  <c r="R72" i="4"/>
  <c r="Q72" i="4"/>
  <c r="S71" i="4"/>
  <c r="R71" i="4"/>
  <c r="Q71" i="4"/>
  <c r="S70" i="4"/>
  <c r="R70" i="4"/>
  <c r="Q70" i="4"/>
  <c r="S69" i="4"/>
  <c r="R69" i="4"/>
  <c r="Q69" i="4"/>
  <c r="S68" i="4"/>
  <c r="R68" i="4"/>
  <c r="Q68" i="4"/>
  <c r="S67" i="4"/>
  <c r="R67" i="4"/>
  <c r="Q67" i="4"/>
  <c r="S66" i="4"/>
  <c r="R66" i="4"/>
  <c r="Q66" i="4"/>
  <c r="S65" i="4"/>
  <c r="R65" i="4"/>
  <c r="Q65" i="4"/>
  <c r="S64" i="4"/>
  <c r="R64" i="4"/>
  <c r="Q64" i="4"/>
  <c r="S63" i="4"/>
  <c r="R63" i="4"/>
  <c r="Q63" i="4"/>
  <c r="S62" i="4"/>
  <c r="R62" i="4"/>
  <c r="Q62" i="4"/>
  <c r="S61" i="4"/>
  <c r="R61" i="4"/>
  <c r="Q61" i="4"/>
  <c r="S60" i="4"/>
  <c r="R60" i="4"/>
  <c r="Q60" i="4"/>
  <c r="S59" i="4"/>
  <c r="R59" i="4"/>
  <c r="Q59" i="4"/>
  <c r="S58" i="4"/>
  <c r="R58" i="4"/>
  <c r="Q58" i="4"/>
  <c r="S57" i="4"/>
  <c r="R57" i="4"/>
  <c r="Q57" i="4"/>
  <c r="S56" i="4"/>
  <c r="R56" i="4"/>
  <c r="Q56" i="4"/>
  <c r="S55" i="4"/>
  <c r="R55" i="4"/>
  <c r="Q55" i="4"/>
  <c r="S54" i="4"/>
  <c r="R54" i="4"/>
  <c r="Q54" i="4"/>
  <c r="S53" i="4"/>
  <c r="R53" i="4"/>
  <c r="Q53" i="4"/>
  <c r="S52" i="4"/>
  <c r="R52" i="4"/>
  <c r="Q52" i="4"/>
  <c r="S51" i="4"/>
  <c r="R51" i="4"/>
  <c r="Q51" i="4"/>
  <c r="S50" i="4"/>
  <c r="R50" i="4"/>
  <c r="Q50" i="4"/>
  <c r="S49" i="4"/>
  <c r="R49" i="4"/>
  <c r="Q49" i="4"/>
  <c r="S48" i="4"/>
  <c r="R48" i="4"/>
  <c r="Q48" i="4"/>
  <c r="S47" i="4"/>
  <c r="R47" i="4"/>
  <c r="Q47" i="4"/>
  <c r="S46" i="4"/>
  <c r="R46" i="4"/>
  <c r="Q46" i="4"/>
  <c r="S45" i="4"/>
  <c r="R45" i="4"/>
  <c r="Q45" i="4"/>
  <c r="S44" i="4"/>
  <c r="R44" i="4"/>
  <c r="Q44" i="4"/>
  <c r="S43" i="4"/>
  <c r="R43" i="4"/>
  <c r="Q43" i="4"/>
  <c r="S42" i="4"/>
  <c r="R42" i="4"/>
  <c r="Q42" i="4"/>
  <c r="S41" i="4"/>
  <c r="R41" i="4"/>
  <c r="Q41" i="4"/>
  <c r="S40" i="4"/>
  <c r="R40" i="4"/>
  <c r="Q40" i="4"/>
  <c r="S39" i="4"/>
  <c r="R39" i="4"/>
  <c r="Q39" i="4"/>
  <c r="S38" i="4"/>
  <c r="R38" i="4"/>
  <c r="Q38" i="4"/>
  <c r="S37" i="4"/>
  <c r="R37" i="4"/>
  <c r="Q37" i="4"/>
  <c r="S36" i="4"/>
  <c r="R36" i="4"/>
  <c r="Q36" i="4"/>
  <c r="S35" i="4"/>
  <c r="R35" i="4"/>
  <c r="Q35" i="4"/>
  <c r="S34" i="4"/>
  <c r="R34" i="4"/>
  <c r="Q34" i="4"/>
  <c r="S33" i="4"/>
  <c r="R33" i="4"/>
  <c r="Q33" i="4"/>
  <c r="S32" i="4"/>
  <c r="R32" i="4"/>
  <c r="Q32" i="4"/>
  <c r="S31" i="4"/>
  <c r="R31" i="4"/>
  <c r="Q31" i="4"/>
  <c r="S30" i="4"/>
  <c r="R30" i="4"/>
  <c r="Q30" i="4"/>
  <c r="O250" i="4"/>
  <c r="O249" i="4"/>
  <c r="O248" i="4"/>
  <c r="O247" i="4"/>
  <c r="O246" i="4"/>
  <c r="O245" i="4"/>
  <c r="O244" i="4"/>
  <c r="O243" i="4"/>
  <c r="O242" i="4"/>
  <c r="O241" i="4"/>
  <c r="O238" i="4"/>
  <c r="O237" i="4"/>
  <c r="O236" i="4"/>
  <c r="O235" i="4"/>
  <c r="O234" i="4"/>
  <c r="O233" i="4"/>
  <c r="O232" i="4"/>
  <c r="O231" i="4"/>
  <c r="O230" i="4"/>
  <c r="O229" i="4"/>
  <c r="O228" i="4"/>
  <c r="O227" i="4"/>
  <c r="O226" i="4"/>
  <c r="O225" i="4"/>
  <c r="O224" i="4"/>
  <c r="O223" i="4"/>
  <c r="O221" i="4"/>
  <c r="O220" i="4"/>
  <c r="O219" i="4"/>
  <c r="O218" i="4"/>
  <c r="O217" i="4"/>
  <c r="O216" i="4"/>
  <c r="O213" i="4"/>
  <c r="O212" i="4"/>
  <c r="O211" i="4"/>
  <c r="O210" i="4"/>
  <c r="O209" i="4"/>
  <c r="O208" i="4"/>
  <c r="O207" i="4"/>
  <c r="O206" i="4"/>
  <c r="O204" i="4"/>
  <c r="O203" i="4"/>
  <c r="O201" i="4"/>
  <c r="O200" i="4"/>
  <c r="O199" i="4"/>
  <c r="O197" i="4"/>
  <c r="O196" i="4"/>
  <c r="O194" i="4"/>
  <c r="O193" i="4"/>
  <c r="O192" i="4"/>
  <c r="O191" i="4"/>
  <c r="O190" i="4"/>
  <c r="O188" i="4"/>
  <c r="O187" i="4"/>
  <c r="O186" i="4"/>
  <c r="O184" i="4"/>
  <c r="O183" i="4"/>
  <c r="O181" i="4"/>
  <c r="O180" i="4"/>
  <c r="O176" i="4"/>
  <c r="O175" i="4"/>
  <c r="O174" i="4"/>
  <c r="O173" i="4"/>
  <c r="O172" i="4"/>
  <c r="O171" i="4"/>
  <c r="O170" i="4"/>
  <c r="O169" i="4"/>
  <c r="O168" i="4"/>
  <c r="O167" i="4"/>
  <c r="O165" i="4"/>
  <c r="O164" i="4"/>
  <c r="O162" i="4"/>
  <c r="O161" i="4"/>
  <c r="O160" i="4"/>
  <c r="O159" i="4"/>
  <c r="O158" i="4"/>
  <c r="O157" i="4"/>
  <c r="O156" i="4"/>
  <c r="O155" i="4"/>
  <c r="O154" i="4"/>
  <c r="O152" i="4"/>
  <c r="O151" i="4"/>
  <c r="O150" i="4"/>
  <c r="O149" i="4"/>
  <c r="O148" i="4"/>
  <c r="O144" i="4"/>
  <c r="O143" i="4"/>
  <c r="O142" i="4"/>
  <c r="O141" i="4"/>
  <c r="O140" i="4"/>
  <c r="O139" i="4"/>
  <c r="O136" i="4"/>
  <c r="O134" i="4"/>
  <c r="O131" i="4"/>
  <c r="O130" i="4"/>
  <c r="O129" i="4"/>
  <c r="O128" i="4"/>
  <c r="O127" i="4"/>
  <c r="O123" i="4"/>
  <c r="O122" i="4"/>
  <c r="O121" i="4"/>
  <c r="O120" i="4"/>
  <c r="O119" i="4"/>
  <c r="O118" i="4"/>
  <c r="O115" i="4"/>
  <c r="O114" i="4"/>
  <c r="O113" i="4"/>
  <c r="O112" i="4"/>
  <c r="O111" i="4"/>
  <c r="O110" i="4"/>
  <c r="O109" i="4"/>
  <c r="O108" i="4"/>
  <c r="O107" i="4"/>
  <c r="O106" i="4"/>
  <c r="O104" i="4"/>
  <c r="O103" i="4"/>
  <c r="O100" i="4"/>
  <c r="O99" i="4"/>
  <c r="O97" i="4"/>
  <c r="O96" i="4"/>
  <c r="O95" i="4"/>
  <c r="O94" i="4"/>
  <c r="O93" i="4"/>
  <c r="O92" i="4"/>
  <c r="O91" i="4"/>
  <c r="O90" i="4"/>
  <c r="O89" i="4"/>
  <c r="O88" i="4"/>
  <c r="O87" i="4"/>
  <c r="O86" i="4"/>
  <c r="O85" i="4"/>
  <c r="O81" i="4"/>
  <c r="O80" i="4"/>
  <c r="O79" i="4"/>
  <c r="O78" i="4"/>
  <c r="O77" i="4"/>
  <c r="O76" i="4"/>
  <c r="O75" i="4"/>
  <c r="O74" i="4"/>
  <c r="O72" i="4"/>
  <c r="O71" i="4"/>
  <c r="O70" i="4"/>
  <c r="O69" i="4"/>
  <c r="O68" i="4"/>
  <c r="O67" i="4"/>
  <c r="O66" i="4"/>
  <c r="O65" i="4"/>
  <c r="O64" i="4"/>
  <c r="O63" i="4"/>
  <c r="O62" i="4"/>
  <c r="O61" i="4"/>
  <c r="O60" i="4"/>
  <c r="O59" i="4"/>
  <c r="O58" i="4"/>
  <c r="O57" i="4"/>
  <c r="O56" i="4"/>
  <c r="O55" i="4"/>
  <c r="O54" i="4"/>
  <c r="O53" i="4"/>
  <c r="O52" i="4"/>
  <c r="O51" i="4"/>
  <c r="O50" i="4"/>
  <c r="O49" i="4"/>
  <c r="O48" i="4"/>
  <c r="O47" i="4"/>
  <c r="O46" i="4"/>
  <c r="O45" i="4"/>
  <c r="O44" i="4"/>
  <c r="O43" i="4"/>
  <c r="O42" i="4"/>
  <c r="O41" i="4"/>
  <c r="O40" i="4"/>
  <c r="O39" i="4"/>
  <c r="O38" i="4"/>
  <c r="O37" i="4"/>
  <c r="O36" i="4"/>
  <c r="O35" i="4"/>
  <c r="O34" i="4"/>
  <c r="O33" i="4"/>
  <c r="O32" i="4"/>
  <c r="O31" i="4"/>
  <c r="O30" i="4"/>
  <c r="S537" i="20" l="1"/>
  <c r="R537" i="20"/>
  <c r="Q537" i="20"/>
  <c r="O537" i="20"/>
  <c r="I537" i="20"/>
  <c r="M537" i="20" s="1"/>
  <c r="G537" i="20" s="1"/>
  <c r="S536" i="20"/>
  <c r="R536" i="20"/>
  <c r="Q536" i="20"/>
  <c r="O536" i="20"/>
  <c r="I536" i="20"/>
  <c r="S535" i="20"/>
  <c r="R535" i="20"/>
  <c r="Q535" i="20"/>
  <c r="P535" i="20" s="1"/>
  <c r="O535" i="20"/>
  <c r="I535" i="20"/>
  <c r="M535" i="20" s="1"/>
  <c r="G535" i="20" s="1"/>
  <c r="S534" i="20"/>
  <c r="R534" i="20"/>
  <c r="Q534" i="20"/>
  <c r="O534" i="20"/>
  <c r="I534" i="20"/>
  <c r="M534" i="20" s="1"/>
  <c r="G534" i="20" s="1"/>
  <c r="S533" i="20"/>
  <c r="R533" i="20"/>
  <c r="Q533" i="20"/>
  <c r="O533" i="20"/>
  <c r="I533" i="20"/>
  <c r="M533" i="20" s="1"/>
  <c r="G533" i="20" s="1"/>
  <c r="S532" i="20"/>
  <c r="R532" i="20"/>
  <c r="Q532" i="20"/>
  <c r="O532" i="20"/>
  <c r="I532" i="20"/>
  <c r="S531" i="20"/>
  <c r="R531" i="20"/>
  <c r="Q531" i="20"/>
  <c r="P531" i="20" s="1"/>
  <c r="O531" i="20"/>
  <c r="I531" i="20"/>
  <c r="M531" i="20" s="1"/>
  <c r="G531" i="20"/>
  <c r="S530" i="20"/>
  <c r="R530" i="20"/>
  <c r="Q530" i="20"/>
  <c r="O530" i="20"/>
  <c r="I530" i="20"/>
  <c r="M530" i="20" s="1"/>
  <c r="S529" i="20"/>
  <c r="R529" i="20"/>
  <c r="Q529" i="20"/>
  <c r="O529" i="20"/>
  <c r="I529" i="20"/>
  <c r="M529" i="20" s="1"/>
  <c r="G529" i="20" s="1"/>
  <c r="S528" i="20"/>
  <c r="R528" i="20"/>
  <c r="R527" i="20" s="1"/>
  <c r="Q528" i="20"/>
  <c r="O528" i="20"/>
  <c r="I528" i="20"/>
  <c r="L527" i="20"/>
  <c r="K527" i="20"/>
  <c r="J527" i="20"/>
  <c r="H527" i="20"/>
  <c r="F527" i="20"/>
  <c r="E527" i="20"/>
  <c r="D527" i="20"/>
  <c r="C527" i="20"/>
  <c r="S526" i="20"/>
  <c r="R526" i="20"/>
  <c r="Q526" i="20"/>
  <c r="P526" i="20" s="1"/>
  <c r="O526" i="20"/>
  <c r="I526" i="20"/>
  <c r="M526" i="20" s="1"/>
  <c r="G526" i="20" s="1"/>
  <c r="S525" i="20"/>
  <c r="R525" i="20"/>
  <c r="Q525" i="20"/>
  <c r="O525" i="20"/>
  <c r="I525" i="20"/>
  <c r="M525" i="20" s="1"/>
  <c r="G525" i="20" s="1"/>
  <c r="S524" i="20"/>
  <c r="R524" i="20"/>
  <c r="Q524" i="20"/>
  <c r="O524" i="20"/>
  <c r="I524" i="20"/>
  <c r="S523" i="20"/>
  <c r="R523" i="20"/>
  <c r="Q523" i="20"/>
  <c r="P523" i="20" s="1"/>
  <c r="O523" i="20"/>
  <c r="I523" i="20"/>
  <c r="M523" i="20" s="1"/>
  <c r="G523" i="20" s="1"/>
  <c r="S522" i="20"/>
  <c r="R522" i="20"/>
  <c r="Q522" i="20"/>
  <c r="O522" i="20"/>
  <c r="I522" i="20"/>
  <c r="M522" i="20" s="1"/>
  <c r="G522" i="20" s="1"/>
  <c r="S521" i="20"/>
  <c r="R521" i="20"/>
  <c r="Q521" i="20"/>
  <c r="O521" i="20"/>
  <c r="I521" i="20"/>
  <c r="M521" i="20" s="1"/>
  <c r="S520" i="20"/>
  <c r="R520" i="20"/>
  <c r="Q520" i="20"/>
  <c r="O520" i="20"/>
  <c r="I520" i="20"/>
  <c r="S519" i="20"/>
  <c r="R519" i="20"/>
  <c r="Q519" i="20"/>
  <c r="P519" i="20" s="1"/>
  <c r="O519" i="20"/>
  <c r="I519" i="20"/>
  <c r="M519" i="20" s="1"/>
  <c r="G519" i="20" s="1"/>
  <c r="S518" i="20"/>
  <c r="R518" i="20"/>
  <c r="Q518" i="20"/>
  <c r="O518" i="20"/>
  <c r="I518" i="20"/>
  <c r="M518" i="20" s="1"/>
  <c r="G518" i="20" s="1"/>
  <c r="S517" i="20"/>
  <c r="R517" i="20"/>
  <c r="Q517" i="20"/>
  <c r="O517" i="20"/>
  <c r="O516" i="20" s="1"/>
  <c r="I517" i="20"/>
  <c r="L516" i="20"/>
  <c r="K516" i="20"/>
  <c r="J516" i="20"/>
  <c r="I516" i="20"/>
  <c r="H516" i="20"/>
  <c r="F516" i="20"/>
  <c r="E516" i="20"/>
  <c r="D516" i="20"/>
  <c r="C516" i="20"/>
  <c r="S515" i="20"/>
  <c r="R515" i="20"/>
  <c r="Q515" i="20"/>
  <c r="P515" i="20" s="1"/>
  <c r="O515" i="20"/>
  <c r="I515" i="20"/>
  <c r="S514" i="20"/>
  <c r="R514" i="20"/>
  <c r="Q514" i="20"/>
  <c r="O514" i="20"/>
  <c r="I514" i="20"/>
  <c r="S513" i="20"/>
  <c r="R513" i="20"/>
  <c r="Q513" i="20"/>
  <c r="P513" i="20" s="1"/>
  <c r="O513" i="20"/>
  <c r="I513" i="20"/>
  <c r="S512" i="20"/>
  <c r="R512" i="20"/>
  <c r="Q512" i="20"/>
  <c r="O512" i="20"/>
  <c r="I512" i="20"/>
  <c r="S511" i="20"/>
  <c r="R511" i="20"/>
  <c r="Q511" i="20"/>
  <c r="P511" i="20" s="1"/>
  <c r="O511" i="20"/>
  <c r="I511" i="20"/>
  <c r="S510" i="20"/>
  <c r="R510" i="20"/>
  <c r="Q510" i="20"/>
  <c r="O510" i="20"/>
  <c r="I510" i="20"/>
  <c r="S509" i="20"/>
  <c r="R509" i="20"/>
  <c r="Q509" i="20"/>
  <c r="P509" i="20" s="1"/>
  <c r="O509" i="20"/>
  <c r="I509" i="20"/>
  <c r="S508" i="20"/>
  <c r="R508" i="20"/>
  <c r="Q508" i="20"/>
  <c r="O508" i="20"/>
  <c r="I508" i="20"/>
  <c r="S507" i="20"/>
  <c r="R507" i="20"/>
  <c r="Q507" i="20"/>
  <c r="O507" i="20"/>
  <c r="I507" i="20"/>
  <c r="S506" i="20"/>
  <c r="R506" i="20"/>
  <c r="R505" i="20" s="1"/>
  <c r="Q506" i="20"/>
  <c r="O506" i="20"/>
  <c r="I506" i="20"/>
  <c r="O505" i="20"/>
  <c r="L505" i="20"/>
  <c r="K505" i="20"/>
  <c r="J505" i="20"/>
  <c r="H505" i="20"/>
  <c r="F505" i="20"/>
  <c r="E505" i="20"/>
  <c r="D505" i="20"/>
  <c r="C505" i="20"/>
  <c r="S504" i="20"/>
  <c r="R504" i="20"/>
  <c r="Q504" i="20"/>
  <c r="P504" i="20"/>
  <c r="O504" i="20"/>
  <c r="I504" i="20"/>
  <c r="S503" i="20"/>
  <c r="R503" i="20"/>
  <c r="Q503" i="20"/>
  <c r="O503" i="20"/>
  <c r="I503" i="20"/>
  <c r="S502" i="20"/>
  <c r="P502" i="20" s="1"/>
  <c r="R502" i="20"/>
  <c r="Q502" i="20"/>
  <c r="O502" i="20"/>
  <c r="I502" i="20"/>
  <c r="S501" i="20"/>
  <c r="R501" i="20"/>
  <c r="Q501" i="20"/>
  <c r="P501" i="20" s="1"/>
  <c r="O501" i="20"/>
  <c r="I501" i="20"/>
  <c r="S500" i="20"/>
  <c r="R500" i="20"/>
  <c r="P500" i="20" s="1"/>
  <c r="Q500" i="20"/>
  <c r="O500" i="20"/>
  <c r="I500" i="20"/>
  <c r="S499" i="20"/>
  <c r="R499" i="20"/>
  <c r="Q499" i="20"/>
  <c r="O499" i="20"/>
  <c r="I499" i="20"/>
  <c r="S498" i="20"/>
  <c r="R498" i="20"/>
  <c r="Q498" i="20"/>
  <c r="P498" i="20" s="1"/>
  <c r="O498" i="20"/>
  <c r="I498" i="20"/>
  <c r="S497" i="20"/>
  <c r="R497" i="20"/>
  <c r="Q497" i="20"/>
  <c r="O497" i="20"/>
  <c r="I497" i="20"/>
  <c r="S496" i="20"/>
  <c r="R496" i="20"/>
  <c r="Q496" i="20"/>
  <c r="P496" i="20"/>
  <c r="O496" i="20"/>
  <c r="I496" i="20"/>
  <c r="S495" i="20"/>
  <c r="R495" i="20"/>
  <c r="Q495" i="20"/>
  <c r="O495" i="20"/>
  <c r="I495" i="20"/>
  <c r="S494" i="20"/>
  <c r="Q494" i="20"/>
  <c r="O494" i="20"/>
  <c r="L494" i="20"/>
  <c r="K494" i="20"/>
  <c r="J494" i="20"/>
  <c r="H494" i="20"/>
  <c r="F494" i="20"/>
  <c r="E494" i="20"/>
  <c r="D494" i="20"/>
  <c r="C494" i="20"/>
  <c r="S493" i="20"/>
  <c r="R493" i="20"/>
  <c r="Q493" i="20"/>
  <c r="O493" i="20"/>
  <c r="I493" i="20"/>
  <c r="S492" i="20"/>
  <c r="R492" i="20"/>
  <c r="Q492" i="20"/>
  <c r="P492" i="20" s="1"/>
  <c r="O492" i="20"/>
  <c r="I492" i="20"/>
  <c r="S491" i="20"/>
  <c r="R491" i="20"/>
  <c r="Q491" i="20"/>
  <c r="O491" i="20"/>
  <c r="I491" i="20"/>
  <c r="S490" i="20"/>
  <c r="R490" i="20"/>
  <c r="Q490" i="20"/>
  <c r="P490" i="20" s="1"/>
  <c r="O490" i="20"/>
  <c r="I490" i="20"/>
  <c r="S489" i="20"/>
  <c r="R489" i="20"/>
  <c r="Q489" i="20"/>
  <c r="O489" i="20"/>
  <c r="I489" i="20"/>
  <c r="S488" i="20"/>
  <c r="R488" i="20"/>
  <c r="Q488" i="20"/>
  <c r="O488" i="20"/>
  <c r="I488" i="20"/>
  <c r="S487" i="20"/>
  <c r="R487" i="20"/>
  <c r="Q487" i="20"/>
  <c r="O487" i="20"/>
  <c r="I487" i="20"/>
  <c r="S486" i="20"/>
  <c r="R486" i="20"/>
  <c r="Q486" i="20"/>
  <c r="P486" i="20" s="1"/>
  <c r="O486" i="20"/>
  <c r="I486" i="20"/>
  <c r="S485" i="20"/>
  <c r="R485" i="20"/>
  <c r="Q485" i="20"/>
  <c r="O485" i="20"/>
  <c r="I485" i="20"/>
  <c r="S484" i="20"/>
  <c r="R484" i="20"/>
  <c r="R483" i="20" s="1"/>
  <c r="Q484" i="20"/>
  <c r="O484" i="20"/>
  <c r="I484" i="20"/>
  <c r="L483" i="20"/>
  <c r="K483" i="20"/>
  <c r="J483" i="20"/>
  <c r="H483" i="20"/>
  <c r="F483" i="20"/>
  <c r="E483" i="20"/>
  <c r="D483" i="20"/>
  <c r="C483" i="20"/>
  <c r="S482" i="20"/>
  <c r="R482" i="20"/>
  <c r="Q482" i="20"/>
  <c r="P482" i="20" s="1"/>
  <c r="O482" i="20"/>
  <c r="I482" i="20"/>
  <c r="S481" i="20"/>
  <c r="R481" i="20"/>
  <c r="Q481" i="20"/>
  <c r="P481" i="20" s="1"/>
  <c r="O481" i="20"/>
  <c r="I481" i="20"/>
  <c r="S480" i="20"/>
  <c r="R480" i="20"/>
  <c r="Q480" i="20"/>
  <c r="O480" i="20"/>
  <c r="I480" i="20"/>
  <c r="S479" i="20"/>
  <c r="R479" i="20"/>
  <c r="Q479" i="20"/>
  <c r="P479" i="20" s="1"/>
  <c r="O479" i="20"/>
  <c r="I479" i="20"/>
  <c r="S478" i="20"/>
  <c r="R478" i="20"/>
  <c r="Q478" i="20"/>
  <c r="P478" i="20" s="1"/>
  <c r="O478" i="20"/>
  <c r="I478" i="20"/>
  <c r="S477" i="20"/>
  <c r="R477" i="20"/>
  <c r="Q477" i="20"/>
  <c r="P477" i="20"/>
  <c r="O477" i="20"/>
  <c r="I477" i="20"/>
  <c r="S476" i="20"/>
  <c r="R476" i="20"/>
  <c r="Q476" i="20"/>
  <c r="O476" i="20"/>
  <c r="I476" i="20"/>
  <c r="S475" i="20"/>
  <c r="R475" i="20"/>
  <c r="P475" i="20" s="1"/>
  <c r="Q475" i="20"/>
  <c r="O475" i="20"/>
  <c r="I475" i="20"/>
  <c r="S474" i="20"/>
  <c r="R474" i="20"/>
  <c r="Q474" i="20"/>
  <c r="P474" i="20" s="1"/>
  <c r="O474" i="20"/>
  <c r="I474" i="20"/>
  <c r="S473" i="20"/>
  <c r="R473" i="20"/>
  <c r="Q473" i="20"/>
  <c r="P473" i="20" s="1"/>
  <c r="O473" i="20"/>
  <c r="I473" i="20"/>
  <c r="S472" i="20"/>
  <c r="Q472" i="20"/>
  <c r="O472" i="20"/>
  <c r="L472" i="20"/>
  <c r="K472" i="20"/>
  <c r="J472" i="20"/>
  <c r="H472" i="20"/>
  <c r="F472" i="20"/>
  <c r="E472" i="20"/>
  <c r="D472" i="20"/>
  <c r="C472" i="20"/>
  <c r="S471" i="20"/>
  <c r="R471" i="20"/>
  <c r="Q471" i="20"/>
  <c r="P471" i="20" s="1"/>
  <c r="O471" i="20"/>
  <c r="I471" i="20"/>
  <c r="M471" i="20" s="1"/>
  <c r="S470" i="20"/>
  <c r="R470" i="20"/>
  <c r="Q470" i="20"/>
  <c r="O470" i="20"/>
  <c r="I470" i="20"/>
  <c r="M470" i="20" s="1"/>
  <c r="S469" i="20"/>
  <c r="R469" i="20"/>
  <c r="Q469" i="20"/>
  <c r="P469" i="20" s="1"/>
  <c r="O469" i="20"/>
  <c r="I469" i="20"/>
  <c r="M469" i="20" s="1"/>
  <c r="S468" i="20"/>
  <c r="R468" i="20"/>
  <c r="Q468" i="20"/>
  <c r="O468" i="20"/>
  <c r="I468" i="20"/>
  <c r="M468" i="20" s="1"/>
  <c r="S467" i="20"/>
  <c r="R467" i="20"/>
  <c r="Q467" i="20"/>
  <c r="O467" i="20"/>
  <c r="I467" i="20"/>
  <c r="S466" i="20"/>
  <c r="R466" i="20"/>
  <c r="Q466" i="20"/>
  <c r="O466" i="20"/>
  <c r="I466" i="20"/>
  <c r="S465" i="20"/>
  <c r="R465" i="20"/>
  <c r="Q465" i="20"/>
  <c r="P465" i="20" s="1"/>
  <c r="O465" i="20"/>
  <c r="I465" i="20"/>
  <c r="S464" i="20"/>
  <c r="R464" i="20"/>
  <c r="Q464" i="20"/>
  <c r="O464" i="20"/>
  <c r="I464" i="20"/>
  <c r="S463" i="20"/>
  <c r="R463" i="20"/>
  <c r="Q463" i="20"/>
  <c r="O463" i="20"/>
  <c r="I463" i="20"/>
  <c r="S462" i="20"/>
  <c r="R462" i="20"/>
  <c r="Q462" i="20"/>
  <c r="O462" i="20"/>
  <c r="O461" i="20" s="1"/>
  <c r="I462" i="20"/>
  <c r="R461" i="20"/>
  <c r="L461" i="20"/>
  <c r="K461" i="20"/>
  <c r="J461" i="20"/>
  <c r="H461" i="20"/>
  <c r="F461" i="20"/>
  <c r="E461" i="20"/>
  <c r="D461" i="20"/>
  <c r="C461" i="20"/>
  <c r="S460" i="20"/>
  <c r="R460" i="20"/>
  <c r="Q460" i="20"/>
  <c r="O460" i="20"/>
  <c r="I460" i="20"/>
  <c r="S459" i="20"/>
  <c r="R459" i="20"/>
  <c r="Q459" i="20"/>
  <c r="P459" i="20" s="1"/>
  <c r="O459" i="20"/>
  <c r="I459" i="20"/>
  <c r="S458" i="20"/>
  <c r="R458" i="20"/>
  <c r="Q458" i="20"/>
  <c r="O458" i="20"/>
  <c r="I458" i="20"/>
  <c r="S457" i="20"/>
  <c r="R457" i="20"/>
  <c r="Q457" i="20"/>
  <c r="P457" i="20" s="1"/>
  <c r="O457" i="20"/>
  <c r="I457" i="20"/>
  <c r="S456" i="20"/>
  <c r="R456" i="20"/>
  <c r="Q456" i="20"/>
  <c r="O456" i="20"/>
  <c r="I456" i="20"/>
  <c r="S455" i="20"/>
  <c r="R455" i="20"/>
  <c r="Q455" i="20"/>
  <c r="P455" i="20" s="1"/>
  <c r="O455" i="20"/>
  <c r="I455" i="20"/>
  <c r="S454" i="20"/>
  <c r="R454" i="20"/>
  <c r="Q454" i="20"/>
  <c r="O454" i="20"/>
  <c r="I454" i="20"/>
  <c r="S453" i="20"/>
  <c r="R453" i="20"/>
  <c r="Q453" i="20"/>
  <c r="P453" i="20"/>
  <c r="O453" i="20"/>
  <c r="I453" i="20"/>
  <c r="S452" i="20"/>
  <c r="R452" i="20"/>
  <c r="Q452" i="20"/>
  <c r="P452" i="20" s="1"/>
  <c r="O452" i="20"/>
  <c r="I452" i="20"/>
  <c r="S451" i="20"/>
  <c r="S450" i="20" s="1"/>
  <c r="R451" i="20"/>
  <c r="Q451" i="20"/>
  <c r="Q450" i="20" s="1"/>
  <c r="O451" i="20"/>
  <c r="I451" i="20"/>
  <c r="R450" i="20"/>
  <c r="O450" i="20"/>
  <c r="L450" i="20"/>
  <c r="K450" i="20"/>
  <c r="J450" i="20"/>
  <c r="H450" i="20"/>
  <c r="F450" i="20"/>
  <c r="E450" i="20"/>
  <c r="D450" i="20"/>
  <c r="C450" i="20"/>
  <c r="S449" i="20"/>
  <c r="R449" i="20"/>
  <c r="Q449" i="20"/>
  <c r="O449" i="20"/>
  <c r="I449" i="20"/>
  <c r="S448" i="20"/>
  <c r="R448" i="20"/>
  <c r="Q448" i="20"/>
  <c r="P448" i="20" s="1"/>
  <c r="O448" i="20"/>
  <c r="I448" i="20"/>
  <c r="S447" i="20"/>
  <c r="R447" i="20"/>
  <c r="Q447" i="20"/>
  <c r="O447" i="20"/>
  <c r="I447" i="20"/>
  <c r="S446" i="20"/>
  <c r="R446" i="20"/>
  <c r="Q446" i="20"/>
  <c r="O446" i="20"/>
  <c r="I446" i="20"/>
  <c r="S445" i="20"/>
  <c r="R445" i="20"/>
  <c r="Q445" i="20"/>
  <c r="O445" i="20"/>
  <c r="O439" i="20" s="1"/>
  <c r="I445" i="20"/>
  <c r="S444" i="20"/>
  <c r="R444" i="20"/>
  <c r="Q444" i="20"/>
  <c r="P444" i="20" s="1"/>
  <c r="O444" i="20"/>
  <c r="I444" i="20"/>
  <c r="S443" i="20"/>
  <c r="R443" i="20"/>
  <c r="Q443" i="20"/>
  <c r="O443" i="20"/>
  <c r="I443" i="20"/>
  <c r="S442" i="20"/>
  <c r="S439" i="20" s="1"/>
  <c r="R442" i="20"/>
  <c r="Q442" i="20"/>
  <c r="O442" i="20"/>
  <c r="I442" i="20"/>
  <c r="S441" i="20"/>
  <c r="R441" i="20"/>
  <c r="Q441" i="20"/>
  <c r="O441" i="20"/>
  <c r="I441" i="20"/>
  <c r="S440" i="20"/>
  <c r="R440" i="20"/>
  <c r="Q440" i="20"/>
  <c r="Q439" i="20" s="1"/>
  <c r="O440" i="20"/>
  <c r="I440" i="20"/>
  <c r="L439" i="20"/>
  <c r="K439" i="20"/>
  <c r="J439" i="20"/>
  <c r="H439" i="20"/>
  <c r="F439" i="20"/>
  <c r="E439" i="20"/>
  <c r="D439" i="20"/>
  <c r="C439" i="20"/>
  <c r="O438" i="20"/>
  <c r="T438" i="20" s="1"/>
  <c r="N438" i="20" s="1"/>
  <c r="H438" i="20"/>
  <c r="N437" i="20"/>
  <c r="G437" i="20"/>
  <c r="N436" i="20"/>
  <c r="G436" i="20"/>
  <c r="O435" i="20"/>
  <c r="H435" i="20"/>
  <c r="H422" i="20" s="1"/>
  <c r="O434" i="20"/>
  <c r="H434" i="20"/>
  <c r="M434" i="20" s="1"/>
  <c r="T433" i="20"/>
  <c r="N433" i="20"/>
  <c r="M433" i="20"/>
  <c r="G433" i="20" s="1"/>
  <c r="N432" i="20"/>
  <c r="G432" i="20"/>
  <c r="U432" i="20" s="1"/>
  <c r="V432" i="20" s="1"/>
  <c r="N431" i="20"/>
  <c r="G431" i="20"/>
  <c r="N430" i="20"/>
  <c r="G430" i="20"/>
  <c r="U430" i="20" s="1"/>
  <c r="V430" i="20" s="1"/>
  <c r="N429" i="20"/>
  <c r="G429" i="20"/>
  <c r="N428" i="20"/>
  <c r="G428" i="20"/>
  <c r="U428" i="20" s="1"/>
  <c r="V428" i="20" s="1"/>
  <c r="N427" i="20"/>
  <c r="G427" i="20"/>
  <c r="N426" i="20"/>
  <c r="G426" i="20"/>
  <c r="U426" i="20" s="1"/>
  <c r="V426" i="20" s="1"/>
  <c r="N425" i="20"/>
  <c r="G425" i="20"/>
  <c r="N424" i="20"/>
  <c r="G424" i="20"/>
  <c r="U424" i="20" s="1"/>
  <c r="V424" i="20" s="1"/>
  <c r="O423" i="20"/>
  <c r="T423" i="20" s="1"/>
  <c r="H423" i="20"/>
  <c r="M423" i="20" s="1"/>
  <c r="S422" i="20"/>
  <c r="R422" i="20"/>
  <c r="Q422" i="20"/>
  <c r="P422" i="20"/>
  <c r="O422" i="20"/>
  <c r="L422" i="20"/>
  <c r="K422" i="20"/>
  <c r="J422" i="20"/>
  <c r="I422" i="20"/>
  <c r="F422" i="20"/>
  <c r="E422" i="20"/>
  <c r="D422" i="20"/>
  <c r="C422" i="20"/>
  <c r="O421" i="20"/>
  <c r="T421" i="20" s="1"/>
  <c r="H421" i="20"/>
  <c r="M421" i="20" s="1"/>
  <c r="G421" i="20" s="1"/>
  <c r="O420" i="20"/>
  <c r="T420" i="20" s="1"/>
  <c r="H420" i="20"/>
  <c r="M420" i="20" s="1"/>
  <c r="G420" i="20" s="1"/>
  <c r="O419" i="20"/>
  <c r="T419" i="20" s="1"/>
  <c r="H419" i="20"/>
  <c r="M419" i="20" s="1"/>
  <c r="G419" i="20" s="1"/>
  <c r="P418" i="20"/>
  <c r="P414" i="20" s="1"/>
  <c r="O418" i="20"/>
  <c r="T418" i="20" s="1"/>
  <c r="I418" i="20"/>
  <c r="H418" i="20"/>
  <c r="M418" i="20" s="1"/>
  <c r="O417" i="20"/>
  <c r="T417" i="20" s="1"/>
  <c r="H417" i="20"/>
  <c r="M417" i="20" s="1"/>
  <c r="G417" i="20" s="1"/>
  <c r="O416" i="20"/>
  <c r="T416" i="20" s="1"/>
  <c r="H416" i="20"/>
  <c r="M416" i="20" s="1"/>
  <c r="G416" i="20" s="1"/>
  <c r="S415" i="20"/>
  <c r="S414" i="20" s="1"/>
  <c r="R415" i="20"/>
  <c r="Q415" i="20"/>
  <c r="P415" i="20"/>
  <c r="O415" i="20"/>
  <c r="M415" i="20"/>
  <c r="L415" i="20"/>
  <c r="K415" i="20"/>
  <c r="K414" i="20" s="1"/>
  <c r="J415" i="20"/>
  <c r="J414" i="20" s="1"/>
  <c r="I415" i="20"/>
  <c r="I414" i="20" s="1"/>
  <c r="F415" i="20"/>
  <c r="E415" i="20"/>
  <c r="E414" i="20" s="1"/>
  <c r="D415" i="20"/>
  <c r="C415" i="20"/>
  <c r="R414" i="20"/>
  <c r="Q414" i="20"/>
  <c r="L414" i="20"/>
  <c r="F414" i="20"/>
  <c r="D414" i="20"/>
  <c r="C414" i="20"/>
  <c r="O412" i="20"/>
  <c r="T412" i="20" s="1"/>
  <c r="H412" i="20"/>
  <c r="M412" i="20" s="1"/>
  <c r="G412" i="20"/>
  <c r="N411" i="20"/>
  <c r="M411" i="20"/>
  <c r="U411" i="20" s="1"/>
  <c r="V411" i="20" s="1"/>
  <c r="O410" i="20"/>
  <c r="T410" i="20" s="1"/>
  <c r="H410" i="20"/>
  <c r="M410" i="20" s="1"/>
  <c r="O409" i="20"/>
  <c r="T409" i="20" s="1"/>
  <c r="H409" i="20"/>
  <c r="M409" i="20" s="1"/>
  <c r="O408" i="20"/>
  <c r="T408" i="20" s="1"/>
  <c r="H408" i="20"/>
  <c r="M408" i="20" s="1"/>
  <c r="N407" i="20"/>
  <c r="G407" i="20"/>
  <c r="N406" i="20"/>
  <c r="G406" i="20"/>
  <c r="N405" i="20"/>
  <c r="G405" i="20"/>
  <c r="O404" i="20"/>
  <c r="H404" i="20"/>
  <c r="S403" i="20"/>
  <c r="S402" i="20" s="1"/>
  <c r="R403" i="20"/>
  <c r="Q403" i="20"/>
  <c r="P403" i="20"/>
  <c r="P402" i="20" s="1"/>
  <c r="L403" i="20"/>
  <c r="L402" i="20" s="1"/>
  <c r="K403" i="20"/>
  <c r="J403" i="20"/>
  <c r="I403" i="20"/>
  <c r="I402" i="20" s="1"/>
  <c r="F403" i="20"/>
  <c r="E403" i="20"/>
  <c r="D403" i="20"/>
  <c r="D402" i="20" s="1"/>
  <c r="C403" i="20"/>
  <c r="C402" i="20" s="1"/>
  <c r="R402" i="20"/>
  <c r="Q402" i="20"/>
  <c r="K402" i="20"/>
  <c r="J402" i="20"/>
  <c r="F402" i="20"/>
  <c r="E402" i="20"/>
  <c r="O401" i="20"/>
  <c r="H401" i="20"/>
  <c r="M401" i="20" s="1"/>
  <c r="N400" i="20"/>
  <c r="G400" i="20"/>
  <c r="N399" i="20"/>
  <c r="G399" i="20"/>
  <c r="N398" i="20"/>
  <c r="G398" i="20"/>
  <c r="N397" i="20"/>
  <c r="G397" i="20"/>
  <c r="N396" i="20"/>
  <c r="G396" i="20"/>
  <c r="N395" i="20"/>
  <c r="G395" i="20"/>
  <c r="O394" i="20"/>
  <c r="H394" i="20"/>
  <c r="M394" i="20" s="1"/>
  <c r="O393" i="20"/>
  <c r="H393" i="20"/>
  <c r="M393" i="20" s="1"/>
  <c r="N392" i="20"/>
  <c r="N390" i="20" s="1"/>
  <c r="G392" i="20"/>
  <c r="N391" i="20"/>
  <c r="G391" i="20"/>
  <c r="G390" i="20" s="1"/>
  <c r="T390" i="20"/>
  <c r="S390" i="20"/>
  <c r="R390" i="20"/>
  <c r="Q390" i="20"/>
  <c r="P390" i="20"/>
  <c r="O390" i="20"/>
  <c r="M390" i="20"/>
  <c r="L390" i="20"/>
  <c r="K390" i="20"/>
  <c r="J390" i="20"/>
  <c r="I390" i="20"/>
  <c r="H390" i="20"/>
  <c r="F390" i="20"/>
  <c r="E390" i="20"/>
  <c r="E367" i="20" s="1"/>
  <c r="D390" i="20"/>
  <c r="C390" i="20"/>
  <c r="O389" i="20"/>
  <c r="T389" i="20" s="1"/>
  <c r="H389" i="20"/>
  <c r="O388" i="20"/>
  <c r="T388" i="20" s="1"/>
  <c r="H388" i="20"/>
  <c r="M388" i="20" s="1"/>
  <c r="G388" i="20"/>
  <c r="S387" i="20"/>
  <c r="R387" i="20"/>
  <c r="Q387" i="20"/>
  <c r="P387" i="20"/>
  <c r="L387" i="20"/>
  <c r="K387" i="20"/>
  <c r="J387" i="20"/>
  <c r="I387" i="20"/>
  <c r="F387" i="20"/>
  <c r="F367" i="20" s="1"/>
  <c r="F366" i="20" s="1"/>
  <c r="E387" i="20"/>
  <c r="D387" i="20"/>
  <c r="C387" i="20"/>
  <c r="N386" i="20"/>
  <c r="G386" i="20"/>
  <c r="P385" i="20"/>
  <c r="O385" i="20"/>
  <c r="I385" i="20"/>
  <c r="H385" i="20"/>
  <c r="P384" i="20"/>
  <c r="P383" i="20" s="1"/>
  <c r="O384" i="20"/>
  <c r="I384" i="20"/>
  <c r="I383" i="20" s="1"/>
  <c r="H384" i="20"/>
  <c r="S383" i="20"/>
  <c r="R383" i="20"/>
  <c r="Q383" i="20"/>
  <c r="O383" i="20"/>
  <c r="L383" i="20"/>
  <c r="K383" i="20"/>
  <c r="J383" i="20"/>
  <c r="F383" i="20"/>
  <c r="E383" i="20"/>
  <c r="D383" i="20"/>
  <c r="C383" i="20"/>
  <c r="N382" i="20"/>
  <c r="G382" i="20"/>
  <c r="N381" i="20"/>
  <c r="G381" i="20"/>
  <c r="N380" i="20"/>
  <c r="G380" i="20"/>
  <c r="N379" i="20"/>
  <c r="G379" i="20"/>
  <c r="N378" i="20"/>
  <c r="G378" i="20"/>
  <c r="N377" i="20"/>
  <c r="G377" i="20"/>
  <c r="N376" i="20"/>
  <c r="G376" i="20"/>
  <c r="N375" i="20"/>
  <c r="N373" i="20" s="1"/>
  <c r="G375" i="20"/>
  <c r="N374" i="20"/>
  <c r="G374" i="20"/>
  <c r="T373" i="20"/>
  <c r="S373" i="20"/>
  <c r="R373" i="20"/>
  <c r="Q373" i="20"/>
  <c r="P373" i="20"/>
  <c r="O373" i="20"/>
  <c r="M373" i="20"/>
  <c r="L373" i="20"/>
  <c r="K373" i="20"/>
  <c r="J373" i="20"/>
  <c r="I373" i="20"/>
  <c r="H373" i="20"/>
  <c r="G373" i="20"/>
  <c r="F373" i="20"/>
  <c r="E373" i="20"/>
  <c r="D373" i="20"/>
  <c r="D367" i="20" s="1"/>
  <c r="D366" i="20" s="1"/>
  <c r="C373" i="20"/>
  <c r="N372" i="20"/>
  <c r="G372" i="20"/>
  <c r="O371" i="20"/>
  <c r="T371" i="20" s="1"/>
  <c r="H371" i="20"/>
  <c r="M371" i="20" s="1"/>
  <c r="N370" i="20"/>
  <c r="G370" i="20"/>
  <c r="R369" i="20"/>
  <c r="P369" i="20" s="1"/>
  <c r="P368" i="20" s="1"/>
  <c r="O369" i="20"/>
  <c r="O368" i="20" s="1"/>
  <c r="K369" i="20"/>
  <c r="I369" i="20" s="1"/>
  <c r="H369" i="20"/>
  <c r="H368" i="20" s="1"/>
  <c r="S368" i="20"/>
  <c r="S367" i="20" s="1"/>
  <c r="Q368" i="20"/>
  <c r="Q367" i="20" s="1"/>
  <c r="Q366" i="20" s="1"/>
  <c r="L368" i="20"/>
  <c r="K368" i="20"/>
  <c r="K367" i="20" s="1"/>
  <c r="K366" i="20" s="1"/>
  <c r="J368" i="20"/>
  <c r="F368" i="20"/>
  <c r="E368" i="20"/>
  <c r="D368" i="20"/>
  <c r="C368" i="20"/>
  <c r="L367" i="20"/>
  <c r="L366" i="20" s="1"/>
  <c r="C367" i="20"/>
  <c r="N365" i="20"/>
  <c r="G365" i="20"/>
  <c r="N364" i="20"/>
  <c r="G364" i="20"/>
  <c r="N363" i="20"/>
  <c r="N361" i="20" s="1"/>
  <c r="N360" i="20" s="1"/>
  <c r="G363" i="20"/>
  <c r="N362" i="20"/>
  <c r="G362" i="20"/>
  <c r="G361" i="20" s="1"/>
  <c r="G360" i="20" s="1"/>
  <c r="T361" i="20"/>
  <c r="T360" i="20" s="1"/>
  <c r="S361" i="20"/>
  <c r="S360" i="20" s="1"/>
  <c r="R361" i="20"/>
  <c r="R360" i="20" s="1"/>
  <c r="Q361" i="20"/>
  <c r="Q360" i="20" s="1"/>
  <c r="P361" i="20"/>
  <c r="O361" i="20"/>
  <c r="O360" i="20" s="1"/>
  <c r="M361" i="20"/>
  <c r="M360" i="20" s="1"/>
  <c r="L361" i="20"/>
  <c r="K361" i="20"/>
  <c r="K360" i="20" s="1"/>
  <c r="J361" i="20"/>
  <c r="J360" i="20" s="1"/>
  <c r="I361" i="20"/>
  <c r="I360" i="20" s="1"/>
  <c r="H361" i="20"/>
  <c r="H360" i="20" s="1"/>
  <c r="F361" i="20"/>
  <c r="F360" i="20" s="1"/>
  <c r="E361" i="20"/>
  <c r="E360" i="20" s="1"/>
  <c r="D361" i="20"/>
  <c r="D360" i="20" s="1"/>
  <c r="C361" i="20"/>
  <c r="C360" i="20" s="1"/>
  <c r="P360" i="20"/>
  <c r="L360" i="20"/>
  <c r="N359" i="20"/>
  <c r="G359" i="20"/>
  <c r="P358" i="20"/>
  <c r="O358" i="20"/>
  <c r="I358" i="20"/>
  <c r="H358" i="20"/>
  <c r="N357" i="20"/>
  <c r="G357" i="20"/>
  <c r="U357" i="20" s="1"/>
  <c r="V357" i="20" s="1"/>
  <c r="N356" i="20"/>
  <c r="G356" i="20"/>
  <c r="N355" i="20"/>
  <c r="G355" i="20"/>
  <c r="U355" i="20" s="1"/>
  <c r="V355" i="20" s="1"/>
  <c r="O354" i="20"/>
  <c r="H354" i="20"/>
  <c r="M354" i="20" s="1"/>
  <c r="G354" i="20" s="1"/>
  <c r="N353" i="20"/>
  <c r="G353" i="20"/>
  <c r="U353" i="20" s="1"/>
  <c r="V353" i="20" s="1"/>
  <c r="N352" i="20"/>
  <c r="G352" i="20"/>
  <c r="O351" i="20"/>
  <c r="H351" i="20"/>
  <c r="M351" i="20" s="1"/>
  <c r="G351" i="20"/>
  <c r="N350" i="20"/>
  <c r="G350" i="20"/>
  <c r="P349" i="20"/>
  <c r="O349" i="20"/>
  <c r="T349" i="20" s="1"/>
  <c r="I349" i="20"/>
  <c r="H349" i="20"/>
  <c r="N348" i="20"/>
  <c r="G348" i="20"/>
  <c r="U348" i="20" s="1"/>
  <c r="V348" i="20" s="1"/>
  <c r="N347" i="20"/>
  <c r="G347" i="20"/>
  <c r="N346" i="20"/>
  <c r="G346" i="20"/>
  <c r="U346" i="20" s="1"/>
  <c r="V346" i="20" s="1"/>
  <c r="N345" i="20"/>
  <c r="G345" i="20"/>
  <c r="N344" i="20"/>
  <c r="G344" i="20"/>
  <c r="U344" i="20" s="1"/>
  <c r="V344" i="20" s="1"/>
  <c r="N343" i="20"/>
  <c r="G343" i="20"/>
  <c r="N342" i="20"/>
  <c r="G342" i="20"/>
  <c r="U342" i="20" s="1"/>
  <c r="V342" i="20" s="1"/>
  <c r="N341" i="20"/>
  <c r="G341" i="20"/>
  <c r="N340" i="20"/>
  <c r="G340" i="20"/>
  <c r="U340" i="20" s="1"/>
  <c r="V340" i="20" s="1"/>
  <c r="N339" i="20"/>
  <c r="G339" i="20"/>
  <c r="N338" i="20"/>
  <c r="G338" i="20"/>
  <c r="U338" i="20" s="1"/>
  <c r="V338" i="20" s="1"/>
  <c r="N337" i="20"/>
  <c r="G337" i="20"/>
  <c r="N336" i="20"/>
  <c r="G336" i="20"/>
  <c r="U336" i="20" s="1"/>
  <c r="V336" i="20" s="1"/>
  <c r="N335" i="20"/>
  <c r="G335" i="20"/>
  <c r="N334" i="20"/>
  <c r="G334" i="20"/>
  <c r="U334" i="20" s="1"/>
  <c r="V334" i="20" s="1"/>
  <c r="N333" i="20"/>
  <c r="G333" i="20"/>
  <c r="T332" i="20"/>
  <c r="S332" i="20"/>
  <c r="R332" i="20"/>
  <c r="Q332" i="20"/>
  <c r="P332" i="20"/>
  <c r="O332" i="20"/>
  <c r="O331" i="20" s="1"/>
  <c r="N332" i="20"/>
  <c r="M332" i="20"/>
  <c r="L332" i="20"/>
  <c r="K332" i="20"/>
  <c r="K331" i="20" s="1"/>
  <c r="J332" i="20"/>
  <c r="I332" i="20"/>
  <c r="H332" i="20"/>
  <c r="F332" i="20"/>
  <c r="F331" i="20" s="1"/>
  <c r="E332" i="20"/>
  <c r="E331" i="20" s="1"/>
  <c r="D332" i="20"/>
  <c r="D331" i="20" s="1"/>
  <c r="C332" i="20"/>
  <c r="S331" i="20"/>
  <c r="R331" i="20"/>
  <c r="Q331" i="20"/>
  <c r="L331" i="20"/>
  <c r="J331" i="20"/>
  <c r="H331" i="20"/>
  <c r="C331" i="20"/>
  <c r="N330" i="20"/>
  <c r="G330" i="20"/>
  <c r="N329" i="20"/>
  <c r="G329" i="20"/>
  <c r="U329" i="20" s="1"/>
  <c r="V329" i="20" s="1"/>
  <c r="N328" i="20"/>
  <c r="G328" i="20"/>
  <c r="N327" i="20"/>
  <c r="G327" i="20"/>
  <c r="U327" i="20" s="1"/>
  <c r="V327" i="20" s="1"/>
  <c r="N326" i="20"/>
  <c r="N324" i="20" s="1"/>
  <c r="G326" i="20"/>
  <c r="N325" i="20"/>
  <c r="G325" i="20"/>
  <c r="U325" i="20" s="1"/>
  <c r="T324" i="20"/>
  <c r="T323" i="20" s="1"/>
  <c r="S324" i="20"/>
  <c r="S323" i="20" s="1"/>
  <c r="R324" i="20"/>
  <c r="Q324" i="20"/>
  <c r="P324" i="20"/>
  <c r="P323" i="20" s="1"/>
  <c r="O324" i="20"/>
  <c r="O323" i="20" s="1"/>
  <c r="M324" i="20"/>
  <c r="L324" i="20"/>
  <c r="L323" i="20" s="1"/>
  <c r="K324" i="20"/>
  <c r="K323" i="20" s="1"/>
  <c r="J324" i="20"/>
  <c r="I324" i="20"/>
  <c r="H324" i="20"/>
  <c r="H323" i="20" s="1"/>
  <c r="G324" i="20"/>
  <c r="G323" i="20" s="1"/>
  <c r="F324" i="20"/>
  <c r="E324" i="20"/>
  <c r="D324" i="20"/>
  <c r="D323" i="20" s="1"/>
  <c r="C324" i="20"/>
  <c r="C323" i="20" s="1"/>
  <c r="R323" i="20"/>
  <c r="Q323" i="20"/>
  <c r="N323" i="20"/>
  <c r="M323" i="20"/>
  <c r="J323" i="20"/>
  <c r="I323" i="20"/>
  <c r="F323" i="20"/>
  <c r="E323" i="20"/>
  <c r="N322" i="20"/>
  <c r="G322" i="20"/>
  <c r="G321" i="20" s="1"/>
  <c r="G320" i="20" s="1"/>
  <c r="T321" i="20"/>
  <c r="S321" i="20"/>
  <c r="R321" i="20"/>
  <c r="R320" i="20" s="1"/>
  <c r="Q321" i="20"/>
  <c r="Q320" i="20" s="1"/>
  <c r="P321" i="20"/>
  <c r="O321" i="20"/>
  <c r="N321" i="20"/>
  <c r="N320" i="20" s="1"/>
  <c r="M321" i="20"/>
  <c r="M320" i="20" s="1"/>
  <c r="L321" i="20"/>
  <c r="K321" i="20"/>
  <c r="J321" i="20"/>
  <c r="J320" i="20" s="1"/>
  <c r="I321" i="20"/>
  <c r="I320" i="20" s="1"/>
  <c r="H321" i="20"/>
  <c r="F321" i="20"/>
  <c r="F320" i="20" s="1"/>
  <c r="E321" i="20"/>
  <c r="E320" i="20" s="1"/>
  <c r="D321" i="20"/>
  <c r="C321" i="20"/>
  <c r="T320" i="20"/>
  <c r="S320" i="20"/>
  <c r="P320" i="20"/>
  <c r="O320" i="20"/>
  <c r="L320" i="20"/>
  <c r="K320" i="20"/>
  <c r="H320" i="20"/>
  <c r="D320" i="20"/>
  <c r="C320" i="20"/>
  <c r="R319" i="20"/>
  <c r="P319" i="20"/>
  <c r="O319" i="20"/>
  <c r="O318" i="20" s="1"/>
  <c r="K319" i="20"/>
  <c r="I319" i="20" s="1"/>
  <c r="I318" i="20" s="1"/>
  <c r="H319" i="20"/>
  <c r="S318" i="20"/>
  <c r="R318" i="20"/>
  <c r="Q318" i="20"/>
  <c r="L318" i="20"/>
  <c r="K318" i="20"/>
  <c r="J318" i="20"/>
  <c r="H318" i="20"/>
  <c r="F318" i="20"/>
  <c r="E318" i="20"/>
  <c r="D318" i="20"/>
  <c r="C318" i="20"/>
  <c r="N317" i="20"/>
  <c r="G317" i="20"/>
  <c r="N316" i="20"/>
  <c r="G316" i="20"/>
  <c r="N315" i="20"/>
  <c r="G315" i="20"/>
  <c r="N314" i="20"/>
  <c r="G314" i="20"/>
  <c r="N313" i="20"/>
  <c r="G313" i="20"/>
  <c r="N312" i="20"/>
  <c r="G312" i="20"/>
  <c r="T311" i="20"/>
  <c r="S311" i="20"/>
  <c r="S310" i="20" s="1"/>
  <c r="R311" i="20"/>
  <c r="R310" i="20" s="1"/>
  <c r="Q311" i="20"/>
  <c r="P311" i="20"/>
  <c r="O311" i="20"/>
  <c r="O310" i="20" s="1"/>
  <c r="N311" i="20"/>
  <c r="N310" i="20" s="1"/>
  <c r="M311" i="20"/>
  <c r="L311" i="20"/>
  <c r="K311" i="20"/>
  <c r="K310" i="20" s="1"/>
  <c r="J311" i="20"/>
  <c r="J310" i="20" s="1"/>
  <c r="I311" i="20"/>
  <c r="H311" i="20"/>
  <c r="G311" i="20"/>
  <c r="G310" i="20" s="1"/>
  <c r="F311" i="20"/>
  <c r="F310" i="20" s="1"/>
  <c r="E311" i="20"/>
  <c r="D311" i="20"/>
  <c r="C311" i="20"/>
  <c r="C310" i="20" s="1"/>
  <c r="T310" i="20"/>
  <c r="Q310" i="20"/>
  <c r="P310" i="20"/>
  <c r="M310" i="20"/>
  <c r="L310" i="20"/>
  <c r="I310" i="20"/>
  <c r="H310" i="20"/>
  <c r="E310" i="20"/>
  <c r="D310" i="20"/>
  <c r="N309" i="20"/>
  <c r="G309" i="20"/>
  <c r="O308" i="20"/>
  <c r="T308" i="20" s="1"/>
  <c r="T304" i="20" s="1"/>
  <c r="T303" i="20" s="1"/>
  <c r="H308" i="20"/>
  <c r="M308" i="20" s="1"/>
  <c r="M304" i="20" s="1"/>
  <c r="M303" i="20" s="1"/>
  <c r="N307" i="20"/>
  <c r="G307" i="20"/>
  <c r="N306" i="20"/>
  <c r="G306" i="20"/>
  <c r="N305" i="20"/>
  <c r="G305" i="20"/>
  <c r="S304" i="20"/>
  <c r="S303" i="20" s="1"/>
  <c r="R304" i="20"/>
  <c r="Q304" i="20"/>
  <c r="P304" i="20"/>
  <c r="P303" i="20" s="1"/>
  <c r="O304" i="20"/>
  <c r="O303" i="20" s="1"/>
  <c r="L304" i="20"/>
  <c r="K304" i="20"/>
  <c r="J304" i="20"/>
  <c r="J303" i="20" s="1"/>
  <c r="I304" i="20"/>
  <c r="I303" i="20" s="1"/>
  <c r="H304" i="20"/>
  <c r="F304" i="20"/>
  <c r="E304" i="20"/>
  <c r="E303" i="20" s="1"/>
  <c r="D304" i="20"/>
  <c r="D303" i="20" s="1"/>
  <c r="C304" i="20"/>
  <c r="R303" i="20"/>
  <c r="Q303" i="20"/>
  <c r="L303" i="20"/>
  <c r="K303" i="20"/>
  <c r="H303" i="20"/>
  <c r="F303" i="20"/>
  <c r="C303" i="20"/>
  <c r="N300" i="20"/>
  <c r="G300" i="20"/>
  <c r="N299" i="20"/>
  <c r="G299" i="20"/>
  <c r="N298" i="20"/>
  <c r="G298" i="20"/>
  <c r="N297" i="20"/>
  <c r="G297" i="20"/>
  <c r="N296" i="20"/>
  <c r="G296" i="20"/>
  <c r="N295" i="20"/>
  <c r="G295" i="20"/>
  <c r="N294" i="20"/>
  <c r="G294" i="20"/>
  <c r="N293" i="20"/>
  <c r="G293" i="20"/>
  <c r="N292" i="20"/>
  <c r="G292" i="20"/>
  <c r="N291" i="20"/>
  <c r="G291" i="20"/>
  <c r="N289" i="20"/>
  <c r="G289" i="20"/>
  <c r="N288" i="20"/>
  <c r="G288" i="20"/>
  <c r="N287" i="20"/>
  <c r="G287" i="20"/>
  <c r="N286" i="20"/>
  <c r="G286" i="20"/>
  <c r="N285" i="20"/>
  <c r="G285" i="20"/>
  <c r="N284" i="20"/>
  <c r="G284" i="20"/>
  <c r="N283" i="20"/>
  <c r="G283" i="20"/>
  <c r="N282" i="20"/>
  <c r="G282" i="20"/>
  <c r="N281" i="20"/>
  <c r="G281" i="20"/>
  <c r="N280" i="20"/>
  <c r="G280" i="20"/>
  <c r="N279" i="20"/>
  <c r="G279" i="20"/>
  <c r="N278" i="20"/>
  <c r="G278" i="20"/>
  <c r="N277" i="20"/>
  <c r="N275" i="20" s="1"/>
  <c r="G277" i="20"/>
  <c r="N276" i="20"/>
  <c r="G276" i="20"/>
  <c r="G275" i="20" s="1"/>
  <c r="T275" i="20"/>
  <c r="S275" i="20"/>
  <c r="R275" i="20"/>
  <c r="Q275" i="20"/>
  <c r="P275" i="20"/>
  <c r="O275" i="20"/>
  <c r="M275" i="20"/>
  <c r="L275" i="20"/>
  <c r="K275" i="20"/>
  <c r="J275" i="20"/>
  <c r="I275" i="20"/>
  <c r="H275" i="20"/>
  <c r="F275" i="20"/>
  <c r="E275" i="20"/>
  <c r="D275" i="20"/>
  <c r="C275" i="20"/>
  <c r="N272" i="20"/>
  <c r="I272" i="20"/>
  <c r="N271" i="20"/>
  <c r="G271" i="20"/>
  <c r="N270" i="20"/>
  <c r="G270" i="20"/>
  <c r="N269" i="20"/>
  <c r="G269" i="20"/>
  <c r="N268" i="20"/>
  <c r="G268" i="20"/>
  <c r="N267" i="20"/>
  <c r="G267" i="20"/>
  <c r="N266" i="20"/>
  <c r="G266" i="20"/>
  <c r="N265" i="20"/>
  <c r="G265" i="20"/>
  <c r="T264" i="20"/>
  <c r="S264" i="20"/>
  <c r="R264" i="20"/>
  <c r="Q264" i="20"/>
  <c r="P264" i="20"/>
  <c r="O264" i="20"/>
  <c r="N264" i="20"/>
  <c r="M264" i="20"/>
  <c r="L264" i="20"/>
  <c r="K264" i="20"/>
  <c r="J264" i="20"/>
  <c r="H264" i="20"/>
  <c r="F264" i="20"/>
  <c r="E264" i="20"/>
  <c r="D264" i="20"/>
  <c r="C264" i="20"/>
  <c r="N262" i="20"/>
  <c r="G262" i="20"/>
  <c r="N261" i="20"/>
  <c r="G261" i="20"/>
  <c r="N260" i="20"/>
  <c r="G260" i="20"/>
  <c r="G259" i="20" s="1"/>
  <c r="G258" i="20" s="1"/>
  <c r="T259" i="20"/>
  <c r="S259" i="20"/>
  <c r="R259" i="20"/>
  <c r="R258" i="20" s="1"/>
  <c r="Q259" i="20"/>
  <c r="Q258" i="20" s="1"/>
  <c r="Q257" i="20" s="1"/>
  <c r="P259" i="20"/>
  <c r="O259" i="20"/>
  <c r="N259" i="20"/>
  <c r="N258" i="20" s="1"/>
  <c r="M259" i="20"/>
  <c r="M258" i="20" s="1"/>
  <c r="M257" i="20" s="1"/>
  <c r="L259" i="20"/>
  <c r="K259" i="20"/>
  <c r="J259" i="20"/>
  <c r="J258" i="20" s="1"/>
  <c r="I259" i="20"/>
  <c r="I258" i="20" s="1"/>
  <c r="H259" i="20"/>
  <c r="F259" i="20"/>
  <c r="F258" i="20" s="1"/>
  <c r="F257" i="20" s="1"/>
  <c r="E259" i="20"/>
  <c r="E258" i="20" s="1"/>
  <c r="D259" i="20"/>
  <c r="C259" i="20"/>
  <c r="T258" i="20"/>
  <c r="T257" i="20" s="1"/>
  <c r="S258" i="20"/>
  <c r="S257" i="20" s="1"/>
  <c r="P258" i="20"/>
  <c r="P257" i="20" s="1"/>
  <c r="O258" i="20"/>
  <c r="O257" i="20" s="1"/>
  <c r="L258" i="20"/>
  <c r="L257" i="20" s="1"/>
  <c r="K258" i="20"/>
  <c r="K257" i="20" s="1"/>
  <c r="H258" i="20"/>
  <c r="H257" i="20" s="1"/>
  <c r="D258" i="20"/>
  <c r="D257" i="20" s="1"/>
  <c r="C258" i="20"/>
  <c r="C257" i="20" s="1"/>
  <c r="R257" i="20"/>
  <c r="N257" i="20"/>
  <c r="J257" i="20"/>
  <c r="E257" i="20"/>
  <c r="R252" i="20"/>
  <c r="Q252" i="20"/>
  <c r="O252" i="20"/>
  <c r="K252" i="20"/>
  <c r="J252" i="20"/>
  <c r="H252" i="20"/>
  <c r="Q251" i="20"/>
  <c r="P251" i="20" s="1"/>
  <c r="O251" i="20"/>
  <c r="J251" i="20"/>
  <c r="I251" i="20" s="1"/>
  <c r="H251" i="20"/>
  <c r="P250" i="20"/>
  <c r="O250" i="20"/>
  <c r="T250" i="20" s="1"/>
  <c r="I250" i="20"/>
  <c r="H250" i="20"/>
  <c r="M250" i="20" s="1"/>
  <c r="G250" i="20" s="1"/>
  <c r="R249" i="20"/>
  <c r="R236" i="20" s="1"/>
  <c r="Q249" i="20"/>
  <c r="O249" i="20"/>
  <c r="K249" i="20"/>
  <c r="K236" i="20" s="1"/>
  <c r="J249" i="20"/>
  <c r="H249" i="20"/>
  <c r="R248" i="20"/>
  <c r="Q248" i="20"/>
  <c r="P248" i="20" s="1"/>
  <c r="O248" i="20"/>
  <c r="K248" i="20"/>
  <c r="J248" i="20"/>
  <c r="I248" i="20" s="1"/>
  <c r="H248" i="20"/>
  <c r="O247" i="20"/>
  <c r="T247" i="20" s="1"/>
  <c r="H247" i="20"/>
  <c r="M247" i="20" s="1"/>
  <c r="G247" i="20"/>
  <c r="N246" i="20"/>
  <c r="I246" i="20"/>
  <c r="G246" i="20" s="1"/>
  <c r="N245" i="20"/>
  <c r="I245" i="20"/>
  <c r="G245" i="20" s="1"/>
  <c r="Q244" i="20"/>
  <c r="P244" i="20" s="1"/>
  <c r="O244" i="20"/>
  <c r="J244" i="20"/>
  <c r="I244" i="20" s="1"/>
  <c r="H244" i="20"/>
  <c r="O243" i="20"/>
  <c r="H243" i="20"/>
  <c r="M243" i="20" s="1"/>
  <c r="N242" i="20"/>
  <c r="I242" i="20"/>
  <c r="G242" i="20" s="1"/>
  <c r="U242" i="20" s="1"/>
  <c r="V242" i="20" s="1"/>
  <c r="P241" i="20"/>
  <c r="T241" i="20" s="1"/>
  <c r="I241" i="20"/>
  <c r="M241" i="20" s="1"/>
  <c r="N240" i="20"/>
  <c r="I240" i="20"/>
  <c r="G240" i="20" s="1"/>
  <c r="N239" i="20"/>
  <c r="I239" i="20"/>
  <c r="G239" i="20" s="1"/>
  <c r="O238" i="20"/>
  <c r="T238" i="20" s="1"/>
  <c r="N238" i="20" s="1"/>
  <c r="I238" i="20"/>
  <c r="H238" i="20"/>
  <c r="M238" i="20" s="1"/>
  <c r="Q237" i="20"/>
  <c r="P237" i="20" s="1"/>
  <c r="O237" i="20"/>
  <c r="T237" i="20" s="1"/>
  <c r="J237" i="20"/>
  <c r="J236" i="20" s="1"/>
  <c r="H237" i="20"/>
  <c r="M237" i="20" s="1"/>
  <c r="S236" i="20"/>
  <c r="Q236" i="20"/>
  <c r="L236" i="20"/>
  <c r="H236" i="20"/>
  <c r="F236" i="20"/>
  <c r="E236" i="20"/>
  <c r="D236" i="20"/>
  <c r="C236" i="20"/>
  <c r="N235" i="20"/>
  <c r="G235" i="20"/>
  <c r="N234" i="20"/>
  <c r="G234" i="20"/>
  <c r="U234" i="20" s="1"/>
  <c r="V234" i="20" s="1"/>
  <c r="N233" i="20"/>
  <c r="G233" i="20"/>
  <c r="N232" i="20"/>
  <c r="G232" i="20"/>
  <c r="U232" i="20" s="1"/>
  <c r="V232" i="20" s="1"/>
  <c r="Q231" i="20"/>
  <c r="P231" i="20" s="1"/>
  <c r="P229" i="20" s="1"/>
  <c r="P228" i="20" s="1"/>
  <c r="O231" i="20"/>
  <c r="J231" i="20"/>
  <c r="I231" i="20"/>
  <c r="I229" i="20" s="1"/>
  <c r="I228" i="20" s="1"/>
  <c r="H231" i="20"/>
  <c r="N230" i="20"/>
  <c r="G230" i="20"/>
  <c r="U230" i="20" s="1"/>
  <c r="S229" i="20"/>
  <c r="S228" i="20" s="1"/>
  <c r="R229" i="20"/>
  <c r="R228" i="20" s="1"/>
  <c r="O229" i="20"/>
  <c r="L229" i="20"/>
  <c r="K229" i="20"/>
  <c r="K228" i="20" s="1"/>
  <c r="J229" i="20"/>
  <c r="H229" i="20"/>
  <c r="H228" i="20" s="1"/>
  <c r="F229" i="20"/>
  <c r="F228" i="20" s="1"/>
  <c r="E229" i="20"/>
  <c r="D229" i="20"/>
  <c r="C229" i="20"/>
  <c r="C228" i="20" s="1"/>
  <c r="O228" i="20"/>
  <c r="L228" i="20"/>
  <c r="J228" i="20"/>
  <c r="E228" i="20"/>
  <c r="D228" i="20"/>
  <c r="N226" i="20"/>
  <c r="G226" i="20"/>
  <c r="U226" i="20" s="1"/>
  <c r="V226" i="20" s="1"/>
  <c r="N225" i="20"/>
  <c r="G225" i="20"/>
  <c r="N224" i="20"/>
  <c r="G224" i="20"/>
  <c r="U224" i="20" s="1"/>
  <c r="V224" i="20" s="1"/>
  <c r="O223" i="20"/>
  <c r="T223" i="20" s="1"/>
  <c r="H223" i="20"/>
  <c r="F217" i="20"/>
  <c r="F216" i="20" s="1"/>
  <c r="N222" i="20"/>
  <c r="G222" i="20"/>
  <c r="N221" i="20"/>
  <c r="G221" i="20"/>
  <c r="N220" i="20"/>
  <c r="G220" i="20"/>
  <c r="N219" i="20"/>
  <c r="G219" i="20"/>
  <c r="N218" i="20"/>
  <c r="G218" i="20"/>
  <c r="S217" i="20"/>
  <c r="S216" i="20" s="1"/>
  <c r="R217" i="20"/>
  <c r="Q217" i="20"/>
  <c r="P217" i="20"/>
  <c r="P216" i="20" s="1"/>
  <c r="L217" i="20"/>
  <c r="K217" i="20"/>
  <c r="J217" i="20"/>
  <c r="J216" i="20" s="1"/>
  <c r="I217" i="20"/>
  <c r="E217" i="20"/>
  <c r="D217" i="20"/>
  <c r="D216" i="20" s="1"/>
  <c r="C217" i="20"/>
  <c r="C216" i="20" s="1"/>
  <c r="R216" i="20"/>
  <c r="Q216" i="20"/>
  <c r="L216" i="20"/>
  <c r="K216" i="20"/>
  <c r="I216" i="20"/>
  <c r="E216" i="20"/>
  <c r="N215" i="20"/>
  <c r="G215" i="20"/>
  <c r="N214" i="20"/>
  <c r="G214" i="20"/>
  <c r="N213" i="20"/>
  <c r="G213" i="20"/>
  <c r="N212" i="20"/>
  <c r="G212" i="20"/>
  <c r="N211" i="20"/>
  <c r="G211" i="20"/>
  <c r="N210" i="20"/>
  <c r="G210" i="20"/>
  <c r="N209" i="20"/>
  <c r="G209" i="20"/>
  <c r="N208" i="20"/>
  <c r="G208" i="20"/>
  <c r="N207" i="20"/>
  <c r="G207" i="20"/>
  <c r="Q206" i="20"/>
  <c r="P206" i="20" s="1"/>
  <c r="O206" i="20"/>
  <c r="O204" i="20" s="1"/>
  <c r="J206" i="20"/>
  <c r="I206" i="20" s="1"/>
  <c r="I204" i="20" s="1"/>
  <c r="H206" i="20"/>
  <c r="N205" i="20"/>
  <c r="G205" i="20"/>
  <c r="S204" i="20"/>
  <c r="R204" i="20"/>
  <c r="L204" i="20"/>
  <c r="K204" i="20"/>
  <c r="H204" i="20"/>
  <c r="F204" i="20"/>
  <c r="E204" i="20"/>
  <c r="D204" i="20"/>
  <c r="C204" i="20"/>
  <c r="N203" i="20"/>
  <c r="N201" i="20" s="1"/>
  <c r="G203" i="20"/>
  <c r="N202" i="20"/>
  <c r="G202" i="20"/>
  <c r="T201" i="20"/>
  <c r="S201" i="20"/>
  <c r="R201" i="20"/>
  <c r="Q201" i="20"/>
  <c r="P201" i="20"/>
  <c r="O201" i="20"/>
  <c r="M201" i="20"/>
  <c r="L201" i="20"/>
  <c r="K201" i="20"/>
  <c r="J201" i="20"/>
  <c r="I201" i="20"/>
  <c r="H201" i="20"/>
  <c r="G201" i="20"/>
  <c r="F201" i="20"/>
  <c r="E201" i="20"/>
  <c r="D201" i="20"/>
  <c r="C201" i="20"/>
  <c r="N200" i="20"/>
  <c r="G200" i="20"/>
  <c r="P199" i="20"/>
  <c r="P197" i="20" s="1"/>
  <c r="O199" i="20"/>
  <c r="I199" i="20"/>
  <c r="I197" i="20" s="1"/>
  <c r="H199" i="20"/>
  <c r="N198" i="20"/>
  <c r="G198" i="20"/>
  <c r="S197" i="20"/>
  <c r="R197" i="20"/>
  <c r="Q197" i="20"/>
  <c r="L197" i="20"/>
  <c r="L181" i="20" s="1"/>
  <c r="L180" i="20" s="1"/>
  <c r="K197" i="20"/>
  <c r="J197" i="20"/>
  <c r="H197" i="20"/>
  <c r="F197" i="20"/>
  <c r="E197" i="20"/>
  <c r="D197" i="20"/>
  <c r="C197" i="20"/>
  <c r="N196" i="20"/>
  <c r="G196" i="20"/>
  <c r="N195" i="20"/>
  <c r="G195" i="20"/>
  <c r="N194" i="20"/>
  <c r="G194" i="20"/>
  <c r="P193" i="20"/>
  <c r="O193" i="20"/>
  <c r="T193" i="20" s="1"/>
  <c r="I193" i="20"/>
  <c r="I187" i="20" s="1"/>
  <c r="H193" i="20"/>
  <c r="N192" i="20"/>
  <c r="G192" i="20"/>
  <c r="P191" i="20"/>
  <c r="P187" i="20" s="1"/>
  <c r="O191" i="20"/>
  <c r="I191" i="20"/>
  <c r="H191" i="20"/>
  <c r="M191" i="20" s="1"/>
  <c r="N190" i="20"/>
  <c r="G190" i="20"/>
  <c r="N189" i="20"/>
  <c r="G189" i="20"/>
  <c r="N188" i="20"/>
  <c r="G188" i="20"/>
  <c r="S187" i="20"/>
  <c r="R187" i="20"/>
  <c r="R181" i="20" s="1"/>
  <c r="R180" i="20" s="1"/>
  <c r="Q187" i="20"/>
  <c r="L187" i="20"/>
  <c r="K187" i="20"/>
  <c r="J187" i="20"/>
  <c r="H187" i="20"/>
  <c r="F187" i="20"/>
  <c r="F181" i="20" s="1"/>
  <c r="E187" i="20"/>
  <c r="D187" i="20"/>
  <c r="C187" i="20"/>
  <c r="N186" i="20"/>
  <c r="G186" i="20"/>
  <c r="N185" i="20"/>
  <c r="G185" i="20"/>
  <c r="O184" i="20"/>
  <c r="H184" i="20"/>
  <c r="M184" i="20" s="1"/>
  <c r="P183" i="20"/>
  <c r="I183" i="20"/>
  <c r="M183" i="20" s="1"/>
  <c r="M182" i="20" s="1"/>
  <c r="S182" i="20"/>
  <c r="S181" i="20" s="1"/>
  <c r="S180" i="20" s="1"/>
  <c r="R182" i="20"/>
  <c r="Q182" i="20"/>
  <c r="P182" i="20"/>
  <c r="O182" i="20"/>
  <c r="L182" i="20"/>
  <c r="K182" i="20"/>
  <c r="J182" i="20"/>
  <c r="H182" i="20"/>
  <c r="H181" i="20" s="1"/>
  <c r="F182" i="20"/>
  <c r="E182" i="20"/>
  <c r="D182" i="20"/>
  <c r="D181" i="20" s="1"/>
  <c r="D180" i="20" s="1"/>
  <c r="C182" i="20"/>
  <c r="C181" i="20" s="1"/>
  <c r="C180" i="20" s="1"/>
  <c r="K181" i="20"/>
  <c r="K180" i="20" s="1"/>
  <c r="E181" i="20"/>
  <c r="E180" i="20" s="1"/>
  <c r="N179" i="20"/>
  <c r="G179" i="20"/>
  <c r="N178" i="20"/>
  <c r="G178" i="20"/>
  <c r="N177" i="20"/>
  <c r="G177" i="20"/>
  <c r="N176" i="20"/>
  <c r="G176" i="20"/>
  <c r="T175" i="20"/>
  <c r="S175" i="20"/>
  <c r="S174" i="20" s="1"/>
  <c r="R175" i="20"/>
  <c r="R174" i="20" s="1"/>
  <c r="Q175" i="20"/>
  <c r="P175" i="20"/>
  <c r="O175" i="20"/>
  <c r="O174" i="20" s="1"/>
  <c r="N175" i="20"/>
  <c r="N174" i="20" s="1"/>
  <c r="M175" i="20"/>
  <c r="L175" i="20"/>
  <c r="K175" i="20"/>
  <c r="K174" i="20" s="1"/>
  <c r="J175" i="20"/>
  <c r="J174" i="20" s="1"/>
  <c r="I175" i="20"/>
  <c r="H175" i="20"/>
  <c r="G175" i="20"/>
  <c r="G174" i="20" s="1"/>
  <c r="F175" i="20"/>
  <c r="F174" i="20" s="1"/>
  <c r="E175" i="20"/>
  <c r="D175" i="20"/>
  <c r="C175" i="20"/>
  <c r="C174" i="20" s="1"/>
  <c r="T174" i="20"/>
  <c r="Q174" i="20"/>
  <c r="P174" i="20"/>
  <c r="M174" i="20"/>
  <c r="L174" i="20"/>
  <c r="I174" i="20"/>
  <c r="H174" i="20"/>
  <c r="E174" i="20"/>
  <c r="D174" i="20"/>
  <c r="N173" i="20"/>
  <c r="G173" i="20"/>
  <c r="Q172" i="20"/>
  <c r="P172" i="20" s="1"/>
  <c r="O172" i="20"/>
  <c r="J172" i="20"/>
  <c r="I172" i="20" s="1"/>
  <c r="H172" i="20"/>
  <c r="P171" i="20"/>
  <c r="T171" i="20" s="1"/>
  <c r="I171" i="20"/>
  <c r="M171" i="20" s="1"/>
  <c r="Q170" i="20"/>
  <c r="P170" i="20" s="1"/>
  <c r="O170" i="20"/>
  <c r="J170" i="20"/>
  <c r="H170" i="20"/>
  <c r="M170" i="20" s="1"/>
  <c r="G170" i="20" s="1"/>
  <c r="S169" i="20"/>
  <c r="R169" i="20"/>
  <c r="Q169" i="20"/>
  <c r="P169" i="20" s="1"/>
  <c r="O169" i="20"/>
  <c r="L169" i="20"/>
  <c r="K169" i="20"/>
  <c r="J169" i="20"/>
  <c r="I169" i="20" s="1"/>
  <c r="H169" i="20"/>
  <c r="Q168" i="20"/>
  <c r="P168" i="20" s="1"/>
  <c r="O168" i="20"/>
  <c r="J168" i="20"/>
  <c r="I168" i="20" s="1"/>
  <c r="H168" i="20"/>
  <c r="Q167" i="20"/>
  <c r="P167" i="20" s="1"/>
  <c r="O167" i="20"/>
  <c r="J167" i="20"/>
  <c r="I167" i="20" s="1"/>
  <c r="H167" i="20"/>
  <c r="Q166" i="20"/>
  <c r="P166" i="20" s="1"/>
  <c r="O166" i="20"/>
  <c r="J166" i="20"/>
  <c r="I166" i="20" s="1"/>
  <c r="H166" i="20"/>
  <c r="Q165" i="20"/>
  <c r="P165" i="20" s="1"/>
  <c r="O165" i="20"/>
  <c r="T165" i="20" s="1"/>
  <c r="J165" i="20"/>
  <c r="I165" i="20" s="1"/>
  <c r="H165" i="20"/>
  <c r="Q164" i="20"/>
  <c r="P164" i="20" s="1"/>
  <c r="O164" i="20"/>
  <c r="J164" i="20"/>
  <c r="I164" i="20" s="1"/>
  <c r="H164" i="20"/>
  <c r="R163" i="20"/>
  <c r="Q163" i="20"/>
  <c r="P163" i="20" s="1"/>
  <c r="O163" i="20"/>
  <c r="K163" i="20"/>
  <c r="J163" i="20"/>
  <c r="I163" i="20" s="1"/>
  <c r="H163" i="20"/>
  <c r="P162" i="20"/>
  <c r="O162" i="20"/>
  <c r="I162" i="20"/>
  <c r="H162" i="20"/>
  <c r="M162" i="20" s="1"/>
  <c r="G162" i="20" s="1"/>
  <c r="U161" i="20"/>
  <c r="V161" i="20" s="1"/>
  <c r="N161" i="20"/>
  <c r="G161" i="20"/>
  <c r="Q160" i="20"/>
  <c r="P160" i="20" s="1"/>
  <c r="O160" i="20"/>
  <c r="J160" i="20"/>
  <c r="I160" i="20"/>
  <c r="H160" i="20"/>
  <c r="U159" i="20"/>
  <c r="V159" i="20" s="1"/>
  <c r="N159" i="20"/>
  <c r="G159" i="20"/>
  <c r="R158" i="20"/>
  <c r="Q158" i="20"/>
  <c r="O158" i="20"/>
  <c r="K158" i="20"/>
  <c r="J158" i="20"/>
  <c r="I158" i="20" s="1"/>
  <c r="H158" i="20"/>
  <c r="U157" i="20"/>
  <c r="V157" i="20" s="1"/>
  <c r="N157" i="20"/>
  <c r="G157" i="20"/>
  <c r="Q156" i="20"/>
  <c r="P156" i="20" s="1"/>
  <c r="O156" i="20"/>
  <c r="J156" i="20"/>
  <c r="I156" i="20" s="1"/>
  <c r="H156" i="20"/>
  <c r="U155" i="20"/>
  <c r="V155" i="20" s="1"/>
  <c r="N155" i="20"/>
  <c r="G155" i="20"/>
  <c r="Q154" i="20"/>
  <c r="P154" i="20" s="1"/>
  <c r="O154" i="20"/>
  <c r="J154" i="20"/>
  <c r="I154" i="20" s="1"/>
  <c r="H154" i="20"/>
  <c r="Q153" i="20"/>
  <c r="P153" i="20" s="1"/>
  <c r="O153" i="20"/>
  <c r="J153" i="20"/>
  <c r="I153" i="20"/>
  <c r="H153" i="20"/>
  <c r="Q152" i="20"/>
  <c r="P152" i="20" s="1"/>
  <c r="O152" i="20"/>
  <c r="J152" i="20"/>
  <c r="I152" i="20"/>
  <c r="H152" i="20"/>
  <c r="P151" i="20"/>
  <c r="O151" i="20"/>
  <c r="I151" i="20"/>
  <c r="H151" i="20"/>
  <c r="S150" i="20"/>
  <c r="R150" i="20"/>
  <c r="Q150" i="20"/>
  <c r="O150" i="20"/>
  <c r="L150" i="20"/>
  <c r="K150" i="20"/>
  <c r="J150" i="20"/>
  <c r="I150" i="20" s="1"/>
  <c r="H150" i="20"/>
  <c r="R149" i="20"/>
  <c r="Q149" i="20"/>
  <c r="P149" i="20" s="1"/>
  <c r="O149" i="20"/>
  <c r="K149" i="20"/>
  <c r="J149" i="20"/>
  <c r="I149" i="20" s="1"/>
  <c r="H149" i="20"/>
  <c r="R148" i="20"/>
  <c r="Q148" i="20"/>
  <c r="O148" i="20"/>
  <c r="K148" i="20"/>
  <c r="J148" i="20"/>
  <c r="I148" i="20" s="1"/>
  <c r="H148" i="20"/>
  <c r="R147" i="20"/>
  <c r="Q147" i="20"/>
  <c r="P147" i="20" s="1"/>
  <c r="O147" i="20"/>
  <c r="O146" i="20" s="1"/>
  <c r="O145" i="20" s="1"/>
  <c r="K147" i="20"/>
  <c r="J147" i="20"/>
  <c r="I147" i="20" s="1"/>
  <c r="H147" i="20"/>
  <c r="H146" i="20" s="1"/>
  <c r="H145" i="20" s="1"/>
  <c r="S146" i="20"/>
  <c r="S145" i="20" s="1"/>
  <c r="L146" i="20"/>
  <c r="K146" i="20"/>
  <c r="K145" i="20" s="1"/>
  <c r="J146" i="20"/>
  <c r="J145" i="20" s="1"/>
  <c r="F146" i="20"/>
  <c r="E146" i="20"/>
  <c r="E145" i="20" s="1"/>
  <c r="D146" i="20"/>
  <c r="D145" i="20" s="1"/>
  <c r="C146" i="20"/>
  <c r="L145" i="20"/>
  <c r="F145" i="20"/>
  <c r="C145" i="20"/>
  <c r="P144" i="20"/>
  <c r="T144" i="20" s="1"/>
  <c r="I144" i="20"/>
  <c r="M144" i="20" s="1"/>
  <c r="G144" i="20" s="1"/>
  <c r="P143" i="20"/>
  <c r="T143" i="20" s="1"/>
  <c r="I143" i="20"/>
  <c r="M143" i="20" s="1"/>
  <c r="G143" i="20" s="1"/>
  <c r="P142" i="20"/>
  <c r="T142" i="20" s="1"/>
  <c r="I142" i="20"/>
  <c r="M142" i="20" s="1"/>
  <c r="G142" i="20" s="1"/>
  <c r="P141" i="20"/>
  <c r="T141" i="20" s="1"/>
  <c r="I141" i="20"/>
  <c r="M141" i="20" s="1"/>
  <c r="G141" i="20" s="1"/>
  <c r="P140" i="20"/>
  <c r="T140" i="20" s="1"/>
  <c r="I140" i="20"/>
  <c r="M140" i="20" s="1"/>
  <c r="G140" i="20" s="1"/>
  <c r="N139" i="20"/>
  <c r="G139" i="20"/>
  <c r="S138" i="20"/>
  <c r="S137" i="20" s="1"/>
  <c r="R138" i="20"/>
  <c r="Q138" i="20"/>
  <c r="Q137" i="20" s="1"/>
  <c r="O138" i="20"/>
  <c r="L138" i="20"/>
  <c r="K138" i="20"/>
  <c r="K137" i="20" s="1"/>
  <c r="J138" i="20"/>
  <c r="I138" i="20"/>
  <c r="I137" i="20" s="1"/>
  <c r="H138" i="20"/>
  <c r="H137" i="20" s="1"/>
  <c r="F138" i="20"/>
  <c r="E138" i="20"/>
  <c r="D138" i="20"/>
  <c r="D137" i="20" s="1"/>
  <c r="C138" i="20"/>
  <c r="C137" i="20" s="1"/>
  <c r="R137" i="20"/>
  <c r="O137" i="20"/>
  <c r="L137" i="20"/>
  <c r="J137" i="20"/>
  <c r="F137" i="20"/>
  <c r="E137" i="20"/>
  <c r="P136" i="20"/>
  <c r="T136" i="20" s="1"/>
  <c r="I136" i="20"/>
  <c r="S135" i="20"/>
  <c r="S134" i="20" s="1"/>
  <c r="R135" i="20"/>
  <c r="Q135" i="20"/>
  <c r="O135" i="20"/>
  <c r="L135" i="20"/>
  <c r="K135" i="20"/>
  <c r="J135" i="20"/>
  <c r="I135" i="20"/>
  <c r="I134" i="20" s="1"/>
  <c r="H135" i="20"/>
  <c r="F135" i="20"/>
  <c r="E135" i="20"/>
  <c r="E134" i="20" s="1"/>
  <c r="D135" i="20"/>
  <c r="D134" i="20" s="1"/>
  <c r="C135" i="20"/>
  <c r="R134" i="20"/>
  <c r="Q134" i="20"/>
  <c r="O134" i="20"/>
  <c r="L134" i="20"/>
  <c r="K134" i="20"/>
  <c r="J134" i="20"/>
  <c r="H134" i="20"/>
  <c r="F134" i="20"/>
  <c r="C134" i="20"/>
  <c r="R133" i="20"/>
  <c r="R132" i="20" s="1"/>
  <c r="Q133" i="20"/>
  <c r="P133" i="20" s="1"/>
  <c r="P132" i="20" s="1"/>
  <c r="O133" i="20"/>
  <c r="O132" i="20" s="1"/>
  <c r="K133" i="20"/>
  <c r="J133" i="20"/>
  <c r="I133" i="20" s="1"/>
  <c r="I132" i="20" s="1"/>
  <c r="H133" i="20"/>
  <c r="S132" i="20"/>
  <c r="Q132" i="20"/>
  <c r="L132" i="20"/>
  <c r="K132" i="20"/>
  <c r="J132" i="20"/>
  <c r="H132" i="20"/>
  <c r="F132" i="20"/>
  <c r="E132" i="20"/>
  <c r="D132" i="20"/>
  <c r="C132" i="20"/>
  <c r="P131" i="20"/>
  <c r="T131" i="20" s="1"/>
  <c r="I131" i="20"/>
  <c r="M131" i="20" s="1"/>
  <c r="P130" i="20"/>
  <c r="T130" i="20" s="1"/>
  <c r="I130" i="20"/>
  <c r="M130" i="20" s="1"/>
  <c r="N129" i="20"/>
  <c r="G129" i="20"/>
  <c r="P128" i="20"/>
  <c r="T128" i="20" s="1"/>
  <c r="I128" i="20"/>
  <c r="P127" i="20"/>
  <c r="T127" i="20" s="1"/>
  <c r="I127" i="20"/>
  <c r="P126" i="20"/>
  <c r="T126" i="20" s="1"/>
  <c r="I126" i="20"/>
  <c r="S125" i="20"/>
  <c r="S124" i="20" s="1"/>
  <c r="R125" i="20"/>
  <c r="Q125" i="20"/>
  <c r="O125" i="20"/>
  <c r="L125" i="20"/>
  <c r="K125" i="20"/>
  <c r="J125" i="20"/>
  <c r="I125" i="20"/>
  <c r="I124" i="20" s="1"/>
  <c r="H125" i="20"/>
  <c r="F125" i="20"/>
  <c r="E125" i="20"/>
  <c r="E124" i="20" s="1"/>
  <c r="D125" i="20"/>
  <c r="D124" i="20" s="1"/>
  <c r="C125" i="20"/>
  <c r="C124" i="20" s="1"/>
  <c r="R124" i="20"/>
  <c r="Q124" i="20"/>
  <c r="O124" i="20"/>
  <c r="L124" i="20"/>
  <c r="K124" i="20"/>
  <c r="J124" i="20"/>
  <c r="H124" i="20"/>
  <c r="F124" i="20"/>
  <c r="Q123" i="20"/>
  <c r="O123" i="20"/>
  <c r="T123" i="20" s="1"/>
  <c r="J123" i="20"/>
  <c r="H123" i="20"/>
  <c r="M123" i="20" s="1"/>
  <c r="G123" i="20" s="1"/>
  <c r="Q122" i="20"/>
  <c r="P122" i="20" s="1"/>
  <c r="O122" i="20"/>
  <c r="J122" i="20"/>
  <c r="I122" i="20" s="1"/>
  <c r="H122" i="20"/>
  <c r="R121" i="20"/>
  <c r="R118" i="20" s="1"/>
  <c r="R117" i="20" s="1"/>
  <c r="Q121" i="20"/>
  <c r="O121" i="20"/>
  <c r="K121" i="20"/>
  <c r="J121" i="20"/>
  <c r="I121" i="20" s="1"/>
  <c r="H121" i="20"/>
  <c r="Q120" i="20"/>
  <c r="P120" i="20" s="1"/>
  <c r="O120" i="20"/>
  <c r="T120" i="20" s="1"/>
  <c r="J120" i="20"/>
  <c r="I120" i="20" s="1"/>
  <c r="H120" i="20"/>
  <c r="N119" i="20"/>
  <c r="G119" i="20"/>
  <c r="S118" i="20"/>
  <c r="S117" i="20" s="1"/>
  <c r="O118" i="20"/>
  <c r="O117" i="20" s="1"/>
  <c r="L118" i="20"/>
  <c r="K118" i="20"/>
  <c r="H118" i="20"/>
  <c r="H117" i="20" s="1"/>
  <c r="F118" i="20"/>
  <c r="E118" i="20"/>
  <c r="D118" i="20"/>
  <c r="C118" i="20"/>
  <c r="C117" i="20" s="1"/>
  <c r="L117" i="20"/>
  <c r="K117" i="20"/>
  <c r="F117" i="20"/>
  <c r="E117" i="20"/>
  <c r="D117" i="20"/>
  <c r="S116" i="20"/>
  <c r="L116" i="20"/>
  <c r="D116" i="20"/>
  <c r="C116" i="20"/>
  <c r="P115" i="20"/>
  <c r="I115" i="20"/>
  <c r="R103" i="20"/>
  <c r="O103" i="20"/>
  <c r="K103" i="20"/>
  <c r="J103" i="20"/>
  <c r="H103" i="20"/>
  <c r="F103" i="20"/>
  <c r="E103" i="20"/>
  <c r="S103" i="20"/>
  <c r="Q103" i="20"/>
  <c r="L103" i="20"/>
  <c r="D103" i="20"/>
  <c r="C103" i="20"/>
  <c r="N95" i="20"/>
  <c r="G95" i="20"/>
  <c r="N94" i="20"/>
  <c r="G94" i="20"/>
  <c r="U94" i="20" s="1"/>
  <c r="V94" i="20" s="1"/>
  <c r="R91" i="20"/>
  <c r="K91" i="20"/>
  <c r="H91" i="20"/>
  <c r="E91" i="20"/>
  <c r="S91" i="20"/>
  <c r="S70" i="20" s="1"/>
  <c r="S69" i="20" s="1"/>
  <c r="L91" i="20"/>
  <c r="F91" i="20"/>
  <c r="D91" i="20"/>
  <c r="C91" i="20"/>
  <c r="C70" i="20" s="1"/>
  <c r="C69" i="20" s="1"/>
  <c r="N90" i="20"/>
  <c r="G90" i="20"/>
  <c r="N89" i="20"/>
  <c r="G89" i="20"/>
  <c r="I84" i="20"/>
  <c r="I82" i="20"/>
  <c r="R79" i="20"/>
  <c r="O79" i="20"/>
  <c r="H79" i="20"/>
  <c r="F79" i="20"/>
  <c r="S79" i="20"/>
  <c r="L79" i="20"/>
  <c r="L70" i="20" s="1"/>
  <c r="L69" i="20" s="1"/>
  <c r="D79" i="20"/>
  <c r="D70" i="20" s="1"/>
  <c r="D69" i="20" s="1"/>
  <c r="C79" i="20"/>
  <c r="N72" i="20"/>
  <c r="G72" i="20"/>
  <c r="N71" i="20"/>
  <c r="G71" i="20"/>
  <c r="F68" i="20"/>
  <c r="E68" i="20"/>
  <c r="D68" i="20"/>
  <c r="C68" i="20"/>
  <c r="R67" i="20"/>
  <c r="P67" i="20" s="1"/>
  <c r="O67" i="20"/>
  <c r="K67" i="20"/>
  <c r="I67" i="20" s="1"/>
  <c r="H67" i="20"/>
  <c r="R66" i="20"/>
  <c r="Q66" i="20"/>
  <c r="O66" i="20"/>
  <c r="K66" i="20"/>
  <c r="J66" i="20"/>
  <c r="H66" i="20"/>
  <c r="P65" i="20"/>
  <c r="T65" i="20" s="1"/>
  <c r="I65" i="20"/>
  <c r="M65" i="20" s="1"/>
  <c r="G65" i="20" s="1"/>
  <c r="S64" i="20"/>
  <c r="Q64" i="20"/>
  <c r="O64" i="20"/>
  <c r="J64" i="20"/>
  <c r="I64" i="20" s="1"/>
  <c r="H64" i="20"/>
  <c r="E64" i="20"/>
  <c r="S63" i="20"/>
  <c r="S68" i="20" s="1"/>
  <c r="R63" i="20"/>
  <c r="R68" i="20" s="1"/>
  <c r="Q63" i="20"/>
  <c r="Q68" i="20" s="1"/>
  <c r="O63" i="20"/>
  <c r="O68" i="20" s="1"/>
  <c r="L63" i="20"/>
  <c r="L68" i="20" s="1"/>
  <c r="K63" i="20"/>
  <c r="K68" i="20" s="1"/>
  <c r="J63" i="20"/>
  <c r="J68" i="20" s="1"/>
  <c r="H63" i="20"/>
  <c r="H68" i="20" s="1"/>
  <c r="P62" i="20"/>
  <c r="T62" i="20" s="1"/>
  <c r="I62" i="20"/>
  <c r="M62" i="20" s="1"/>
  <c r="G62" i="20" s="1"/>
  <c r="S61" i="20"/>
  <c r="R61" i="20"/>
  <c r="Q61" i="20"/>
  <c r="O61" i="20"/>
  <c r="L61" i="20"/>
  <c r="K61" i="20"/>
  <c r="I61" i="20" s="1"/>
  <c r="J61" i="20"/>
  <c r="H61" i="20"/>
  <c r="H59" i="20" s="1"/>
  <c r="E61" i="20"/>
  <c r="P60" i="20"/>
  <c r="I60" i="20"/>
  <c r="M60" i="20" s="1"/>
  <c r="L59" i="20"/>
  <c r="F59" i="20"/>
  <c r="D59" i="20"/>
  <c r="S58" i="20"/>
  <c r="R58" i="20"/>
  <c r="Q58" i="20"/>
  <c r="O58" i="20"/>
  <c r="L58" i="20"/>
  <c r="K58" i="20"/>
  <c r="J58" i="20"/>
  <c r="H58" i="20"/>
  <c r="F58" i="20"/>
  <c r="E58" i="20"/>
  <c r="D58" i="20"/>
  <c r="C58" i="20"/>
  <c r="S57" i="20"/>
  <c r="R57" i="20"/>
  <c r="Q57" i="20"/>
  <c r="O57" i="20"/>
  <c r="L57" i="20"/>
  <c r="K57" i="20"/>
  <c r="J57" i="20"/>
  <c r="H57" i="20"/>
  <c r="P56" i="20"/>
  <c r="I56" i="20"/>
  <c r="I58" i="20" s="1"/>
  <c r="L55" i="20"/>
  <c r="S55" i="20" s="1"/>
  <c r="K55" i="20"/>
  <c r="R55" i="20" s="1"/>
  <c r="J55" i="20"/>
  <c r="Q55" i="20" s="1"/>
  <c r="H55" i="20"/>
  <c r="O55" i="20" s="1"/>
  <c r="L54" i="20"/>
  <c r="S54" i="20" s="1"/>
  <c r="K54" i="20"/>
  <c r="R54" i="20" s="1"/>
  <c r="J54" i="20"/>
  <c r="Q54" i="20" s="1"/>
  <c r="H54" i="20"/>
  <c r="O54" i="20" s="1"/>
  <c r="L53" i="20"/>
  <c r="S53" i="20" s="1"/>
  <c r="K53" i="20"/>
  <c r="R53" i="20" s="1"/>
  <c r="J53" i="20"/>
  <c r="Q53" i="20" s="1"/>
  <c r="H53" i="20"/>
  <c r="O53" i="20" s="1"/>
  <c r="L52" i="20"/>
  <c r="S52" i="20" s="1"/>
  <c r="K52" i="20"/>
  <c r="R52" i="20" s="1"/>
  <c r="J52" i="20"/>
  <c r="Q52" i="20" s="1"/>
  <c r="H52" i="20"/>
  <c r="O52" i="20" s="1"/>
  <c r="L51" i="20"/>
  <c r="S51" i="20" s="1"/>
  <c r="K51" i="20"/>
  <c r="R51" i="20" s="1"/>
  <c r="J51" i="20"/>
  <c r="Q51" i="20" s="1"/>
  <c r="P51" i="20" s="1"/>
  <c r="H51" i="20"/>
  <c r="O51" i="20" s="1"/>
  <c r="L50" i="20"/>
  <c r="S50" i="20" s="1"/>
  <c r="K50" i="20"/>
  <c r="R50" i="20" s="1"/>
  <c r="J50" i="20"/>
  <c r="Q50" i="20" s="1"/>
  <c r="H50" i="20"/>
  <c r="O50" i="20" s="1"/>
  <c r="L49" i="20"/>
  <c r="S49" i="20" s="1"/>
  <c r="K49" i="20"/>
  <c r="R49" i="20" s="1"/>
  <c r="J49" i="20"/>
  <c r="Q49" i="20" s="1"/>
  <c r="H49" i="20"/>
  <c r="O49" i="20" s="1"/>
  <c r="L48" i="20"/>
  <c r="S48" i="20" s="1"/>
  <c r="K48" i="20"/>
  <c r="R48" i="20" s="1"/>
  <c r="J48" i="20"/>
  <c r="H48" i="20"/>
  <c r="O48" i="20" s="1"/>
  <c r="L47" i="20"/>
  <c r="S47" i="20" s="1"/>
  <c r="K47" i="20"/>
  <c r="R47" i="20" s="1"/>
  <c r="J47" i="20"/>
  <c r="Q47" i="20" s="1"/>
  <c r="H47" i="20"/>
  <c r="O47" i="20" s="1"/>
  <c r="L46" i="20"/>
  <c r="S46" i="20" s="1"/>
  <c r="K46" i="20"/>
  <c r="R46" i="20" s="1"/>
  <c r="J46" i="20"/>
  <c r="Q46" i="20" s="1"/>
  <c r="H46" i="20"/>
  <c r="O46" i="20" s="1"/>
  <c r="R45" i="20"/>
  <c r="L45" i="20"/>
  <c r="S45" i="20" s="1"/>
  <c r="J45" i="20"/>
  <c r="Q45" i="20" s="1"/>
  <c r="H45" i="20"/>
  <c r="O45" i="20" s="1"/>
  <c r="R44" i="20"/>
  <c r="L44" i="20"/>
  <c r="S44" i="20" s="1"/>
  <c r="J44" i="20"/>
  <c r="Q44" i="20" s="1"/>
  <c r="H44" i="20"/>
  <c r="O44" i="20" s="1"/>
  <c r="L43" i="20"/>
  <c r="S43" i="20" s="1"/>
  <c r="K43" i="20"/>
  <c r="R43" i="20" s="1"/>
  <c r="J43" i="20"/>
  <c r="Q43" i="20" s="1"/>
  <c r="H43" i="20"/>
  <c r="O43" i="20" s="1"/>
  <c r="L42" i="20"/>
  <c r="S42" i="20" s="1"/>
  <c r="K42" i="20"/>
  <c r="R42" i="20" s="1"/>
  <c r="J42" i="20"/>
  <c r="H42" i="20"/>
  <c r="O42" i="20" s="1"/>
  <c r="L41" i="20"/>
  <c r="S41" i="20" s="1"/>
  <c r="K41" i="20"/>
  <c r="R41" i="20" s="1"/>
  <c r="J41" i="20"/>
  <c r="Q41" i="20" s="1"/>
  <c r="H41" i="20"/>
  <c r="O41" i="20" s="1"/>
  <c r="L40" i="20"/>
  <c r="S40" i="20" s="1"/>
  <c r="K40" i="20"/>
  <c r="R40" i="20" s="1"/>
  <c r="J40" i="20"/>
  <c r="Q40" i="20" s="1"/>
  <c r="H40" i="20"/>
  <c r="O40" i="20" s="1"/>
  <c r="L39" i="20"/>
  <c r="S39" i="20" s="1"/>
  <c r="K39" i="20"/>
  <c r="R39" i="20" s="1"/>
  <c r="J39" i="20"/>
  <c r="Q39" i="20" s="1"/>
  <c r="H39" i="20"/>
  <c r="O39" i="20" s="1"/>
  <c r="L38" i="20"/>
  <c r="S38" i="20" s="1"/>
  <c r="K38" i="20"/>
  <c r="R38" i="20" s="1"/>
  <c r="J38" i="20"/>
  <c r="Q38" i="20" s="1"/>
  <c r="H38" i="20"/>
  <c r="O38" i="20" s="1"/>
  <c r="L37" i="20"/>
  <c r="S37" i="20" s="1"/>
  <c r="K37" i="20"/>
  <c r="R37" i="20" s="1"/>
  <c r="J37" i="20"/>
  <c r="Q37" i="20" s="1"/>
  <c r="H37" i="20"/>
  <c r="O37" i="20" s="1"/>
  <c r="L36" i="20"/>
  <c r="S36" i="20" s="1"/>
  <c r="K36" i="20"/>
  <c r="R36" i="20" s="1"/>
  <c r="J36" i="20"/>
  <c r="Q36" i="20" s="1"/>
  <c r="H36" i="20"/>
  <c r="O36" i="20" s="1"/>
  <c r="L35" i="20"/>
  <c r="S35" i="20" s="1"/>
  <c r="K35" i="20"/>
  <c r="R35" i="20" s="1"/>
  <c r="J35" i="20"/>
  <c r="Q35" i="20" s="1"/>
  <c r="H35" i="20"/>
  <c r="O35" i="20" s="1"/>
  <c r="L34" i="20"/>
  <c r="S34" i="20" s="1"/>
  <c r="K34" i="20"/>
  <c r="R34" i="20" s="1"/>
  <c r="J34" i="20"/>
  <c r="H34" i="20"/>
  <c r="O34" i="20" s="1"/>
  <c r="L33" i="20"/>
  <c r="S33" i="20" s="1"/>
  <c r="K33" i="20"/>
  <c r="R33" i="20" s="1"/>
  <c r="J33" i="20"/>
  <c r="Q33" i="20" s="1"/>
  <c r="H33" i="20"/>
  <c r="O33" i="20" s="1"/>
  <c r="L32" i="20"/>
  <c r="S32" i="20" s="1"/>
  <c r="K32" i="20"/>
  <c r="R32" i="20" s="1"/>
  <c r="J32" i="20"/>
  <c r="Q32" i="20" s="1"/>
  <c r="H32" i="20"/>
  <c r="O32" i="20" s="1"/>
  <c r="R31" i="20"/>
  <c r="L31" i="20"/>
  <c r="S31" i="20" s="1"/>
  <c r="J31" i="20"/>
  <c r="Q31" i="20" s="1"/>
  <c r="H31" i="20"/>
  <c r="O31" i="20" s="1"/>
  <c r="L30" i="20"/>
  <c r="S30" i="20" s="1"/>
  <c r="K30" i="20"/>
  <c r="R30" i="20" s="1"/>
  <c r="J30" i="20"/>
  <c r="H30" i="20"/>
  <c r="L29" i="20"/>
  <c r="S29" i="20" s="1"/>
  <c r="K29" i="20"/>
  <c r="R29" i="20" s="1"/>
  <c r="J29" i="20"/>
  <c r="Q29" i="20" s="1"/>
  <c r="I29" i="20"/>
  <c r="H29" i="20"/>
  <c r="O29" i="20" s="1"/>
  <c r="R28" i="20"/>
  <c r="L28" i="20"/>
  <c r="S28" i="20" s="1"/>
  <c r="J28" i="20"/>
  <c r="Q28" i="20" s="1"/>
  <c r="P28" i="20" s="1"/>
  <c r="H28" i="20"/>
  <c r="O28" i="20" s="1"/>
  <c r="L27" i="20"/>
  <c r="S27" i="20" s="1"/>
  <c r="K27" i="20"/>
  <c r="R27" i="20" s="1"/>
  <c r="J27" i="20"/>
  <c r="H27" i="20"/>
  <c r="R26" i="20"/>
  <c r="L26" i="20"/>
  <c r="S26" i="20" s="1"/>
  <c r="J26" i="20"/>
  <c r="H26" i="20"/>
  <c r="L25" i="20"/>
  <c r="S25" i="20" s="1"/>
  <c r="K25" i="20"/>
  <c r="R25" i="20" s="1"/>
  <c r="J25" i="20"/>
  <c r="Q25" i="20" s="1"/>
  <c r="H25" i="20"/>
  <c r="O25" i="20" s="1"/>
  <c r="L24" i="20"/>
  <c r="S24" i="20" s="1"/>
  <c r="K24" i="20"/>
  <c r="R24" i="20" s="1"/>
  <c r="J24" i="20"/>
  <c r="H24" i="20"/>
  <c r="L23" i="20"/>
  <c r="S23" i="20" s="1"/>
  <c r="K23" i="20"/>
  <c r="R23" i="20" s="1"/>
  <c r="J23" i="20"/>
  <c r="Q23" i="20" s="1"/>
  <c r="H23" i="20"/>
  <c r="O23" i="20" s="1"/>
  <c r="L22" i="20"/>
  <c r="S22" i="20" s="1"/>
  <c r="K22" i="20"/>
  <c r="R22" i="20" s="1"/>
  <c r="J22" i="20"/>
  <c r="H22" i="20"/>
  <c r="L21" i="20"/>
  <c r="S21" i="20" s="1"/>
  <c r="K21" i="20"/>
  <c r="R21" i="20" s="1"/>
  <c r="J21" i="20"/>
  <c r="H21" i="20"/>
  <c r="O21" i="20" s="1"/>
  <c r="L20" i="20"/>
  <c r="S20" i="20" s="1"/>
  <c r="K20" i="20"/>
  <c r="R20" i="20" s="1"/>
  <c r="J20" i="20"/>
  <c r="H20" i="20"/>
  <c r="L19" i="20"/>
  <c r="S19" i="20" s="1"/>
  <c r="K19" i="20"/>
  <c r="J19" i="20"/>
  <c r="Q19" i="20" s="1"/>
  <c r="H19" i="20"/>
  <c r="O19" i="20" s="1"/>
  <c r="F18" i="20"/>
  <c r="F17" i="20" s="1"/>
  <c r="F16" i="20" s="1"/>
  <c r="E18" i="20"/>
  <c r="C18" i="20"/>
  <c r="E17" i="20"/>
  <c r="E16" i="20" s="1"/>
  <c r="C17" i="20"/>
  <c r="C16" i="20"/>
  <c r="D258" i="19"/>
  <c r="D255" i="19"/>
  <c r="D252" i="19"/>
  <c r="D251" i="19"/>
  <c r="D250" i="19"/>
  <c r="D249" i="19"/>
  <c r="D247" i="19"/>
  <c r="F244" i="19"/>
  <c r="C245" i="19"/>
  <c r="C244" i="19" s="1"/>
  <c r="L242" i="19"/>
  <c r="M242" i="19" s="1"/>
  <c r="L241" i="19"/>
  <c r="M241" i="19" s="1"/>
  <c r="L240" i="19"/>
  <c r="M240" i="19" s="1"/>
  <c r="L239" i="19"/>
  <c r="M239" i="19" s="1"/>
  <c r="L238" i="19"/>
  <c r="M238" i="19" s="1"/>
  <c r="L237" i="19"/>
  <c r="M237" i="19" s="1"/>
  <c r="L236" i="19"/>
  <c r="M236" i="19" s="1"/>
  <c r="L235" i="19"/>
  <c r="M235" i="19" s="1"/>
  <c r="L234" i="19"/>
  <c r="M234" i="19" s="1"/>
  <c r="L233" i="19"/>
  <c r="M233" i="19" s="1"/>
  <c r="L232" i="19"/>
  <c r="M232" i="19" s="1"/>
  <c r="L231" i="19"/>
  <c r="M231" i="19" s="1"/>
  <c r="L230" i="19"/>
  <c r="M230" i="19" s="1"/>
  <c r="L229" i="19"/>
  <c r="M229" i="19" s="1"/>
  <c r="L228" i="19"/>
  <c r="M228" i="19" s="1"/>
  <c r="L227" i="19"/>
  <c r="M227" i="19" s="1"/>
  <c r="L224" i="19"/>
  <c r="M224" i="19" s="1"/>
  <c r="L223" i="19"/>
  <c r="M223" i="19" s="1"/>
  <c r="L222" i="19"/>
  <c r="M222" i="19" s="1"/>
  <c r="L221" i="19"/>
  <c r="M221" i="19" s="1"/>
  <c r="L220" i="19"/>
  <c r="M220" i="19" s="1"/>
  <c r="L216" i="19"/>
  <c r="M216" i="19" s="1"/>
  <c r="L215" i="19"/>
  <c r="M215" i="19" s="1"/>
  <c r="L214" i="19"/>
  <c r="M214" i="19" s="1"/>
  <c r="L213" i="19"/>
  <c r="M213" i="19" s="1"/>
  <c r="L211" i="19"/>
  <c r="M211" i="19" s="1"/>
  <c r="L210" i="19"/>
  <c r="M210" i="19" s="1"/>
  <c r="L209" i="19"/>
  <c r="M209" i="19" s="1"/>
  <c r="L208" i="19"/>
  <c r="M208" i="19" s="1"/>
  <c r="L207" i="19"/>
  <c r="M207" i="19" s="1"/>
  <c r="L203" i="19"/>
  <c r="M203" i="19" s="1"/>
  <c r="L202" i="19"/>
  <c r="M202" i="19" s="1"/>
  <c r="L201" i="19"/>
  <c r="L200" i="19"/>
  <c r="L199" i="19"/>
  <c r="M199" i="19" s="1"/>
  <c r="L198" i="19"/>
  <c r="M198" i="19" s="1"/>
  <c r="L194" i="19"/>
  <c r="M194" i="19" s="1"/>
  <c r="L192" i="19"/>
  <c r="M192" i="19" s="1"/>
  <c r="L191" i="19"/>
  <c r="M191" i="19" s="1"/>
  <c r="L182" i="19"/>
  <c r="M182" i="19" s="1"/>
  <c r="L181" i="19"/>
  <c r="M181" i="19" s="1"/>
  <c r="L180" i="19"/>
  <c r="M180" i="19" s="1"/>
  <c r="L178" i="19"/>
  <c r="M178" i="19" s="1"/>
  <c r="L176" i="19"/>
  <c r="M176" i="19" s="1"/>
  <c r="L175" i="19"/>
  <c r="M175" i="19" s="1"/>
  <c r="L173" i="19"/>
  <c r="M173" i="19" s="1"/>
  <c r="L166" i="19"/>
  <c r="M166" i="19" s="1"/>
  <c r="L165" i="19"/>
  <c r="M165" i="19" s="1"/>
  <c r="L164" i="19"/>
  <c r="M164" i="19" s="1"/>
  <c r="L161" i="19"/>
  <c r="M161" i="19" s="1"/>
  <c r="L160" i="19"/>
  <c r="M160" i="19" s="1"/>
  <c r="L159" i="19"/>
  <c r="M159" i="19" s="1"/>
  <c r="L158" i="19"/>
  <c r="M158" i="19" s="1"/>
  <c r="L157" i="19"/>
  <c r="M157" i="19" s="1"/>
  <c r="L155" i="19"/>
  <c r="M155" i="19" s="1"/>
  <c r="L154" i="19"/>
  <c r="M154" i="19" s="1"/>
  <c r="L152" i="19"/>
  <c r="M152" i="19" s="1"/>
  <c r="L151" i="19"/>
  <c r="M151" i="19" s="1"/>
  <c r="L150" i="19"/>
  <c r="M150" i="19" s="1"/>
  <c r="L149" i="19"/>
  <c r="M149" i="19" s="1"/>
  <c r="L147" i="19"/>
  <c r="M147" i="19" s="1"/>
  <c r="L146" i="19"/>
  <c r="M146" i="19" s="1"/>
  <c r="L145" i="19"/>
  <c r="M145" i="19" s="1"/>
  <c r="L144" i="19"/>
  <c r="M144" i="19" s="1"/>
  <c r="L143" i="19"/>
  <c r="M143" i="19" s="1"/>
  <c r="L136" i="19"/>
  <c r="M136" i="19" s="1"/>
  <c r="L135" i="19"/>
  <c r="M135" i="19" s="1"/>
  <c r="L132" i="19"/>
  <c r="M132" i="19" s="1"/>
  <c r="L131" i="19"/>
  <c r="M131" i="19" s="1"/>
  <c r="L130" i="19"/>
  <c r="M130" i="19" s="1"/>
  <c r="L129" i="19"/>
  <c r="M129" i="19" s="1"/>
  <c r="L128" i="19"/>
  <c r="M128" i="19" s="1"/>
  <c r="L127" i="19"/>
  <c r="M127" i="19" s="1"/>
  <c r="L126" i="19"/>
  <c r="M126" i="19" s="1"/>
  <c r="L125" i="19"/>
  <c r="L124" i="19"/>
  <c r="M124" i="19" s="1"/>
  <c r="L123" i="19"/>
  <c r="L122" i="19"/>
  <c r="L119" i="19"/>
  <c r="M119" i="19" s="1"/>
  <c r="L118" i="19"/>
  <c r="M118" i="19" s="1"/>
  <c r="L117" i="19"/>
  <c r="M117" i="19" s="1"/>
  <c r="L116" i="19"/>
  <c r="M116" i="19" s="1"/>
  <c r="L115" i="19"/>
  <c r="M115" i="19" s="1"/>
  <c r="L114" i="19"/>
  <c r="M114" i="19" s="1"/>
  <c r="L113" i="19"/>
  <c r="L111" i="19"/>
  <c r="M111" i="19" s="1"/>
  <c r="L110" i="19"/>
  <c r="M110" i="19" s="1"/>
  <c r="L109" i="19"/>
  <c r="M109" i="19" s="1"/>
  <c r="L107" i="19"/>
  <c r="M107" i="19" s="1"/>
  <c r="L103" i="19"/>
  <c r="L94" i="19"/>
  <c r="L93" i="19"/>
  <c r="L91" i="19"/>
  <c r="L90" i="19"/>
  <c r="L88" i="19"/>
  <c r="L87" i="19"/>
  <c r="L86" i="19"/>
  <c r="L85" i="19"/>
  <c r="L84" i="19"/>
  <c r="L83" i="19"/>
  <c r="M83" i="19" s="1"/>
  <c r="L82" i="19"/>
  <c r="L81" i="19"/>
  <c r="M81" i="19" s="1"/>
  <c r="L80" i="19"/>
  <c r="M80" i="19" s="1"/>
  <c r="L79" i="19"/>
  <c r="M79" i="19" s="1"/>
  <c r="L78" i="19"/>
  <c r="L76" i="19"/>
  <c r="L75" i="19"/>
  <c r="L74" i="19"/>
  <c r="L73" i="19"/>
  <c r="L72" i="19"/>
  <c r="M72" i="19" s="1"/>
  <c r="L71" i="19"/>
  <c r="L70" i="19"/>
  <c r="L65" i="19"/>
  <c r="M65" i="19" s="1"/>
  <c r="L64" i="19"/>
  <c r="M64" i="19" s="1"/>
  <c r="L63" i="19"/>
  <c r="M63" i="19" s="1"/>
  <c r="L62" i="19"/>
  <c r="M62" i="19" s="1"/>
  <c r="L61" i="19"/>
  <c r="L60" i="19"/>
  <c r="M60" i="19" s="1"/>
  <c r="L59" i="19"/>
  <c r="M59" i="19" s="1"/>
  <c r="L58" i="19"/>
  <c r="M58" i="19" s="1"/>
  <c r="L56" i="19"/>
  <c r="L55" i="19"/>
  <c r="M55" i="19" s="1"/>
  <c r="L54" i="19"/>
  <c r="M54" i="19" s="1"/>
  <c r="L53" i="19"/>
  <c r="M53" i="19" s="1"/>
  <c r="L41" i="19"/>
  <c r="M41" i="19" s="1"/>
  <c r="L40" i="19"/>
  <c r="M40" i="19" s="1"/>
  <c r="L39" i="19"/>
  <c r="M39" i="19" s="1"/>
  <c r="L38" i="19"/>
  <c r="M38" i="19" s="1"/>
  <c r="L37" i="19"/>
  <c r="M37" i="19" s="1"/>
  <c r="L36" i="19"/>
  <c r="M36" i="19" s="1"/>
  <c r="L35" i="19"/>
  <c r="M35" i="19" s="1"/>
  <c r="L34" i="19"/>
  <c r="M34" i="19" s="1"/>
  <c r="L33" i="19"/>
  <c r="M33" i="19" s="1"/>
  <c r="L32" i="19"/>
  <c r="M32" i="19" s="1"/>
  <c r="L31" i="19"/>
  <c r="M31" i="19" s="1"/>
  <c r="L30" i="19"/>
  <c r="M30" i="19" s="1"/>
  <c r="L29" i="19"/>
  <c r="M29" i="19" s="1"/>
  <c r="L28" i="19"/>
  <c r="M28" i="19" s="1"/>
  <c r="L27" i="19"/>
  <c r="M27" i="19" s="1"/>
  <c r="L26" i="19"/>
  <c r="M26" i="19" s="1"/>
  <c r="L25" i="19"/>
  <c r="M25" i="19" s="1"/>
  <c r="L24" i="19"/>
  <c r="M24" i="19" s="1"/>
  <c r="L23" i="19"/>
  <c r="M23" i="19" s="1"/>
  <c r="L22" i="19"/>
  <c r="M22" i="19" s="1"/>
  <c r="L21" i="19"/>
  <c r="M21" i="19" s="1"/>
  <c r="L20" i="19"/>
  <c r="M20" i="19" s="1"/>
  <c r="L19" i="19"/>
  <c r="M19" i="19" s="1"/>
  <c r="L18" i="19"/>
  <c r="M18" i="19" s="1"/>
  <c r="L17" i="19"/>
  <c r="M17" i="19" s="1"/>
  <c r="I21" i="20" l="1"/>
  <c r="I23" i="20"/>
  <c r="I48" i="20"/>
  <c r="I50" i="20"/>
  <c r="J59" i="20"/>
  <c r="U95" i="20"/>
  <c r="V95" i="20" s="1"/>
  <c r="S366" i="20"/>
  <c r="P367" i="20"/>
  <c r="P366" i="20" s="1"/>
  <c r="M404" i="20"/>
  <c r="M403" i="20" s="1"/>
  <c r="M402" i="20" s="1"/>
  <c r="H403" i="20"/>
  <c r="H402" i="20" s="1"/>
  <c r="R439" i="20"/>
  <c r="J18" i="20"/>
  <c r="J17" i="20" s="1"/>
  <c r="J16" i="20" s="1"/>
  <c r="I34" i="20"/>
  <c r="I36" i="20"/>
  <c r="T156" i="20"/>
  <c r="O187" i="20"/>
  <c r="T243" i="20"/>
  <c r="O236" i="20"/>
  <c r="G272" i="20"/>
  <c r="I264" i="20"/>
  <c r="I257" i="20" s="1"/>
  <c r="P37" i="20"/>
  <c r="P38" i="20"/>
  <c r="I42" i="20"/>
  <c r="I44" i="20"/>
  <c r="P57" i="20"/>
  <c r="U90" i="20"/>
  <c r="V90" i="20" s="1"/>
  <c r="Q146" i="20"/>
  <c r="Q145" i="20" s="1"/>
  <c r="P148" i="20"/>
  <c r="T154" i="20"/>
  <c r="P158" i="20"/>
  <c r="T191" i="20"/>
  <c r="M193" i="20"/>
  <c r="M187" i="20" s="1"/>
  <c r="M181" i="20" s="1"/>
  <c r="J204" i="20"/>
  <c r="J181" i="20" s="1"/>
  <c r="J180" i="20" s="1"/>
  <c r="M206" i="20"/>
  <c r="M204" i="20" s="1"/>
  <c r="O217" i="20"/>
  <c r="O216" i="20" s="1"/>
  <c r="M223" i="20"/>
  <c r="H217" i="20"/>
  <c r="H216" i="20" s="1"/>
  <c r="H180" i="20" s="1"/>
  <c r="J367" i="20"/>
  <c r="J366" i="20" s="1"/>
  <c r="M389" i="20"/>
  <c r="M387" i="20" s="1"/>
  <c r="H387" i="20"/>
  <c r="E366" i="20"/>
  <c r="P442" i="20"/>
  <c r="Q229" i="20"/>
  <c r="Q228" i="20" s="1"/>
  <c r="U233" i="20"/>
  <c r="V233" i="20" s="1"/>
  <c r="U235" i="20"/>
  <c r="V235" i="20" s="1"/>
  <c r="U239" i="20"/>
  <c r="V239" i="20" s="1"/>
  <c r="G243" i="20"/>
  <c r="P249" i="20"/>
  <c r="I331" i="20"/>
  <c r="G332" i="20"/>
  <c r="U335" i="20"/>
  <c r="V335" i="20" s="1"/>
  <c r="U337" i="20"/>
  <c r="V337" i="20" s="1"/>
  <c r="U339" i="20"/>
  <c r="V339" i="20" s="1"/>
  <c r="U341" i="20"/>
  <c r="V341" i="20" s="1"/>
  <c r="U343" i="20"/>
  <c r="V343" i="20" s="1"/>
  <c r="U345" i="20"/>
  <c r="V345" i="20" s="1"/>
  <c r="U347" i="20"/>
  <c r="V347" i="20" s="1"/>
  <c r="U350" i="20"/>
  <c r="V350" i="20" s="1"/>
  <c r="H415" i="20"/>
  <c r="H414" i="20" s="1"/>
  <c r="U425" i="20"/>
  <c r="V425" i="20" s="1"/>
  <c r="U427" i="20"/>
  <c r="V427" i="20" s="1"/>
  <c r="U429" i="20"/>
  <c r="V429" i="20" s="1"/>
  <c r="U431" i="20"/>
  <c r="V431" i="20" s="1"/>
  <c r="P440" i="20"/>
  <c r="P446" i="20"/>
  <c r="P463" i="20"/>
  <c r="P467" i="20"/>
  <c r="U246" i="20"/>
  <c r="V246" i="20" s="1"/>
  <c r="T248" i="20"/>
  <c r="I249" i="20"/>
  <c r="U326" i="20"/>
  <c r="V326" i="20" s="1"/>
  <c r="U328" i="20"/>
  <c r="V328" i="20" s="1"/>
  <c r="U330" i="20"/>
  <c r="V330" i="20" s="1"/>
  <c r="U352" i="20"/>
  <c r="V352" i="20" s="1"/>
  <c r="U356" i="20"/>
  <c r="V356" i="20" s="1"/>
  <c r="M358" i="20"/>
  <c r="G358" i="20" s="1"/>
  <c r="U359" i="20"/>
  <c r="V359" i="20" s="1"/>
  <c r="C366" i="20"/>
  <c r="M384" i="20"/>
  <c r="M385" i="20"/>
  <c r="G385" i="20" s="1"/>
  <c r="U386" i="20"/>
  <c r="V386" i="20" s="1"/>
  <c r="P460" i="20"/>
  <c r="P518" i="20"/>
  <c r="P522" i="20"/>
  <c r="P534" i="20"/>
  <c r="T384" i="20"/>
  <c r="T385" i="20"/>
  <c r="G423" i="20"/>
  <c r="P451" i="20"/>
  <c r="P456" i="20"/>
  <c r="P488" i="20"/>
  <c r="I19" i="20"/>
  <c r="M21" i="20"/>
  <c r="M23" i="20"/>
  <c r="M29" i="20"/>
  <c r="M34" i="20"/>
  <c r="M36" i="20"/>
  <c r="M42" i="20"/>
  <c r="M48" i="20"/>
  <c r="M50" i="20"/>
  <c r="T57" i="20"/>
  <c r="M61" i="20"/>
  <c r="G61" i="20" s="1"/>
  <c r="P64" i="20"/>
  <c r="I66" i="20"/>
  <c r="P66" i="20"/>
  <c r="M67" i="20"/>
  <c r="G67" i="20" s="1"/>
  <c r="U89" i="20"/>
  <c r="V89" i="20" s="1"/>
  <c r="Q118" i="20"/>
  <c r="Q117" i="20" s="1"/>
  <c r="M122" i="20"/>
  <c r="G122" i="20" s="1"/>
  <c r="M126" i="20"/>
  <c r="G126" i="20" s="1"/>
  <c r="M127" i="20"/>
  <c r="G127" i="20" s="1"/>
  <c r="U127" i="20"/>
  <c r="V127" i="20" s="1"/>
  <c r="M128" i="20"/>
  <c r="G128" i="20" s="1"/>
  <c r="U128" i="20"/>
  <c r="V128" i="20" s="1"/>
  <c r="M136" i="20"/>
  <c r="U141" i="20"/>
  <c r="V141" i="20" s="1"/>
  <c r="U142" i="20"/>
  <c r="V142" i="20" s="1"/>
  <c r="U143" i="20"/>
  <c r="V143" i="20" s="1"/>
  <c r="U144" i="20"/>
  <c r="V144" i="20" s="1"/>
  <c r="M150" i="20"/>
  <c r="G150" i="20" s="1"/>
  <c r="M152" i="20"/>
  <c r="G152" i="20" s="1"/>
  <c r="M154" i="20"/>
  <c r="G154" i="20" s="1"/>
  <c r="M156" i="20"/>
  <c r="G156" i="20" s="1"/>
  <c r="M164" i="20"/>
  <c r="G164" i="20" s="1"/>
  <c r="M165" i="20"/>
  <c r="G165" i="20" s="1"/>
  <c r="M166" i="20"/>
  <c r="G166" i="20" s="1"/>
  <c r="M168" i="20"/>
  <c r="G168" i="20" s="1"/>
  <c r="M169" i="20"/>
  <c r="G169" i="20" s="1"/>
  <c r="T172" i="20"/>
  <c r="C14" i="20"/>
  <c r="C13" i="20" s="1"/>
  <c r="U176" i="20"/>
  <c r="U178" i="20"/>
  <c r="V178" i="20" s="1"/>
  <c r="U198" i="20"/>
  <c r="U200" i="20"/>
  <c r="V200" i="20" s="1"/>
  <c r="U202" i="20"/>
  <c r="U203" i="20"/>
  <c r="V203" i="20" s="1"/>
  <c r="U207" i="20"/>
  <c r="V207" i="20" s="1"/>
  <c r="U208" i="20"/>
  <c r="V208" i="20" s="1"/>
  <c r="U210" i="20"/>
  <c r="V210" i="20" s="1"/>
  <c r="U212" i="20"/>
  <c r="V212" i="20" s="1"/>
  <c r="U214" i="20"/>
  <c r="V214" i="20" s="1"/>
  <c r="U218" i="20"/>
  <c r="U220" i="20"/>
  <c r="V220" i="20" s="1"/>
  <c r="U222" i="20"/>
  <c r="V222" i="20" s="1"/>
  <c r="M231" i="20"/>
  <c r="U241" i="20"/>
  <c r="V241" i="20" s="1"/>
  <c r="M244" i="20"/>
  <c r="G244" i="20" s="1"/>
  <c r="M251" i="20"/>
  <c r="G251" i="20" s="1"/>
  <c r="I252" i="20"/>
  <c r="P252" i="20"/>
  <c r="P236" i="20" s="1"/>
  <c r="G264" i="20"/>
  <c r="G257" i="20" s="1"/>
  <c r="T319" i="20"/>
  <c r="U389" i="20"/>
  <c r="V389" i="20" s="1"/>
  <c r="U433" i="20"/>
  <c r="V433" i="20" s="1"/>
  <c r="T440" i="20"/>
  <c r="P441" i="20"/>
  <c r="T441" i="20" s="1"/>
  <c r="T442" i="20"/>
  <c r="P443" i="20"/>
  <c r="T443" i="20" s="1"/>
  <c r="T444" i="20"/>
  <c r="P445" i="20"/>
  <c r="T445" i="20" s="1"/>
  <c r="T446" i="20"/>
  <c r="P447" i="20"/>
  <c r="T447" i="20" s="1"/>
  <c r="T448" i="20"/>
  <c r="P449" i="20"/>
  <c r="T449" i="20" s="1"/>
  <c r="T452" i="20"/>
  <c r="T453" i="20"/>
  <c r="T455" i="20"/>
  <c r="T456" i="20"/>
  <c r="T457" i="20"/>
  <c r="T459" i="20"/>
  <c r="T460" i="20"/>
  <c r="T463" i="20"/>
  <c r="P464" i="20"/>
  <c r="T465" i="20"/>
  <c r="P466" i="20"/>
  <c r="T467" i="20"/>
  <c r="P468" i="20"/>
  <c r="T469" i="20"/>
  <c r="P470" i="20"/>
  <c r="T471" i="20"/>
  <c r="T474" i="20"/>
  <c r="T475" i="20"/>
  <c r="T477" i="20"/>
  <c r="T478" i="20"/>
  <c r="T479" i="20"/>
  <c r="T481" i="20"/>
  <c r="T482" i="20"/>
  <c r="P485" i="20"/>
  <c r="T485" i="20" s="1"/>
  <c r="T486" i="20"/>
  <c r="P487" i="20"/>
  <c r="T488" i="20"/>
  <c r="P489" i="20"/>
  <c r="T489" i="20" s="1"/>
  <c r="T490" i="20"/>
  <c r="P491" i="20"/>
  <c r="T492" i="20"/>
  <c r="P493" i="20"/>
  <c r="T493" i="20" s="1"/>
  <c r="T496" i="20"/>
  <c r="P497" i="20"/>
  <c r="T497" i="20" s="1"/>
  <c r="T498" i="20"/>
  <c r="T500" i="20"/>
  <c r="T501" i="20"/>
  <c r="T502" i="20"/>
  <c r="P503" i="20"/>
  <c r="T503" i="20" s="1"/>
  <c r="T504" i="20"/>
  <c r="P508" i="20"/>
  <c r="T509" i="20"/>
  <c r="P510" i="20"/>
  <c r="T510" i="20" s="1"/>
  <c r="T511" i="20"/>
  <c r="P512" i="20"/>
  <c r="T513" i="20"/>
  <c r="P514" i="20"/>
  <c r="T514" i="20" s="1"/>
  <c r="T515" i="20"/>
  <c r="M517" i="20"/>
  <c r="G517" i="20" s="1"/>
  <c r="R516" i="20"/>
  <c r="O527" i="20"/>
  <c r="Q79" i="20"/>
  <c r="P81" i="20"/>
  <c r="I74" i="20"/>
  <c r="G74" i="20" s="1"/>
  <c r="I78" i="20"/>
  <c r="G78" i="20" s="1"/>
  <c r="I77" i="20"/>
  <c r="G77" i="20" s="1"/>
  <c r="I92" i="20"/>
  <c r="I93" i="20"/>
  <c r="M93" i="20" s="1"/>
  <c r="I100" i="20"/>
  <c r="M100" i="20" s="1"/>
  <c r="G100" i="20" s="1"/>
  <c r="I101" i="20"/>
  <c r="M101" i="20" s="1"/>
  <c r="G101" i="20" s="1"/>
  <c r="I102" i="20"/>
  <c r="J79" i="20"/>
  <c r="I80" i="20"/>
  <c r="M80" i="20" s="1"/>
  <c r="G80" i="20" s="1"/>
  <c r="I81" i="20"/>
  <c r="M81" i="20" s="1"/>
  <c r="G81" i="20" s="1"/>
  <c r="I83" i="20"/>
  <c r="M83" i="20" s="1"/>
  <c r="G83" i="20" s="1"/>
  <c r="I76" i="20"/>
  <c r="G76" i="20" s="1"/>
  <c r="P82" i="20"/>
  <c r="T82" i="20" s="1"/>
  <c r="P84" i="20"/>
  <c r="P80" i="20"/>
  <c r="P83" i="20"/>
  <c r="T83" i="20" s="1"/>
  <c r="M115" i="20"/>
  <c r="G115" i="20" s="1"/>
  <c r="F180" i="20"/>
  <c r="P74" i="20"/>
  <c r="I75" i="20"/>
  <c r="G75" i="20" s="1"/>
  <c r="P85" i="20"/>
  <c r="T85" i="20" s="1"/>
  <c r="P86" i="20"/>
  <c r="T86" i="20" s="1"/>
  <c r="N86" i="20" s="1"/>
  <c r="P87" i="20"/>
  <c r="P88" i="20"/>
  <c r="T88" i="20" s="1"/>
  <c r="P104" i="20"/>
  <c r="T104" i="20" s="1"/>
  <c r="P105" i="20"/>
  <c r="T105" i="20" s="1"/>
  <c r="P106" i="20"/>
  <c r="P107" i="20"/>
  <c r="T107" i="20" s="1"/>
  <c r="N107" i="20" s="1"/>
  <c r="P108" i="20"/>
  <c r="P109" i="20"/>
  <c r="T109" i="20" s="1"/>
  <c r="P110" i="20"/>
  <c r="T110" i="20" s="1"/>
  <c r="N110" i="20" s="1"/>
  <c r="P111" i="20"/>
  <c r="T111" i="20" s="1"/>
  <c r="P112" i="20"/>
  <c r="P113" i="20"/>
  <c r="T113" i="20" s="1"/>
  <c r="P114" i="20"/>
  <c r="P78" i="20"/>
  <c r="F70" i="20"/>
  <c r="F69" i="20" s="1"/>
  <c r="I85" i="20"/>
  <c r="I86" i="20"/>
  <c r="M86" i="20" s="1"/>
  <c r="G86" i="20" s="1"/>
  <c r="I87" i="20"/>
  <c r="I88" i="20"/>
  <c r="M88" i="20" s="1"/>
  <c r="P92" i="20"/>
  <c r="P93" i="20"/>
  <c r="T93" i="20" s="1"/>
  <c r="P100" i="20"/>
  <c r="T100" i="20" s="1"/>
  <c r="N100" i="20" s="1"/>
  <c r="P102" i="20"/>
  <c r="T102" i="20" s="1"/>
  <c r="I104" i="20"/>
  <c r="M104" i="20" s="1"/>
  <c r="G104" i="20" s="1"/>
  <c r="I105" i="20"/>
  <c r="M105" i="20" s="1"/>
  <c r="G105" i="20" s="1"/>
  <c r="I106" i="20"/>
  <c r="M106" i="20" s="1"/>
  <c r="G106" i="20" s="1"/>
  <c r="I107" i="20"/>
  <c r="M107" i="20" s="1"/>
  <c r="G107" i="20" s="1"/>
  <c r="I108" i="20"/>
  <c r="I109" i="20"/>
  <c r="M109" i="20" s="1"/>
  <c r="G109" i="20" s="1"/>
  <c r="I110" i="20"/>
  <c r="M110" i="20" s="1"/>
  <c r="G110" i="20" s="1"/>
  <c r="I111" i="20"/>
  <c r="M111" i="20" s="1"/>
  <c r="G111" i="20" s="1"/>
  <c r="I112" i="20"/>
  <c r="M112" i="20" s="1"/>
  <c r="G112" i="20" s="1"/>
  <c r="I113" i="20"/>
  <c r="M113" i="20" s="1"/>
  <c r="G113" i="20" s="1"/>
  <c r="D238" i="19"/>
  <c r="E169" i="19"/>
  <c r="L186" i="19"/>
  <c r="M186" i="19" s="1"/>
  <c r="L219" i="19"/>
  <c r="M219" i="19" s="1"/>
  <c r="L106" i="19"/>
  <c r="L218" i="19"/>
  <c r="M218" i="19" s="1"/>
  <c r="D253" i="19"/>
  <c r="P52" i="20"/>
  <c r="Q42" i="20"/>
  <c r="P42" i="20" s="1"/>
  <c r="Q48" i="20"/>
  <c r="P48" i="20" s="1"/>
  <c r="N48" i="20" s="1"/>
  <c r="T64" i="20"/>
  <c r="T66" i="20"/>
  <c r="U171" i="20"/>
  <c r="V171" i="20" s="1"/>
  <c r="N171" i="20"/>
  <c r="M56" i="19"/>
  <c r="M78" i="19"/>
  <c r="L105" i="19"/>
  <c r="M105" i="19" s="1"/>
  <c r="L134" i="19"/>
  <c r="M134" i="19" s="1"/>
  <c r="L174" i="19"/>
  <c r="M174" i="19" s="1"/>
  <c r="L179" i="19"/>
  <c r="M179" i="19" s="1"/>
  <c r="L184" i="19"/>
  <c r="M184" i="19" s="1"/>
  <c r="L190" i="19"/>
  <c r="M190" i="19" s="1"/>
  <c r="D241" i="19"/>
  <c r="D257" i="19"/>
  <c r="I25" i="20"/>
  <c r="M25" i="20" s="1"/>
  <c r="I26" i="20"/>
  <c r="M26" i="20" s="1"/>
  <c r="D26" i="20" s="1"/>
  <c r="I31" i="20"/>
  <c r="M31" i="20" s="1"/>
  <c r="I38" i="20"/>
  <c r="M38" i="20" s="1"/>
  <c r="P39" i="20"/>
  <c r="I45" i="20"/>
  <c r="I52" i="20"/>
  <c r="M52" i="20" s="1"/>
  <c r="P53" i="20"/>
  <c r="T56" i="20"/>
  <c r="T58" i="20" s="1"/>
  <c r="R59" i="20"/>
  <c r="T60" i="20"/>
  <c r="U60" i="20" s="1"/>
  <c r="V60" i="20" s="1"/>
  <c r="P61" i="20"/>
  <c r="I63" i="20"/>
  <c r="I68" i="20" s="1"/>
  <c r="E59" i="20"/>
  <c r="U71" i="20"/>
  <c r="V71" i="20" s="1"/>
  <c r="I146" i="20"/>
  <c r="I145" i="20" s="1"/>
  <c r="T206" i="20"/>
  <c r="P204" i="20"/>
  <c r="P181" i="20" s="1"/>
  <c r="P180" i="20" s="1"/>
  <c r="S18" i="20"/>
  <c r="S17" i="20" s="1"/>
  <c r="S16" i="20" s="1"/>
  <c r="S14" i="20" s="1"/>
  <c r="S13" i="20" s="1"/>
  <c r="P58" i="20"/>
  <c r="L120" i="19"/>
  <c r="M120" i="19" s="1"/>
  <c r="L121" i="19"/>
  <c r="M121" i="19" s="1"/>
  <c r="D234" i="19"/>
  <c r="T28" i="20"/>
  <c r="N28" i="20" s="1"/>
  <c r="P31" i="20"/>
  <c r="T31" i="20" s="1"/>
  <c r="I32" i="20"/>
  <c r="M32" i="20" s="1"/>
  <c r="P33" i="20"/>
  <c r="I40" i="20"/>
  <c r="M40" i="20" s="1"/>
  <c r="D40" i="20" s="1"/>
  <c r="P41" i="20"/>
  <c r="P45" i="20"/>
  <c r="I46" i="20"/>
  <c r="M46" i="20" s="1"/>
  <c r="P47" i="20"/>
  <c r="T47" i="20" s="1"/>
  <c r="N47" i="20" s="1"/>
  <c r="I54" i="20"/>
  <c r="M54" i="20" s="1"/>
  <c r="P55" i="20"/>
  <c r="K59" i="20"/>
  <c r="P73" i="20"/>
  <c r="T73" i="20" s="1"/>
  <c r="M120" i="20"/>
  <c r="G120" i="20" s="1"/>
  <c r="G118" i="20" s="1"/>
  <c r="G117" i="20" s="1"/>
  <c r="I118" i="20"/>
  <c r="I117" i="20" s="1"/>
  <c r="G138" i="20"/>
  <c r="G137" i="20" s="1"/>
  <c r="L197" i="19"/>
  <c r="M197" i="19" s="1"/>
  <c r="Q21" i="20"/>
  <c r="P21" i="20" s="1"/>
  <c r="T21" i="20" s="1"/>
  <c r="U21" i="20" s="1"/>
  <c r="V21" i="20" s="1"/>
  <c r="Q34" i="20"/>
  <c r="P34" i="20" s="1"/>
  <c r="M66" i="20"/>
  <c r="G66" i="20" s="1"/>
  <c r="L112" i="19"/>
  <c r="M112" i="19" s="1"/>
  <c r="L177" i="19"/>
  <c r="M177" i="19" s="1"/>
  <c r="L196" i="19"/>
  <c r="M196" i="19" s="1"/>
  <c r="L204" i="19"/>
  <c r="M204" i="19" s="1"/>
  <c r="D237" i="19"/>
  <c r="D254" i="19"/>
  <c r="D259" i="19"/>
  <c r="I28" i="20"/>
  <c r="P35" i="20"/>
  <c r="P43" i="20"/>
  <c r="P49" i="20"/>
  <c r="T49" i="20" s="1"/>
  <c r="I57" i="20"/>
  <c r="M57" i="20" s="1"/>
  <c r="S59" i="20"/>
  <c r="U62" i="20"/>
  <c r="V62" i="20" s="1"/>
  <c r="U65" i="20"/>
  <c r="V65" i="20" s="1"/>
  <c r="T67" i="20"/>
  <c r="U72" i="20"/>
  <c r="V72" i="20" s="1"/>
  <c r="I73" i="20"/>
  <c r="M73" i="20" s="1"/>
  <c r="G73" i="20" s="1"/>
  <c r="P77" i="20"/>
  <c r="T77" i="20" s="1"/>
  <c r="R70" i="20"/>
  <c r="R69" i="20" s="1"/>
  <c r="G223" i="20"/>
  <c r="G217" i="20" s="1"/>
  <c r="G216" i="20" s="1"/>
  <c r="M217" i="20"/>
  <c r="M216" i="20" s="1"/>
  <c r="P76" i="20"/>
  <c r="K79" i="20"/>
  <c r="K70" i="20" s="1"/>
  <c r="K69" i="20" s="1"/>
  <c r="J91" i="20"/>
  <c r="Q91" i="20"/>
  <c r="Q70" i="20" s="1"/>
  <c r="Q69" i="20" s="1"/>
  <c r="M92" i="20"/>
  <c r="G92" i="20" s="1"/>
  <c r="T92" i="20"/>
  <c r="Q116" i="20"/>
  <c r="M102" i="20"/>
  <c r="G102" i="20" s="1"/>
  <c r="E116" i="20"/>
  <c r="J116" i="20"/>
  <c r="M121" i="20"/>
  <c r="G121" i="20" s="1"/>
  <c r="U130" i="20"/>
  <c r="V130" i="20" s="1"/>
  <c r="U131" i="20"/>
  <c r="V131" i="20" s="1"/>
  <c r="M138" i="20"/>
  <c r="M137" i="20" s="1"/>
  <c r="M151" i="20"/>
  <c r="G151" i="20" s="1"/>
  <c r="T152" i="20"/>
  <c r="T162" i="20"/>
  <c r="U162" i="20" s="1"/>
  <c r="V162" i="20" s="1"/>
  <c r="T167" i="20"/>
  <c r="T169" i="20"/>
  <c r="U225" i="20"/>
  <c r="V225" i="20" s="1"/>
  <c r="I237" i="20"/>
  <c r="N241" i="20"/>
  <c r="M248" i="20"/>
  <c r="G248" i="20" s="1"/>
  <c r="M369" i="20"/>
  <c r="I368" i="20"/>
  <c r="I367" i="20" s="1"/>
  <c r="I366" i="20" s="1"/>
  <c r="T80" i="20"/>
  <c r="N80" i="20" s="1"/>
  <c r="M82" i="20"/>
  <c r="G82" i="20" s="1"/>
  <c r="M84" i="20"/>
  <c r="G84" i="20" s="1"/>
  <c r="T84" i="20"/>
  <c r="N84" i="20" s="1"/>
  <c r="F116" i="20"/>
  <c r="K116" i="20"/>
  <c r="R116" i="20"/>
  <c r="U119" i="20"/>
  <c r="P121" i="20"/>
  <c r="P118" i="20" s="1"/>
  <c r="P117" i="20" s="1"/>
  <c r="G130" i="20"/>
  <c r="G131" i="20"/>
  <c r="M133" i="20"/>
  <c r="T133" i="20"/>
  <c r="T132" i="20" s="1"/>
  <c r="U139" i="20"/>
  <c r="P150" i="20"/>
  <c r="P146" i="20" s="1"/>
  <c r="P145" i="20" s="1"/>
  <c r="T183" i="20"/>
  <c r="T184" i="20"/>
  <c r="N184" i="20" s="1"/>
  <c r="U186" i="20"/>
  <c r="V186" i="20" s="1"/>
  <c r="U188" i="20"/>
  <c r="U190" i="20"/>
  <c r="V190" i="20" s="1"/>
  <c r="U194" i="20"/>
  <c r="V194" i="20" s="1"/>
  <c r="U196" i="20"/>
  <c r="V196" i="20" s="1"/>
  <c r="M199" i="20"/>
  <c r="M197" i="20" s="1"/>
  <c r="T87" i="20"/>
  <c r="N87" i="20" s="1"/>
  <c r="O116" i="20"/>
  <c r="T106" i="20"/>
  <c r="N106" i="20" s="1"/>
  <c r="M108" i="20"/>
  <c r="G108" i="20" s="1"/>
  <c r="H116" i="20"/>
  <c r="T114" i="20"/>
  <c r="N114" i="20" s="1"/>
  <c r="J118" i="20"/>
  <c r="J117" i="20" s="1"/>
  <c r="R146" i="20"/>
  <c r="R145" i="20" s="1"/>
  <c r="M163" i="20"/>
  <c r="G163" i="20" s="1"/>
  <c r="T163" i="20"/>
  <c r="M167" i="20"/>
  <c r="G167" i="20" s="1"/>
  <c r="U209" i="20"/>
  <c r="V209" i="20" s="1"/>
  <c r="U211" i="20"/>
  <c r="V211" i="20" s="1"/>
  <c r="U213" i="20"/>
  <c r="V213" i="20" s="1"/>
  <c r="U215" i="20"/>
  <c r="V215" i="20" s="1"/>
  <c r="U219" i="20"/>
  <c r="V219" i="20" s="1"/>
  <c r="U221" i="20"/>
  <c r="V221" i="20" s="1"/>
  <c r="U240" i="20"/>
  <c r="V240" i="20" s="1"/>
  <c r="P75" i="20"/>
  <c r="T75" i="20" s="1"/>
  <c r="E79" i="20"/>
  <c r="E70" i="20" s="1"/>
  <c r="E69" i="20" s="1"/>
  <c r="E14" i="20" s="1"/>
  <c r="E13" i="20" s="1"/>
  <c r="T81" i="20"/>
  <c r="N81" i="20" s="1"/>
  <c r="O91" i="20"/>
  <c r="O70" i="20" s="1"/>
  <c r="O69" i="20" s="1"/>
  <c r="P101" i="20"/>
  <c r="I114" i="20"/>
  <c r="U129" i="20"/>
  <c r="V129" i="20" s="1"/>
  <c r="T147" i="20"/>
  <c r="M148" i="20"/>
  <c r="G148" i="20" s="1"/>
  <c r="T149" i="20"/>
  <c r="M153" i="20"/>
  <c r="G153" i="20" s="1"/>
  <c r="M158" i="20"/>
  <c r="G158" i="20" s="1"/>
  <c r="T158" i="20"/>
  <c r="N158" i="20" s="1"/>
  <c r="M160" i="20"/>
  <c r="G160" i="20" s="1"/>
  <c r="T170" i="20"/>
  <c r="N170" i="20" s="1"/>
  <c r="U173" i="20"/>
  <c r="V173" i="20" s="1"/>
  <c r="U177" i="20"/>
  <c r="V177" i="20" s="1"/>
  <c r="U179" i="20"/>
  <c r="V179" i="20" s="1"/>
  <c r="U185" i="20"/>
  <c r="V185" i="20" s="1"/>
  <c r="U189" i="20"/>
  <c r="V189" i="20" s="1"/>
  <c r="U192" i="20"/>
  <c r="V192" i="20" s="1"/>
  <c r="U195" i="20"/>
  <c r="V195" i="20" s="1"/>
  <c r="T199" i="20"/>
  <c r="T197" i="20" s="1"/>
  <c r="Q204" i="20"/>
  <c r="Q181" i="20" s="1"/>
  <c r="Q180" i="20" s="1"/>
  <c r="U205" i="20"/>
  <c r="V205" i="20" s="1"/>
  <c r="U243" i="20"/>
  <c r="V243" i="20" s="1"/>
  <c r="G415" i="20"/>
  <c r="M249" i="20"/>
  <c r="G249" i="20" s="1"/>
  <c r="T249" i="20"/>
  <c r="N249" i="20" s="1"/>
  <c r="U371" i="20"/>
  <c r="V371" i="20" s="1"/>
  <c r="P439" i="20"/>
  <c r="T451" i="20"/>
  <c r="R494" i="20"/>
  <c r="P495" i="20"/>
  <c r="P507" i="20"/>
  <c r="T507" i="20" s="1"/>
  <c r="Q505" i="20"/>
  <c r="M532" i="20"/>
  <c r="G532" i="20" s="1"/>
  <c r="T244" i="20"/>
  <c r="N244" i="20" s="1"/>
  <c r="U245" i="20"/>
  <c r="V245" i="20" s="1"/>
  <c r="M252" i="20"/>
  <c r="G252" i="20" s="1"/>
  <c r="T252" i="20"/>
  <c r="U252" i="20" s="1"/>
  <c r="V252" i="20" s="1"/>
  <c r="U261" i="20"/>
  <c r="V261" i="20" s="1"/>
  <c r="U266" i="20"/>
  <c r="V266" i="20" s="1"/>
  <c r="U268" i="20"/>
  <c r="V268" i="20" s="1"/>
  <c r="U270" i="20"/>
  <c r="V270" i="20" s="1"/>
  <c r="U277" i="20"/>
  <c r="V277" i="20" s="1"/>
  <c r="U279" i="20"/>
  <c r="V279" i="20" s="1"/>
  <c r="U281" i="20"/>
  <c r="V281" i="20" s="1"/>
  <c r="U283" i="20"/>
  <c r="V283" i="20" s="1"/>
  <c r="U285" i="20"/>
  <c r="V285" i="20" s="1"/>
  <c r="U287" i="20"/>
  <c r="V287" i="20" s="1"/>
  <c r="U289" i="20"/>
  <c r="V289" i="20" s="1"/>
  <c r="U292" i="20"/>
  <c r="V292" i="20" s="1"/>
  <c r="U294" i="20"/>
  <c r="V294" i="20" s="1"/>
  <c r="U296" i="20"/>
  <c r="V296" i="20" s="1"/>
  <c r="U298" i="20"/>
  <c r="V298" i="20" s="1"/>
  <c r="U300" i="20"/>
  <c r="V300" i="20" s="1"/>
  <c r="U306" i="20"/>
  <c r="V306" i="20" s="1"/>
  <c r="N308" i="20"/>
  <c r="N304" i="20" s="1"/>
  <c r="N303" i="20" s="1"/>
  <c r="U309" i="20"/>
  <c r="V309" i="20" s="1"/>
  <c r="U313" i="20"/>
  <c r="V313" i="20" s="1"/>
  <c r="U315" i="20"/>
  <c r="V315" i="20" s="1"/>
  <c r="U317" i="20"/>
  <c r="V317" i="20" s="1"/>
  <c r="U322" i="20"/>
  <c r="U362" i="20"/>
  <c r="V362" i="20" s="1"/>
  <c r="V361" i="20" s="1"/>
  <c r="V360" i="20" s="1"/>
  <c r="U364" i="20"/>
  <c r="V364" i="20" s="1"/>
  <c r="T369" i="20"/>
  <c r="G371" i="20"/>
  <c r="U372" i="20"/>
  <c r="V372" i="20" s="1"/>
  <c r="U374" i="20"/>
  <c r="U376" i="20"/>
  <c r="V376" i="20" s="1"/>
  <c r="U378" i="20"/>
  <c r="V378" i="20" s="1"/>
  <c r="U380" i="20"/>
  <c r="V380" i="20" s="1"/>
  <c r="U382" i="20"/>
  <c r="V382" i="20" s="1"/>
  <c r="O387" i="20"/>
  <c r="O367" i="20" s="1"/>
  <c r="N389" i="20"/>
  <c r="U392" i="20"/>
  <c r="V392" i="20" s="1"/>
  <c r="T393" i="20"/>
  <c r="N393" i="20" s="1"/>
  <c r="T394" i="20"/>
  <c r="N394" i="20" s="1"/>
  <c r="U396" i="20"/>
  <c r="V396" i="20" s="1"/>
  <c r="U398" i="20"/>
  <c r="V398" i="20" s="1"/>
  <c r="U400" i="20"/>
  <c r="V400" i="20" s="1"/>
  <c r="T401" i="20"/>
  <c r="N401" i="20" s="1"/>
  <c r="O403" i="20"/>
  <c r="O402" i="20" s="1"/>
  <c r="T404" i="20"/>
  <c r="N404" i="20" s="1"/>
  <c r="U406" i="20"/>
  <c r="V406" i="20" s="1"/>
  <c r="N408" i="20"/>
  <c r="N409" i="20"/>
  <c r="N410" i="20"/>
  <c r="G434" i="20"/>
  <c r="T434" i="20"/>
  <c r="N434" i="20" s="1"/>
  <c r="T435" i="20"/>
  <c r="N435" i="20" s="1"/>
  <c r="U437" i="20"/>
  <c r="V437" i="20" s="1"/>
  <c r="P454" i="20"/>
  <c r="T454" i="20" s="1"/>
  <c r="Q461" i="20"/>
  <c r="T464" i="20"/>
  <c r="T468" i="20"/>
  <c r="U468" i="20" s="1"/>
  <c r="V468" i="20" s="1"/>
  <c r="P480" i="20"/>
  <c r="T480" i="20" s="1"/>
  <c r="P499" i="20"/>
  <c r="T499" i="20" s="1"/>
  <c r="S505" i="20"/>
  <c r="P506" i="20"/>
  <c r="P505" i="20" s="1"/>
  <c r="M524" i="20"/>
  <c r="G524" i="20" s="1"/>
  <c r="M528" i="20"/>
  <c r="I527" i="20"/>
  <c r="P484" i="20"/>
  <c r="P483" i="20" s="1"/>
  <c r="Q483" i="20"/>
  <c r="O483" i="20"/>
  <c r="M520" i="20"/>
  <c r="G520" i="20" s="1"/>
  <c r="U247" i="20"/>
  <c r="V247" i="20" s="1"/>
  <c r="T251" i="20"/>
  <c r="U260" i="20"/>
  <c r="U262" i="20"/>
  <c r="V262" i="20" s="1"/>
  <c r="U265" i="20"/>
  <c r="U264" i="20" s="1"/>
  <c r="U267" i="20"/>
  <c r="V267" i="20" s="1"/>
  <c r="U269" i="20"/>
  <c r="V269" i="20" s="1"/>
  <c r="U271" i="20"/>
  <c r="V271" i="20" s="1"/>
  <c r="U272" i="20"/>
  <c r="V272" i="20" s="1"/>
  <c r="U276" i="20"/>
  <c r="U278" i="20"/>
  <c r="V278" i="20" s="1"/>
  <c r="U280" i="20"/>
  <c r="V280" i="20" s="1"/>
  <c r="U282" i="20"/>
  <c r="V282" i="20" s="1"/>
  <c r="U284" i="20"/>
  <c r="V284" i="20" s="1"/>
  <c r="U286" i="20"/>
  <c r="V286" i="20" s="1"/>
  <c r="U288" i="20"/>
  <c r="V288" i="20" s="1"/>
  <c r="U291" i="20"/>
  <c r="V291" i="20" s="1"/>
  <c r="U293" i="20"/>
  <c r="V293" i="20" s="1"/>
  <c r="U295" i="20"/>
  <c r="V295" i="20" s="1"/>
  <c r="U297" i="20"/>
  <c r="V297" i="20" s="1"/>
  <c r="U299" i="20"/>
  <c r="V299" i="20" s="1"/>
  <c r="U305" i="20"/>
  <c r="U307" i="20"/>
  <c r="V307" i="20" s="1"/>
  <c r="U312" i="20"/>
  <c r="V312" i="20" s="1"/>
  <c r="U314" i="20"/>
  <c r="V314" i="20" s="1"/>
  <c r="U316" i="20"/>
  <c r="V316" i="20" s="1"/>
  <c r="P318" i="20"/>
  <c r="P331" i="20"/>
  <c r="U363" i="20"/>
  <c r="V363" i="20" s="1"/>
  <c r="U365" i="20"/>
  <c r="V365" i="20" s="1"/>
  <c r="U370" i="20"/>
  <c r="V370" i="20" s="1"/>
  <c r="U375" i="20"/>
  <c r="V375" i="20" s="1"/>
  <c r="U377" i="20"/>
  <c r="V377" i="20" s="1"/>
  <c r="U379" i="20"/>
  <c r="V379" i="20" s="1"/>
  <c r="U381" i="20"/>
  <c r="V381" i="20" s="1"/>
  <c r="H383" i="20"/>
  <c r="H367" i="20" s="1"/>
  <c r="H366" i="20" s="1"/>
  <c r="U391" i="20"/>
  <c r="V391" i="20" s="1"/>
  <c r="V390" i="20" s="1"/>
  <c r="U395" i="20"/>
  <c r="V395" i="20" s="1"/>
  <c r="U397" i="20"/>
  <c r="V397" i="20" s="1"/>
  <c r="U399" i="20"/>
  <c r="V399" i="20" s="1"/>
  <c r="U405" i="20"/>
  <c r="V405" i="20" s="1"/>
  <c r="U407" i="20"/>
  <c r="V407" i="20" s="1"/>
  <c r="O414" i="20"/>
  <c r="U417" i="20"/>
  <c r="V417" i="20" s="1"/>
  <c r="U419" i="20"/>
  <c r="V419" i="20" s="1"/>
  <c r="U420" i="20"/>
  <c r="V420" i="20" s="1"/>
  <c r="U421" i="20"/>
  <c r="V421" i="20" s="1"/>
  <c r="U436" i="20"/>
  <c r="V436" i="20" s="1"/>
  <c r="P458" i="20"/>
  <c r="T458" i="20" s="1"/>
  <c r="S461" i="20"/>
  <c r="P462" i="20"/>
  <c r="T466" i="20"/>
  <c r="N466" i="20" s="1"/>
  <c r="T470" i="20"/>
  <c r="N470" i="20" s="1"/>
  <c r="P476" i="20"/>
  <c r="T476" i="20" s="1"/>
  <c r="S483" i="20"/>
  <c r="T487" i="20"/>
  <c r="T491" i="20"/>
  <c r="N491" i="20" s="1"/>
  <c r="T508" i="20"/>
  <c r="T512" i="20"/>
  <c r="G521" i="20"/>
  <c r="M536" i="20"/>
  <c r="G536" i="20" s="1"/>
  <c r="S527" i="20"/>
  <c r="G530" i="20"/>
  <c r="P530" i="20"/>
  <c r="T530" i="20" s="1"/>
  <c r="U530" i="20" s="1"/>
  <c r="V530" i="20" s="1"/>
  <c r="R472" i="20"/>
  <c r="P521" i="20"/>
  <c r="P525" i="20"/>
  <c r="P529" i="20"/>
  <c r="T529" i="20" s="1"/>
  <c r="P533" i="20"/>
  <c r="P537" i="20"/>
  <c r="P520" i="20"/>
  <c r="T520" i="20" s="1"/>
  <c r="P524" i="20"/>
  <c r="P528" i="20"/>
  <c r="T528" i="20" s="1"/>
  <c r="N528" i="20" s="1"/>
  <c r="P532" i="20"/>
  <c r="P536" i="20"/>
  <c r="T536" i="20" s="1"/>
  <c r="D21" i="20"/>
  <c r="G21" i="20"/>
  <c r="D25" i="20"/>
  <c r="G25" i="20"/>
  <c r="D23" i="20"/>
  <c r="G23" i="20"/>
  <c r="D29" i="20"/>
  <c r="G29" i="20"/>
  <c r="Q20" i="20"/>
  <c r="P20" i="20" s="1"/>
  <c r="I20" i="20"/>
  <c r="O22" i="20"/>
  <c r="Q24" i="20"/>
  <c r="P24" i="20" s="1"/>
  <c r="I24" i="20"/>
  <c r="M24" i="20" s="1"/>
  <c r="D24" i="20" s="1"/>
  <c r="P25" i="20"/>
  <c r="T25" i="20" s="1"/>
  <c r="U25" i="20" s="1"/>
  <c r="V25" i="20" s="1"/>
  <c r="O26" i="20"/>
  <c r="O27" i="20"/>
  <c r="Q30" i="20"/>
  <c r="P30" i="20" s="1"/>
  <c r="I30" i="20"/>
  <c r="M30" i="20" s="1"/>
  <c r="H18" i="20"/>
  <c r="H17" i="20" s="1"/>
  <c r="H16" i="20" s="1"/>
  <c r="L18" i="20"/>
  <c r="L17" i="20" s="1"/>
  <c r="L16" i="20" s="1"/>
  <c r="L14" i="20" s="1"/>
  <c r="L13" i="20" s="1"/>
  <c r="R19" i="20"/>
  <c r="R18" i="20" s="1"/>
  <c r="R17" i="20" s="1"/>
  <c r="R16" i="20" s="1"/>
  <c r="K18" i="20"/>
  <c r="K17" i="20" s="1"/>
  <c r="K16" i="20" s="1"/>
  <c r="M19" i="20"/>
  <c r="O20" i="20"/>
  <c r="Q22" i="20"/>
  <c r="P22" i="20" s="1"/>
  <c r="I22" i="20"/>
  <c r="M22" i="20" s="1"/>
  <c r="P23" i="20"/>
  <c r="T23" i="20" s="1"/>
  <c r="O24" i="20"/>
  <c r="Q26" i="20"/>
  <c r="P26" i="20" s="1"/>
  <c r="Q27" i="20"/>
  <c r="P27" i="20" s="1"/>
  <c r="I27" i="20"/>
  <c r="P29" i="20"/>
  <c r="O30" i="20"/>
  <c r="P32" i="20"/>
  <c r="T32" i="20" s="1"/>
  <c r="T33" i="20"/>
  <c r="G34" i="20"/>
  <c r="D34" i="20"/>
  <c r="T34" i="20"/>
  <c r="U34" i="20" s="1"/>
  <c r="V34" i="20" s="1"/>
  <c r="P36" i="20"/>
  <c r="T37" i="20"/>
  <c r="G38" i="20"/>
  <c r="D38" i="20"/>
  <c r="T38" i="20"/>
  <c r="U38" i="20" s="1"/>
  <c r="V38" i="20" s="1"/>
  <c r="P40" i="20"/>
  <c r="T41" i="20"/>
  <c r="G42" i="20"/>
  <c r="D42" i="20"/>
  <c r="T42" i="20"/>
  <c r="U42" i="20" s="1"/>
  <c r="V42" i="20" s="1"/>
  <c r="P44" i="20"/>
  <c r="T44" i="20" s="1"/>
  <c r="P46" i="20"/>
  <c r="T46" i="20" s="1"/>
  <c r="G48" i="20"/>
  <c r="D48" i="20"/>
  <c r="T48" i="20"/>
  <c r="U48" i="20" s="1"/>
  <c r="V48" i="20" s="1"/>
  <c r="P50" i="20"/>
  <c r="T51" i="20"/>
  <c r="N51" i="20"/>
  <c r="D52" i="20"/>
  <c r="T52" i="20"/>
  <c r="P54" i="20"/>
  <c r="T54" i="20" s="1"/>
  <c r="T55" i="20"/>
  <c r="N55" i="20"/>
  <c r="N57" i="20"/>
  <c r="T61" i="20"/>
  <c r="M64" i="20"/>
  <c r="G64" i="20" s="1"/>
  <c r="U66" i="20"/>
  <c r="V66" i="20" s="1"/>
  <c r="N66" i="20"/>
  <c r="T74" i="20"/>
  <c r="U74" i="20" s="1"/>
  <c r="V74" i="20" s="1"/>
  <c r="T76" i="20"/>
  <c r="U76" i="20" s="1"/>
  <c r="V76" i="20" s="1"/>
  <c r="T78" i="20"/>
  <c r="U78" i="20" s="1"/>
  <c r="V78" i="20" s="1"/>
  <c r="M85" i="20"/>
  <c r="T115" i="20"/>
  <c r="V119" i="20"/>
  <c r="T122" i="20"/>
  <c r="U122" i="20" s="1"/>
  <c r="V122" i="20" s="1"/>
  <c r="U123" i="20"/>
  <c r="V123" i="20" s="1"/>
  <c r="N123" i="20"/>
  <c r="G133" i="20"/>
  <c r="G132" i="20" s="1"/>
  <c r="M132" i="20"/>
  <c r="N133" i="20"/>
  <c r="N132" i="20" s="1"/>
  <c r="V139" i="20"/>
  <c r="T29" i="20"/>
  <c r="U29" i="20" s="1"/>
  <c r="V29" i="20" s="1"/>
  <c r="G32" i="20"/>
  <c r="D32" i="20"/>
  <c r="T35" i="20"/>
  <c r="N35" i="20" s="1"/>
  <c r="G36" i="20"/>
  <c r="D36" i="20"/>
  <c r="T36" i="20"/>
  <c r="U36" i="20" s="1"/>
  <c r="V36" i="20" s="1"/>
  <c r="T39" i="20"/>
  <c r="T40" i="20"/>
  <c r="U40" i="20" s="1"/>
  <c r="V40" i="20" s="1"/>
  <c r="T45" i="20"/>
  <c r="N45" i="20"/>
  <c r="G46" i="20"/>
  <c r="D46" i="20"/>
  <c r="G50" i="20"/>
  <c r="D50" i="20"/>
  <c r="T53" i="20"/>
  <c r="N53" i="20" s="1"/>
  <c r="D54" i="20"/>
  <c r="U67" i="20"/>
  <c r="V67" i="20" s="1"/>
  <c r="N92" i="20"/>
  <c r="M118" i="20"/>
  <c r="M117" i="20" s="1"/>
  <c r="U126" i="20"/>
  <c r="T125" i="20"/>
  <c r="T124" i="20" s="1"/>
  <c r="U136" i="20"/>
  <c r="T135" i="20"/>
  <c r="T134" i="20" s="1"/>
  <c r="U140" i="20"/>
  <c r="V140" i="20" s="1"/>
  <c r="T138" i="20"/>
  <c r="T137" i="20" s="1"/>
  <c r="M28" i="20"/>
  <c r="I33" i="20"/>
  <c r="I35" i="20"/>
  <c r="N36" i="20"/>
  <c r="I37" i="20"/>
  <c r="N38" i="20"/>
  <c r="I39" i="20"/>
  <c r="N40" i="20"/>
  <c r="I41" i="20"/>
  <c r="I43" i="20"/>
  <c r="M44" i="20"/>
  <c r="M45" i="20"/>
  <c r="I47" i="20"/>
  <c r="I49" i="20"/>
  <c r="I51" i="20"/>
  <c r="N52" i="20"/>
  <c r="I53" i="20"/>
  <c r="I55" i="20"/>
  <c r="M56" i="20"/>
  <c r="U56" i="20" s="1"/>
  <c r="I59" i="20"/>
  <c r="O59" i="20"/>
  <c r="Q59" i="20"/>
  <c r="G60" i="20"/>
  <c r="N61" i="20"/>
  <c r="N62" i="20"/>
  <c r="P63" i="20"/>
  <c r="P68" i="20" s="1"/>
  <c r="N65" i="20"/>
  <c r="N67" i="20"/>
  <c r="H70" i="20"/>
  <c r="H69" i="20" s="1"/>
  <c r="T101" i="20"/>
  <c r="M114" i="20"/>
  <c r="N120" i="20"/>
  <c r="P125" i="20"/>
  <c r="P124" i="20" s="1"/>
  <c r="N126" i="20"/>
  <c r="N127" i="20"/>
  <c r="N128" i="20"/>
  <c r="N130" i="20"/>
  <c r="N131" i="20"/>
  <c r="P135" i="20"/>
  <c r="P134" i="20" s="1"/>
  <c r="N136" i="20"/>
  <c r="N135" i="20" s="1"/>
  <c r="N134" i="20" s="1"/>
  <c r="P138" i="20"/>
  <c r="P137" i="20" s="1"/>
  <c r="N140" i="20"/>
  <c r="N141" i="20"/>
  <c r="N142" i="20"/>
  <c r="N143" i="20"/>
  <c r="N144" i="20"/>
  <c r="M147" i="20"/>
  <c r="N147" i="20"/>
  <c r="T148" i="20"/>
  <c r="M149" i="20"/>
  <c r="G149" i="20" s="1"/>
  <c r="N149" i="20"/>
  <c r="T151" i="20"/>
  <c r="T153" i="20"/>
  <c r="N153" i="20" s="1"/>
  <c r="T160" i="20"/>
  <c r="U160" i="20" s="1"/>
  <c r="V160" i="20" s="1"/>
  <c r="T164" i="20"/>
  <c r="U164" i="20" s="1"/>
  <c r="V164" i="20" s="1"/>
  <c r="T166" i="20"/>
  <c r="U166" i="20" s="1"/>
  <c r="V166" i="20" s="1"/>
  <c r="T168" i="20"/>
  <c r="U168" i="20" s="1"/>
  <c r="V168" i="20" s="1"/>
  <c r="M172" i="20"/>
  <c r="G172" i="20" s="1"/>
  <c r="V176" i="20"/>
  <c r="V175" i="20" s="1"/>
  <c r="V174" i="20" s="1"/>
  <c r="U183" i="20"/>
  <c r="U184" i="20"/>
  <c r="V184" i="20" s="1"/>
  <c r="V188" i="20"/>
  <c r="N206" i="20"/>
  <c r="N204" i="20" s="1"/>
  <c r="T204" i="20"/>
  <c r="U206" i="20"/>
  <c r="V206" i="20" s="1"/>
  <c r="U223" i="20"/>
  <c r="V223" i="20" s="1"/>
  <c r="T217" i="20"/>
  <c r="T216" i="20" s="1"/>
  <c r="G231" i="20"/>
  <c r="G229" i="20" s="1"/>
  <c r="G228" i="20" s="1"/>
  <c r="M229" i="20"/>
  <c r="M228" i="20" s="1"/>
  <c r="T231" i="20"/>
  <c r="N231" i="20" s="1"/>
  <c r="N229" i="20" s="1"/>
  <c r="N228" i="20" s="1"/>
  <c r="U237" i="20"/>
  <c r="G238" i="20"/>
  <c r="U238" i="20"/>
  <c r="V238" i="20" s="1"/>
  <c r="U248" i="20"/>
  <c r="V248" i="20" s="1"/>
  <c r="N248" i="20"/>
  <c r="U250" i="20"/>
  <c r="V250" i="20" s="1"/>
  <c r="N250" i="20"/>
  <c r="N319" i="20"/>
  <c r="N318" i="20" s="1"/>
  <c r="T318" i="20"/>
  <c r="V325" i="20"/>
  <c r="V324" i="20" s="1"/>
  <c r="V323" i="20" s="1"/>
  <c r="U324" i="20"/>
  <c r="U323" i="20" s="1"/>
  <c r="M63" i="20"/>
  <c r="U152" i="20"/>
  <c r="V152" i="20" s="1"/>
  <c r="U154" i="20"/>
  <c r="V154" i="20" s="1"/>
  <c r="U156" i="20"/>
  <c r="V156" i="20" s="1"/>
  <c r="N162" i="20"/>
  <c r="N163" i="20"/>
  <c r="U165" i="20"/>
  <c r="V165" i="20" s="1"/>
  <c r="U167" i="20"/>
  <c r="V167" i="20" s="1"/>
  <c r="U169" i="20"/>
  <c r="V169" i="20" s="1"/>
  <c r="N172" i="20"/>
  <c r="T187" i="20"/>
  <c r="U191" i="20"/>
  <c r="V191" i="20" s="1"/>
  <c r="U193" i="20"/>
  <c r="V193" i="20" s="1"/>
  <c r="V198" i="20"/>
  <c r="V202" i="20"/>
  <c r="V201" i="20" s="1"/>
  <c r="U201" i="20"/>
  <c r="V218" i="20"/>
  <c r="U217" i="20"/>
  <c r="U216" i="20" s="1"/>
  <c r="V230" i="20"/>
  <c r="U251" i="20"/>
  <c r="V251" i="20" s="1"/>
  <c r="N252" i="20"/>
  <c r="V260" i="20"/>
  <c r="V276" i="20"/>
  <c r="V305" i="20"/>
  <c r="U308" i="20"/>
  <c r="V308" i="20" s="1"/>
  <c r="M319" i="20"/>
  <c r="M318" i="20" s="1"/>
  <c r="V322" i="20"/>
  <c r="V321" i="20" s="1"/>
  <c r="V320" i="20" s="1"/>
  <c r="U321" i="20"/>
  <c r="U320" i="20" s="1"/>
  <c r="N152" i="20"/>
  <c r="N154" i="20"/>
  <c r="N156" i="20"/>
  <c r="N164" i="20"/>
  <c r="N165" i="20"/>
  <c r="N167" i="20"/>
  <c r="N168" i="20"/>
  <c r="N169" i="20"/>
  <c r="G171" i="20"/>
  <c r="I182" i="20"/>
  <c r="I181" i="20" s="1"/>
  <c r="G183" i="20"/>
  <c r="G184" i="20"/>
  <c r="G191" i="20"/>
  <c r="N191" i="20"/>
  <c r="G193" i="20"/>
  <c r="N193" i="20"/>
  <c r="O197" i="20"/>
  <c r="O181" i="20" s="1"/>
  <c r="O180" i="20" s="1"/>
  <c r="G206" i="20"/>
  <c r="G204" i="20" s="1"/>
  <c r="N223" i="20"/>
  <c r="N217" i="20" s="1"/>
  <c r="N216" i="20" s="1"/>
  <c r="N237" i="20"/>
  <c r="G241" i="20"/>
  <c r="N243" i="20"/>
  <c r="N247" i="20"/>
  <c r="N251" i="20"/>
  <c r="G308" i="20"/>
  <c r="G304" i="20" s="1"/>
  <c r="G303" i="20" s="1"/>
  <c r="U333" i="20"/>
  <c r="T354" i="20"/>
  <c r="U354" i="20" s="1"/>
  <c r="V354" i="20" s="1"/>
  <c r="G384" i="20"/>
  <c r="G383" i="20" s="1"/>
  <c r="M383" i="20"/>
  <c r="T383" i="20"/>
  <c r="U384" i="20"/>
  <c r="N384" i="20"/>
  <c r="U385" i="20"/>
  <c r="V385" i="20" s="1"/>
  <c r="N385" i="20"/>
  <c r="G418" i="20"/>
  <c r="G414" i="20" s="1"/>
  <c r="M414" i="20"/>
  <c r="U418" i="20"/>
  <c r="V418" i="20" s="1"/>
  <c r="N418" i="20"/>
  <c r="T439" i="20"/>
  <c r="N440" i="20"/>
  <c r="N441" i="20"/>
  <c r="N442" i="20"/>
  <c r="N443" i="20"/>
  <c r="N444" i="20"/>
  <c r="N445" i="20"/>
  <c r="N446" i="20"/>
  <c r="N447" i="20"/>
  <c r="N448" i="20"/>
  <c r="N449" i="20"/>
  <c r="N463" i="20"/>
  <c r="N464" i="20"/>
  <c r="N465" i="20"/>
  <c r="N467" i="20"/>
  <c r="M349" i="20"/>
  <c r="N349" i="20"/>
  <c r="T351" i="20"/>
  <c r="U351" i="20" s="1"/>
  <c r="V351" i="20" s="1"/>
  <c r="T358" i="20"/>
  <c r="T368" i="20"/>
  <c r="V374" i="20"/>
  <c r="V373" i="20" s="1"/>
  <c r="T387" i="20"/>
  <c r="U388" i="20"/>
  <c r="U393" i="20"/>
  <c r="V393" i="20" s="1"/>
  <c r="U394" i="20"/>
  <c r="V394" i="20" s="1"/>
  <c r="U401" i="20"/>
  <c r="V401" i="20" s="1"/>
  <c r="U408" i="20"/>
  <c r="V408" i="20" s="1"/>
  <c r="U409" i="20"/>
  <c r="V409" i="20" s="1"/>
  <c r="U410" i="20"/>
  <c r="V410" i="20" s="1"/>
  <c r="U412" i="20"/>
  <c r="V412" i="20" s="1"/>
  <c r="U416" i="20"/>
  <c r="T415" i="20"/>
  <c r="T414" i="20" s="1"/>
  <c r="U423" i="20"/>
  <c r="T422" i="20"/>
  <c r="N451" i="20"/>
  <c r="N452" i="20"/>
  <c r="N453" i="20"/>
  <c r="N454" i="20"/>
  <c r="N455" i="20"/>
  <c r="N456" i="20"/>
  <c r="N457" i="20"/>
  <c r="N459" i="20"/>
  <c r="N460" i="20"/>
  <c r="G393" i="20"/>
  <c r="G394" i="20"/>
  <c r="G401" i="20"/>
  <c r="G404" i="20"/>
  <c r="G408" i="20"/>
  <c r="G409" i="20"/>
  <c r="G410" i="20"/>
  <c r="G411" i="20"/>
  <c r="N412" i="20"/>
  <c r="N416" i="20"/>
  <c r="N417" i="20"/>
  <c r="N419" i="20"/>
  <c r="N420" i="20"/>
  <c r="N421" i="20"/>
  <c r="N423" i="20"/>
  <c r="M438" i="20"/>
  <c r="G438" i="20" s="1"/>
  <c r="M441" i="20"/>
  <c r="G441" i="20" s="1"/>
  <c r="M443" i="20"/>
  <c r="G443" i="20" s="1"/>
  <c r="M445" i="20"/>
  <c r="G445" i="20" s="1"/>
  <c r="M447" i="20"/>
  <c r="G447" i="20" s="1"/>
  <c r="M449" i="20"/>
  <c r="G449" i="20" s="1"/>
  <c r="M452" i="20"/>
  <c r="G452" i="20" s="1"/>
  <c r="M454" i="20"/>
  <c r="G454" i="20" s="1"/>
  <c r="M456" i="20"/>
  <c r="G456" i="20" s="1"/>
  <c r="M458" i="20"/>
  <c r="G458" i="20" s="1"/>
  <c r="M460" i="20"/>
  <c r="G460" i="20" s="1"/>
  <c r="M463" i="20"/>
  <c r="U463" i="20" s="1"/>
  <c r="V463" i="20" s="1"/>
  <c r="M465" i="20"/>
  <c r="U465" i="20" s="1"/>
  <c r="V465" i="20" s="1"/>
  <c r="M467" i="20"/>
  <c r="U467" i="20" s="1"/>
  <c r="V467" i="20" s="1"/>
  <c r="U469" i="20"/>
  <c r="V469" i="20" s="1"/>
  <c r="N469" i="20"/>
  <c r="U471" i="20"/>
  <c r="V471" i="20" s="1"/>
  <c r="N471" i="20"/>
  <c r="N485" i="20"/>
  <c r="N486" i="20"/>
  <c r="N487" i="20"/>
  <c r="N488" i="20"/>
  <c r="N489" i="20"/>
  <c r="N490" i="20"/>
  <c r="N492" i="20"/>
  <c r="N493" i="20"/>
  <c r="N508" i="20"/>
  <c r="N509" i="20"/>
  <c r="N510" i="20"/>
  <c r="N511" i="20"/>
  <c r="N512" i="20"/>
  <c r="N513" i="20"/>
  <c r="N514" i="20"/>
  <c r="N515" i="20"/>
  <c r="R368" i="20"/>
  <c r="R367" i="20" s="1"/>
  <c r="R366" i="20" s="1"/>
  <c r="N369" i="20"/>
  <c r="N368" i="20" s="1"/>
  <c r="N371" i="20"/>
  <c r="N388" i="20"/>
  <c r="N387" i="20" s="1"/>
  <c r="U434" i="20"/>
  <c r="V434" i="20" s="1"/>
  <c r="M435" i="20"/>
  <c r="G435" i="20" s="1"/>
  <c r="M440" i="20"/>
  <c r="I439" i="20"/>
  <c r="M442" i="20"/>
  <c r="G442" i="20" s="1"/>
  <c r="M444" i="20"/>
  <c r="U444" i="20" s="1"/>
  <c r="V444" i="20" s="1"/>
  <c r="M446" i="20"/>
  <c r="G446" i="20" s="1"/>
  <c r="M448" i="20"/>
  <c r="U448" i="20" s="1"/>
  <c r="V448" i="20" s="1"/>
  <c r="M451" i="20"/>
  <c r="G451" i="20" s="1"/>
  <c r="I450" i="20"/>
  <c r="M453" i="20"/>
  <c r="G453" i="20" s="1"/>
  <c r="M455" i="20"/>
  <c r="G455" i="20" s="1"/>
  <c r="M457" i="20"/>
  <c r="G457" i="20" s="1"/>
  <c r="M459" i="20"/>
  <c r="G459" i="20" s="1"/>
  <c r="M462" i="20"/>
  <c r="I461" i="20"/>
  <c r="M464" i="20"/>
  <c r="U464" i="20" s="1"/>
  <c r="V464" i="20" s="1"/>
  <c r="M466" i="20"/>
  <c r="G466" i="20" s="1"/>
  <c r="N474" i="20"/>
  <c r="N475" i="20"/>
  <c r="N476" i="20"/>
  <c r="N477" i="20"/>
  <c r="N478" i="20"/>
  <c r="N479" i="20"/>
  <c r="N480" i="20"/>
  <c r="N481" i="20"/>
  <c r="N482" i="20"/>
  <c r="N496" i="20"/>
  <c r="N497" i="20"/>
  <c r="N498" i="20"/>
  <c r="N499" i="20"/>
  <c r="N500" i="20"/>
  <c r="N501" i="20"/>
  <c r="N502" i="20"/>
  <c r="N503" i="20"/>
  <c r="N504" i="20"/>
  <c r="T473" i="20"/>
  <c r="M474" i="20"/>
  <c r="U474" i="20" s="1"/>
  <c r="V474" i="20" s="1"/>
  <c r="M476" i="20"/>
  <c r="U476" i="20" s="1"/>
  <c r="V476" i="20" s="1"/>
  <c r="M478" i="20"/>
  <c r="U478" i="20" s="1"/>
  <c r="V478" i="20" s="1"/>
  <c r="M480" i="20"/>
  <c r="U480" i="20" s="1"/>
  <c r="V480" i="20" s="1"/>
  <c r="M482" i="20"/>
  <c r="U482" i="20" s="1"/>
  <c r="V482" i="20" s="1"/>
  <c r="M485" i="20"/>
  <c r="U485" i="20" s="1"/>
  <c r="V485" i="20" s="1"/>
  <c r="M487" i="20"/>
  <c r="G487" i="20" s="1"/>
  <c r="M489" i="20"/>
  <c r="U489" i="20" s="1"/>
  <c r="V489" i="20" s="1"/>
  <c r="M491" i="20"/>
  <c r="G491" i="20" s="1"/>
  <c r="M493" i="20"/>
  <c r="U493" i="20" s="1"/>
  <c r="V493" i="20" s="1"/>
  <c r="T495" i="20"/>
  <c r="M496" i="20"/>
  <c r="U496" i="20" s="1"/>
  <c r="V496" i="20" s="1"/>
  <c r="M498" i="20"/>
  <c r="U498" i="20" s="1"/>
  <c r="V498" i="20" s="1"/>
  <c r="M500" i="20"/>
  <c r="U500" i="20" s="1"/>
  <c r="V500" i="20" s="1"/>
  <c r="M502" i="20"/>
  <c r="U502" i="20" s="1"/>
  <c r="V502" i="20" s="1"/>
  <c r="M504" i="20"/>
  <c r="U504" i="20" s="1"/>
  <c r="V504" i="20" s="1"/>
  <c r="M507" i="20"/>
  <c r="G507" i="20" s="1"/>
  <c r="M509" i="20"/>
  <c r="U509" i="20" s="1"/>
  <c r="V509" i="20" s="1"/>
  <c r="G509" i="20"/>
  <c r="M511" i="20"/>
  <c r="U511" i="20" s="1"/>
  <c r="V511" i="20" s="1"/>
  <c r="M513" i="20"/>
  <c r="U513" i="20" s="1"/>
  <c r="V513" i="20" s="1"/>
  <c r="G513" i="20"/>
  <c r="M515" i="20"/>
  <c r="U515" i="20" s="1"/>
  <c r="V515" i="20" s="1"/>
  <c r="G468" i="20"/>
  <c r="G469" i="20"/>
  <c r="G470" i="20"/>
  <c r="G471" i="20"/>
  <c r="M473" i="20"/>
  <c r="G473" i="20"/>
  <c r="I472" i="20"/>
  <c r="M475" i="20"/>
  <c r="U475" i="20" s="1"/>
  <c r="V475" i="20" s="1"/>
  <c r="M477" i="20"/>
  <c r="U477" i="20" s="1"/>
  <c r="V477" i="20" s="1"/>
  <c r="M479" i="20"/>
  <c r="U479" i="20" s="1"/>
  <c r="V479" i="20" s="1"/>
  <c r="M481" i="20"/>
  <c r="U481" i="20" s="1"/>
  <c r="V481" i="20" s="1"/>
  <c r="M484" i="20"/>
  <c r="I483" i="20"/>
  <c r="M486" i="20"/>
  <c r="U486" i="20" s="1"/>
  <c r="V486" i="20" s="1"/>
  <c r="M488" i="20"/>
  <c r="U488" i="20" s="1"/>
  <c r="V488" i="20" s="1"/>
  <c r="M490" i="20"/>
  <c r="U490" i="20" s="1"/>
  <c r="V490" i="20" s="1"/>
  <c r="M492" i="20"/>
  <c r="U492" i="20" s="1"/>
  <c r="V492" i="20" s="1"/>
  <c r="M495" i="20"/>
  <c r="G495" i="20" s="1"/>
  <c r="I494" i="20"/>
  <c r="M497" i="20"/>
  <c r="U497" i="20" s="1"/>
  <c r="V497" i="20" s="1"/>
  <c r="M499" i="20"/>
  <c r="U499" i="20" s="1"/>
  <c r="V499" i="20" s="1"/>
  <c r="M501" i="20"/>
  <c r="U501" i="20" s="1"/>
  <c r="V501" i="20" s="1"/>
  <c r="M503" i="20"/>
  <c r="U503" i="20" s="1"/>
  <c r="V503" i="20" s="1"/>
  <c r="M506" i="20"/>
  <c r="I505" i="20"/>
  <c r="M508" i="20"/>
  <c r="U508" i="20" s="1"/>
  <c r="V508" i="20" s="1"/>
  <c r="M510" i="20"/>
  <c r="U510" i="20" s="1"/>
  <c r="V510" i="20" s="1"/>
  <c r="M512" i="20"/>
  <c r="U512" i="20" s="1"/>
  <c r="V512" i="20" s="1"/>
  <c r="M514" i="20"/>
  <c r="U514" i="20" s="1"/>
  <c r="V514" i="20" s="1"/>
  <c r="M516" i="20"/>
  <c r="P517" i="20"/>
  <c r="N517" i="20" s="1"/>
  <c r="Q516" i="20"/>
  <c r="S516" i="20"/>
  <c r="Q527" i="20"/>
  <c r="T517" i="20"/>
  <c r="T518" i="20"/>
  <c r="U518" i="20" s="1"/>
  <c r="V518" i="20" s="1"/>
  <c r="N518" i="20"/>
  <c r="T519" i="20"/>
  <c r="U519" i="20" s="1"/>
  <c r="V519" i="20" s="1"/>
  <c r="T521" i="20"/>
  <c r="U521" i="20" s="1"/>
  <c r="V521" i="20" s="1"/>
  <c r="N521" i="20"/>
  <c r="T522" i="20"/>
  <c r="U522" i="20" s="1"/>
  <c r="V522" i="20" s="1"/>
  <c r="T523" i="20"/>
  <c r="U523" i="20" s="1"/>
  <c r="V523" i="20" s="1"/>
  <c r="N523" i="20"/>
  <c r="T524" i="20"/>
  <c r="U524" i="20" s="1"/>
  <c r="V524" i="20" s="1"/>
  <c r="T525" i="20"/>
  <c r="U525" i="20" s="1"/>
  <c r="V525" i="20" s="1"/>
  <c r="N525" i="20"/>
  <c r="T526" i="20"/>
  <c r="U526" i="20" s="1"/>
  <c r="V526" i="20" s="1"/>
  <c r="T531" i="20"/>
  <c r="U531" i="20" s="1"/>
  <c r="V531" i="20" s="1"/>
  <c r="T532" i="20"/>
  <c r="N532" i="20"/>
  <c r="T534" i="20"/>
  <c r="U534" i="20" s="1"/>
  <c r="V534" i="20" s="1"/>
  <c r="N534" i="20"/>
  <c r="T535" i="20"/>
  <c r="U535" i="20" s="1"/>
  <c r="V535" i="20" s="1"/>
  <c r="T537" i="20"/>
  <c r="U537" i="20" s="1"/>
  <c r="V537" i="20" s="1"/>
  <c r="N537" i="20"/>
  <c r="D246" i="19"/>
  <c r="D248" i="19"/>
  <c r="D256" i="19"/>
  <c r="L92" i="19"/>
  <c r="M92" i="19" s="1"/>
  <c r="M93" i="19"/>
  <c r="M85" i="19"/>
  <c r="M87" i="19"/>
  <c r="M91" i="19"/>
  <c r="M201" i="19"/>
  <c r="M71" i="19"/>
  <c r="M61" i="19"/>
  <c r="M70" i="19"/>
  <c r="M73" i="19"/>
  <c r="M74" i="19"/>
  <c r="M75" i="19"/>
  <c r="M90" i="19"/>
  <c r="M82" i="19"/>
  <c r="M84" i="19"/>
  <c r="M86" i="19"/>
  <c r="M88" i="19"/>
  <c r="M94" i="19"/>
  <c r="L104" i="19"/>
  <c r="M123" i="19"/>
  <c r="M200" i="19"/>
  <c r="M76" i="19"/>
  <c r="M103" i="19"/>
  <c r="L133" i="19"/>
  <c r="M125" i="19"/>
  <c r="M122" i="19"/>
  <c r="M113" i="19"/>
  <c r="M106" i="19"/>
  <c r="L42" i="19"/>
  <c r="M42" i="19" s="1"/>
  <c r="L43" i="19"/>
  <c r="M43" i="19" s="1"/>
  <c r="L44" i="19"/>
  <c r="M44" i="19" s="1"/>
  <c r="L45" i="19"/>
  <c r="M45" i="19" s="1"/>
  <c r="L46" i="19"/>
  <c r="M46" i="19" s="1"/>
  <c r="L47" i="19"/>
  <c r="M47" i="19" s="1"/>
  <c r="L48" i="19"/>
  <c r="M48" i="19" s="1"/>
  <c r="L49" i="19"/>
  <c r="M49" i="19" s="1"/>
  <c r="L50" i="19"/>
  <c r="M50" i="19" s="1"/>
  <c r="L51" i="19"/>
  <c r="M51" i="19" s="1"/>
  <c r="L52" i="19"/>
  <c r="M52" i="19" s="1"/>
  <c r="L66" i="19"/>
  <c r="M66" i="19" s="1"/>
  <c r="L89" i="19"/>
  <c r="M89" i="19" s="1"/>
  <c r="L108" i="19"/>
  <c r="M108" i="19" s="1"/>
  <c r="L137" i="19"/>
  <c r="M137" i="19" s="1"/>
  <c r="L139" i="19"/>
  <c r="M139" i="19" s="1"/>
  <c r="L141" i="19"/>
  <c r="M141" i="19" s="1"/>
  <c r="L148" i="19"/>
  <c r="M148" i="19" s="1"/>
  <c r="L156" i="19"/>
  <c r="M156" i="19" s="1"/>
  <c r="L171" i="19"/>
  <c r="M171" i="19" s="1"/>
  <c r="L172" i="19"/>
  <c r="M172" i="19" s="1"/>
  <c r="L183" i="19"/>
  <c r="M183" i="19" s="1"/>
  <c r="L138" i="19"/>
  <c r="M138" i="19" s="1"/>
  <c r="L140" i="19"/>
  <c r="M140" i="19" s="1"/>
  <c r="L142" i="19"/>
  <c r="M142" i="19" s="1"/>
  <c r="L153" i="19"/>
  <c r="M153" i="19" s="1"/>
  <c r="L167" i="19"/>
  <c r="M167" i="19" s="1"/>
  <c r="L185" i="19"/>
  <c r="M185" i="19" s="1"/>
  <c r="L187" i="19"/>
  <c r="M187" i="19" s="1"/>
  <c r="L188" i="19"/>
  <c r="M188" i="19" s="1"/>
  <c r="L189" i="19"/>
  <c r="M189" i="19" s="1"/>
  <c r="L195" i="19"/>
  <c r="M195" i="19" s="1"/>
  <c r="L212" i="19"/>
  <c r="M212" i="19" s="1"/>
  <c r="L226" i="19"/>
  <c r="M226" i="19" s="1"/>
  <c r="L193" i="19"/>
  <c r="M193" i="19" s="1"/>
  <c r="L217" i="19"/>
  <c r="M217" i="19" s="1"/>
  <c r="L225" i="19"/>
  <c r="M225" i="19" s="1"/>
  <c r="D226" i="19"/>
  <c r="T533" i="20" l="1"/>
  <c r="U533" i="20" s="1"/>
  <c r="V533" i="20" s="1"/>
  <c r="G512" i="20"/>
  <c r="G508" i="20"/>
  <c r="U470" i="20"/>
  <c r="V470" i="20" s="1"/>
  <c r="N351" i="20"/>
  <c r="G319" i="20"/>
  <c r="G318" i="20" s="1"/>
  <c r="U175" i="20"/>
  <c r="U174" i="20" s="1"/>
  <c r="U158" i="20"/>
  <c r="V158" i="20" s="1"/>
  <c r="U120" i="20"/>
  <c r="V120" i="20" s="1"/>
  <c r="T43" i="20"/>
  <c r="N43" i="20" s="1"/>
  <c r="U532" i="20"/>
  <c r="V532" i="20" s="1"/>
  <c r="G514" i="20"/>
  <c r="G510" i="20"/>
  <c r="G464" i="20"/>
  <c r="G199" i="20"/>
  <c r="G197" i="20" s="1"/>
  <c r="U311" i="20"/>
  <c r="U310" i="20" s="1"/>
  <c r="V265" i="20"/>
  <c r="T150" i="20"/>
  <c r="U150" i="20" s="1"/>
  <c r="V150" i="20" s="1"/>
  <c r="N122" i="20"/>
  <c r="G54" i="20"/>
  <c r="G26" i="20"/>
  <c r="N31" i="20"/>
  <c r="N535" i="20"/>
  <c r="N531" i="20"/>
  <c r="N526" i="20"/>
  <c r="N524" i="20"/>
  <c r="N516" i="20" s="1"/>
  <c r="N522" i="20"/>
  <c r="N519" i="20"/>
  <c r="G515" i="20"/>
  <c r="G511" i="20"/>
  <c r="N468" i="20"/>
  <c r="N458" i="20"/>
  <c r="N166" i="20"/>
  <c r="N34" i="20"/>
  <c r="U536" i="20"/>
  <c r="V536" i="20" s="1"/>
  <c r="M125" i="20"/>
  <c r="M124" i="20" s="1"/>
  <c r="G389" i="20"/>
  <c r="G387" i="20" s="1"/>
  <c r="M58" i="20"/>
  <c r="G56" i="20"/>
  <c r="G58" i="20" s="1"/>
  <c r="U487" i="20"/>
  <c r="V487" i="20" s="1"/>
  <c r="V311" i="20"/>
  <c r="V310" i="20" s="1"/>
  <c r="G516" i="20"/>
  <c r="M527" i="20"/>
  <c r="U507" i="20"/>
  <c r="V507" i="20" s="1"/>
  <c r="T450" i="20"/>
  <c r="G125" i="20"/>
  <c r="G124" i="20" s="1"/>
  <c r="U64" i="20"/>
  <c r="V64" i="20" s="1"/>
  <c r="M135" i="20"/>
  <c r="M134" i="20" s="1"/>
  <c r="G136" i="20"/>
  <c r="G135" i="20" s="1"/>
  <c r="G134" i="20" s="1"/>
  <c r="K14" i="20"/>
  <c r="K13" i="20" s="1"/>
  <c r="N88" i="20"/>
  <c r="R14" i="20"/>
  <c r="R13" i="20" s="1"/>
  <c r="J70" i="20"/>
  <c r="J69" i="20" s="1"/>
  <c r="J14" i="20" s="1"/>
  <c r="J13" i="20" s="1"/>
  <c r="U92" i="20"/>
  <c r="U91" i="20" s="1"/>
  <c r="N102" i="20"/>
  <c r="U102" i="20"/>
  <c r="V102" i="20" s="1"/>
  <c r="U84" i="20"/>
  <c r="V84" i="20" s="1"/>
  <c r="G93" i="20"/>
  <c r="G91" i="20" s="1"/>
  <c r="M91" i="20"/>
  <c r="I91" i="20"/>
  <c r="U104" i="20"/>
  <c r="T91" i="20"/>
  <c r="U81" i="20"/>
  <c r="V81" i="20" s="1"/>
  <c r="N93" i="20"/>
  <c r="N91" i="20" s="1"/>
  <c r="N104" i="20"/>
  <c r="U85" i="20"/>
  <c r="V85" i="20" s="1"/>
  <c r="U82" i="20"/>
  <c r="V82" i="20" s="1"/>
  <c r="U115" i="20"/>
  <c r="V115" i="20" s="1"/>
  <c r="N82" i="20"/>
  <c r="T108" i="20"/>
  <c r="U108" i="20" s="1"/>
  <c r="V108" i="20" s="1"/>
  <c r="U93" i="20"/>
  <c r="V93" i="20" s="1"/>
  <c r="I116" i="20"/>
  <c r="T112" i="20"/>
  <c r="U112" i="20" s="1"/>
  <c r="V112" i="20" s="1"/>
  <c r="I79" i="20"/>
  <c r="N74" i="20"/>
  <c r="U111" i="20"/>
  <c r="V111" i="20" s="1"/>
  <c r="U113" i="20"/>
  <c r="V113" i="20" s="1"/>
  <c r="U105" i="20"/>
  <c r="V105" i="20" s="1"/>
  <c r="G88" i="20"/>
  <c r="U88" i="20"/>
  <c r="V88" i="20" s="1"/>
  <c r="U109" i="20"/>
  <c r="V109" i="20" s="1"/>
  <c r="N109" i="20"/>
  <c r="U80" i="20"/>
  <c r="V80" i="20" s="1"/>
  <c r="T79" i="20"/>
  <c r="M87" i="20"/>
  <c r="G87" i="20" s="1"/>
  <c r="P79" i="20"/>
  <c r="P103" i="20"/>
  <c r="N78" i="20"/>
  <c r="N115" i="20"/>
  <c r="N113" i="20"/>
  <c r="N111" i="20"/>
  <c r="N105" i="20"/>
  <c r="I103" i="20"/>
  <c r="P91" i="20"/>
  <c r="P116" i="20"/>
  <c r="F14" i="20"/>
  <c r="F13" i="20" s="1"/>
  <c r="D225" i="19"/>
  <c r="D169" i="19" s="1"/>
  <c r="G169" i="19"/>
  <c r="M104" i="19"/>
  <c r="G244" i="19"/>
  <c r="G57" i="20"/>
  <c r="U57" i="20"/>
  <c r="V57" i="20" s="1"/>
  <c r="U75" i="20"/>
  <c r="V75" i="20" s="1"/>
  <c r="N75" i="20"/>
  <c r="U77" i="20"/>
  <c r="V77" i="20" s="1"/>
  <c r="N77" i="20"/>
  <c r="U520" i="20"/>
  <c r="V520" i="20" s="1"/>
  <c r="N520" i="20"/>
  <c r="U529" i="20"/>
  <c r="V529" i="20" s="1"/>
  <c r="N529" i="20"/>
  <c r="N73" i="20"/>
  <c r="U73" i="20"/>
  <c r="V73" i="20" s="1"/>
  <c r="U32" i="20"/>
  <c r="V32" i="20" s="1"/>
  <c r="N32" i="20"/>
  <c r="N422" i="20"/>
  <c r="G369" i="20"/>
  <c r="G368" i="20" s="1"/>
  <c r="M368" i="20"/>
  <c r="M133" i="19"/>
  <c r="D245" i="19"/>
  <c r="D244" i="19" s="1"/>
  <c r="E244" i="19"/>
  <c r="G490" i="20"/>
  <c r="G486" i="20"/>
  <c r="G493" i="20"/>
  <c r="G489" i="20"/>
  <c r="G485" i="20"/>
  <c r="U466" i="20"/>
  <c r="V466" i="20" s="1"/>
  <c r="M461" i="20"/>
  <c r="G448" i="20"/>
  <c r="G444" i="20"/>
  <c r="U491" i="20"/>
  <c r="V491" i="20" s="1"/>
  <c r="U369" i="20"/>
  <c r="U275" i="20"/>
  <c r="V259" i="20"/>
  <c r="V258" i="20" s="1"/>
  <c r="U172" i="20"/>
  <c r="V172" i="20" s="1"/>
  <c r="T236" i="20"/>
  <c r="U199" i="20"/>
  <c r="U170" i="20"/>
  <c r="V170" i="20" s="1"/>
  <c r="U153" i="20"/>
  <c r="V153" i="20" s="1"/>
  <c r="N76" i="20"/>
  <c r="U107" i="20"/>
  <c r="V107" i="20" s="1"/>
  <c r="M103" i="20"/>
  <c r="U133" i="20"/>
  <c r="V133" i="20" s="1"/>
  <c r="V132" i="20" s="1"/>
  <c r="N83" i="20"/>
  <c r="G52" i="20"/>
  <c r="T462" i="20"/>
  <c r="P461" i="20"/>
  <c r="P472" i="20"/>
  <c r="G528" i="20"/>
  <c r="G527" i="20" s="1"/>
  <c r="P494" i="20"/>
  <c r="T182" i="20"/>
  <c r="P59" i="20"/>
  <c r="N536" i="20"/>
  <c r="N530" i="20"/>
  <c r="T506" i="20"/>
  <c r="M439" i="20"/>
  <c r="N507" i="20"/>
  <c r="N403" i="20"/>
  <c r="N402" i="20" s="1"/>
  <c r="T403" i="20"/>
  <c r="T402" i="20" s="1"/>
  <c r="U442" i="20"/>
  <c r="V442" i="20" s="1"/>
  <c r="N199" i="20"/>
  <c r="N197" i="20" s="1"/>
  <c r="V275" i="20"/>
  <c r="U259" i="20"/>
  <c r="U258" i="20" s="1"/>
  <c r="U244" i="20"/>
  <c r="V244" i="20" s="1"/>
  <c r="N42" i="20"/>
  <c r="G103" i="20"/>
  <c r="U100" i="20"/>
  <c r="V100" i="20" s="1"/>
  <c r="T50" i="20"/>
  <c r="U50" i="20" s="1"/>
  <c r="V50" i="20" s="1"/>
  <c r="G40" i="20"/>
  <c r="U83" i="20"/>
  <c r="V83" i="20" s="1"/>
  <c r="N64" i="20"/>
  <c r="G24" i="20"/>
  <c r="I18" i="20"/>
  <c r="I17" i="20" s="1"/>
  <c r="I16" i="20" s="1"/>
  <c r="P527" i="20"/>
  <c r="T121" i="20"/>
  <c r="N183" i="20"/>
  <c r="N182" i="20" s="1"/>
  <c r="N56" i="20"/>
  <c r="N58" i="20" s="1"/>
  <c r="M483" i="20"/>
  <c r="U446" i="20"/>
  <c r="V446" i="20" s="1"/>
  <c r="T181" i="20"/>
  <c r="P516" i="20"/>
  <c r="M505" i="20"/>
  <c r="G492" i="20"/>
  <c r="G488" i="20"/>
  <c r="T484" i="20"/>
  <c r="U404" i="20"/>
  <c r="U403" i="20" s="1"/>
  <c r="U402" i="20" s="1"/>
  <c r="U390" i="20"/>
  <c r="U373" i="20"/>
  <c r="M367" i="20"/>
  <c r="U361" i="20"/>
  <c r="U360" i="20" s="1"/>
  <c r="U304" i="20"/>
  <c r="U303" i="20" s="1"/>
  <c r="V264" i="20"/>
  <c r="U163" i="20"/>
  <c r="V163" i="20" s="1"/>
  <c r="U249" i="20"/>
  <c r="V249" i="20" s="1"/>
  <c r="M236" i="20"/>
  <c r="M180" i="20" s="1"/>
  <c r="U204" i="20"/>
  <c r="T63" i="20"/>
  <c r="N63" i="20" s="1"/>
  <c r="U110" i="20"/>
  <c r="V110" i="20" s="1"/>
  <c r="U106" i="20"/>
  <c r="V106" i="20" s="1"/>
  <c r="U86" i="20"/>
  <c r="V86" i="20" s="1"/>
  <c r="U52" i="20"/>
  <c r="V52" i="20" s="1"/>
  <c r="M20" i="20"/>
  <c r="D20" i="20" s="1"/>
  <c r="O366" i="20"/>
  <c r="P450" i="20"/>
  <c r="G237" i="20"/>
  <c r="I236" i="20"/>
  <c r="I180" i="20" s="1"/>
  <c r="N60" i="20"/>
  <c r="U54" i="20"/>
  <c r="V54" i="20" s="1"/>
  <c r="N54" i="20"/>
  <c r="U46" i="20"/>
  <c r="V46" i="20" s="1"/>
  <c r="N46" i="20"/>
  <c r="D22" i="20"/>
  <c r="G22" i="20"/>
  <c r="D30" i="20"/>
  <c r="G30" i="20"/>
  <c r="U44" i="20"/>
  <c r="V44" i="20" s="1"/>
  <c r="N44" i="20"/>
  <c r="U23" i="20"/>
  <c r="V23" i="20" s="1"/>
  <c r="N23" i="20"/>
  <c r="U506" i="20"/>
  <c r="T505" i="20"/>
  <c r="N506" i="20"/>
  <c r="U484" i="20"/>
  <c r="T483" i="20"/>
  <c r="N484" i="20"/>
  <c r="N483" i="20" s="1"/>
  <c r="G422" i="20"/>
  <c r="U460" i="20"/>
  <c r="V460" i="20" s="1"/>
  <c r="U458" i="20"/>
  <c r="V458" i="20" s="1"/>
  <c r="U456" i="20"/>
  <c r="V456" i="20" s="1"/>
  <c r="U454" i="20"/>
  <c r="V454" i="20" s="1"/>
  <c r="U452" i="20"/>
  <c r="V452" i="20" s="1"/>
  <c r="T367" i="20"/>
  <c r="T366" i="20" s="1"/>
  <c r="U449" i="20"/>
  <c r="V449" i="20" s="1"/>
  <c r="U445" i="20"/>
  <c r="V445" i="20" s="1"/>
  <c r="U443" i="20"/>
  <c r="V443" i="20" s="1"/>
  <c r="U441" i="20"/>
  <c r="V441" i="20" s="1"/>
  <c r="N383" i="20"/>
  <c r="G367" i="20"/>
  <c r="T331" i="20"/>
  <c r="N187" i="20"/>
  <c r="V257" i="20"/>
  <c r="M68" i="20"/>
  <c r="G63" i="20"/>
  <c r="G68" i="20" s="1"/>
  <c r="U319" i="20"/>
  <c r="U231" i="20"/>
  <c r="T229" i="20"/>
  <c r="T228" i="20" s="1"/>
  <c r="T180" i="20" s="1"/>
  <c r="U187" i="20"/>
  <c r="N151" i="20"/>
  <c r="U151" i="20"/>
  <c r="V151" i="20" s="1"/>
  <c r="M116" i="20"/>
  <c r="G114" i="20"/>
  <c r="T68" i="20"/>
  <c r="V56" i="20"/>
  <c r="V58" i="20" s="1"/>
  <c r="U58" i="20"/>
  <c r="G44" i="20"/>
  <c r="D44" i="20"/>
  <c r="D28" i="20"/>
  <c r="G28" i="20"/>
  <c r="U135" i="20"/>
  <c r="U134" i="20" s="1"/>
  <c r="V136" i="20"/>
  <c r="V135" i="20" s="1"/>
  <c r="V134" i="20" s="1"/>
  <c r="U125" i="20"/>
  <c r="U124" i="20" s="1"/>
  <c r="V126" i="20"/>
  <c r="V125" i="20" s="1"/>
  <c r="V124" i="20" s="1"/>
  <c r="V104" i="20"/>
  <c r="U149" i="20"/>
  <c r="V149" i="20" s="1"/>
  <c r="V138" i="20"/>
  <c r="V137" i="20" s="1"/>
  <c r="U132" i="20"/>
  <c r="U61" i="20"/>
  <c r="T30" i="20"/>
  <c r="U30" i="20" s="1"/>
  <c r="V30" i="20" s="1"/>
  <c r="Q18" i="20"/>
  <c r="Q17" i="20" s="1"/>
  <c r="Q16" i="20" s="1"/>
  <c r="Q14" i="20" s="1"/>
  <c r="Q13" i="20" s="1"/>
  <c r="D19" i="20"/>
  <c r="G19" i="20"/>
  <c r="M27" i="20"/>
  <c r="D27" i="20" s="1"/>
  <c r="T26" i="20"/>
  <c r="U26" i="20" s="1"/>
  <c r="V26" i="20" s="1"/>
  <c r="T22" i="20"/>
  <c r="U22" i="20" s="1"/>
  <c r="V22" i="20" s="1"/>
  <c r="O18" i="20"/>
  <c r="O17" i="20" s="1"/>
  <c r="O16" i="20" s="1"/>
  <c r="O14" i="20" s="1"/>
  <c r="O13" i="20" s="1"/>
  <c r="G450" i="20"/>
  <c r="U459" i="20"/>
  <c r="V459" i="20" s="1"/>
  <c r="U457" i="20"/>
  <c r="V457" i="20" s="1"/>
  <c r="U455" i="20"/>
  <c r="V455" i="20" s="1"/>
  <c r="U453" i="20"/>
  <c r="V453" i="20" s="1"/>
  <c r="U447" i="20"/>
  <c r="V447" i="20" s="1"/>
  <c r="T527" i="20"/>
  <c r="U528" i="20"/>
  <c r="U517" i="20"/>
  <c r="T516" i="20"/>
  <c r="G506" i="20"/>
  <c r="G503" i="20"/>
  <c r="G501" i="20"/>
  <c r="G499" i="20"/>
  <c r="G497" i="20"/>
  <c r="M494" i="20"/>
  <c r="G484" i="20"/>
  <c r="G481" i="20"/>
  <c r="G479" i="20"/>
  <c r="G477" i="20"/>
  <c r="G475" i="20"/>
  <c r="M472" i="20"/>
  <c r="G504" i="20"/>
  <c r="G502" i="20"/>
  <c r="G500" i="20"/>
  <c r="G498" i="20"/>
  <c r="G496" i="20"/>
  <c r="U495" i="20"/>
  <c r="T494" i="20"/>
  <c r="N495" i="20"/>
  <c r="N494" i="20" s="1"/>
  <c r="G482" i="20"/>
  <c r="G480" i="20"/>
  <c r="G478" i="20"/>
  <c r="G476" i="20"/>
  <c r="G474" i="20"/>
  <c r="U473" i="20"/>
  <c r="T472" i="20"/>
  <c r="N473" i="20"/>
  <c r="N472" i="20" s="1"/>
  <c r="G462" i="20"/>
  <c r="M450" i="20"/>
  <c r="G440" i="20"/>
  <c r="G439" i="20" s="1"/>
  <c r="U438" i="20"/>
  <c r="V438" i="20" s="1"/>
  <c r="M422" i="20"/>
  <c r="M366" i="20" s="1"/>
  <c r="N367" i="20"/>
  <c r="G467" i="20"/>
  <c r="G465" i="20"/>
  <c r="G463" i="20"/>
  <c r="U435" i="20"/>
  <c r="V435" i="20" s="1"/>
  <c r="N415" i="20"/>
  <c r="N414" i="20" s="1"/>
  <c r="G403" i="20"/>
  <c r="G402" i="20" s="1"/>
  <c r="N450" i="20"/>
  <c r="U451" i="20"/>
  <c r="V423" i="20"/>
  <c r="U415" i="20"/>
  <c r="U414" i="20" s="1"/>
  <c r="V416" i="20"/>
  <c r="V415" i="20" s="1"/>
  <c r="V414" i="20" s="1"/>
  <c r="V404" i="20"/>
  <c r="V403" i="20" s="1"/>
  <c r="V402" i="20" s="1"/>
  <c r="V388" i="20"/>
  <c r="V387" i="20" s="1"/>
  <c r="U387" i="20"/>
  <c r="V369" i="20"/>
  <c r="V368" i="20" s="1"/>
  <c r="U368" i="20"/>
  <c r="U358" i="20"/>
  <c r="V358" i="20" s="1"/>
  <c r="N358" i="20"/>
  <c r="M331" i="20"/>
  <c r="G349" i="20"/>
  <c r="G331" i="20" s="1"/>
  <c r="N439" i="20"/>
  <c r="U440" i="20"/>
  <c r="V384" i="20"/>
  <c r="V383" i="20" s="1"/>
  <c r="U383" i="20"/>
  <c r="N354" i="20"/>
  <c r="N331" i="20" s="1"/>
  <c r="U349" i="20"/>
  <c r="V349" i="20" s="1"/>
  <c r="V333" i="20"/>
  <c r="V332" i="20" s="1"/>
  <c r="U332" i="20"/>
  <c r="U331" i="20" s="1"/>
  <c r="N236" i="20"/>
  <c r="G187" i="20"/>
  <c r="G182" i="20"/>
  <c r="G181" i="20" s="1"/>
  <c r="N160" i="20"/>
  <c r="V304" i="20"/>
  <c r="V303" i="20" s="1"/>
  <c r="U257" i="20"/>
  <c r="V217" i="20"/>
  <c r="V216" i="20" s="1"/>
  <c r="G236" i="20"/>
  <c r="V237" i="20"/>
  <c r="V204" i="20"/>
  <c r="V187" i="20"/>
  <c r="V183" i="20"/>
  <c r="V182" i="20" s="1"/>
  <c r="U182" i="20"/>
  <c r="N148" i="20"/>
  <c r="U148" i="20"/>
  <c r="V148" i="20" s="1"/>
  <c r="G147" i="20"/>
  <c r="G146" i="20" s="1"/>
  <c r="G145" i="20" s="1"/>
  <c r="M146" i="20"/>
  <c r="M145" i="20" s="1"/>
  <c r="N138" i="20"/>
  <c r="N137" i="20" s="1"/>
  <c r="N125" i="20"/>
  <c r="N124" i="20" s="1"/>
  <c r="U101" i="20"/>
  <c r="V101" i="20" s="1"/>
  <c r="N101" i="20"/>
  <c r="G59" i="20"/>
  <c r="M55" i="20"/>
  <c r="D55" i="20" s="1"/>
  <c r="M53" i="20"/>
  <c r="D53" i="20" s="1"/>
  <c r="M51" i="20"/>
  <c r="D51" i="20" s="1"/>
  <c r="M49" i="20"/>
  <c r="D49" i="20" s="1"/>
  <c r="M47" i="20"/>
  <c r="D47" i="20" s="1"/>
  <c r="G45" i="20"/>
  <c r="D45" i="20"/>
  <c r="M43" i="20"/>
  <c r="D43" i="20" s="1"/>
  <c r="M41" i="20"/>
  <c r="D41" i="20" s="1"/>
  <c r="M39" i="20"/>
  <c r="D39" i="20" s="1"/>
  <c r="M37" i="20"/>
  <c r="D37" i="20" s="1"/>
  <c r="M35" i="20"/>
  <c r="D35" i="20" s="1"/>
  <c r="M33" i="20"/>
  <c r="D33" i="20" s="1"/>
  <c r="G31" i="20"/>
  <c r="D31" i="20"/>
  <c r="T116" i="20"/>
  <c r="U114" i="20"/>
  <c r="N49" i="20"/>
  <c r="U45" i="20"/>
  <c r="V45" i="20" s="1"/>
  <c r="N39" i="20"/>
  <c r="N29" i="20"/>
  <c r="U147" i="20"/>
  <c r="U138" i="20"/>
  <c r="U137" i="20" s="1"/>
  <c r="M59" i="20"/>
  <c r="U51" i="20"/>
  <c r="V51" i="20" s="1"/>
  <c r="U47" i="20"/>
  <c r="V47" i="20" s="1"/>
  <c r="N41" i="20"/>
  <c r="N37" i="20"/>
  <c r="N33" i="20"/>
  <c r="N25" i="20"/>
  <c r="T24" i="20"/>
  <c r="U24" i="20" s="1"/>
  <c r="V24" i="20" s="1"/>
  <c r="N21" i="20"/>
  <c r="G20" i="20"/>
  <c r="T20" i="20"/>
  <c r="P19" i="20"/>
  <c r="H14" i="20"/>
  <c r="H13" i="20" s="1"/>
  <c r="U31" i="20"/>
  <c r="V31" i="20" s="1"/>
  <c r="T27" i="20"/>
  <c r="U28" i="20"/>
  <c r="V28" i="20" s="1"/>
  <c r="C12" i="19"/>
  <c r="C11" i="19" s="1"/>
  <c r="L206" i="19"/>
  <c r="M206" i="19" s="1"/>
  <c r="L205" i="19"/>
  <c r="M205" i="19" s="1"/>
  <c r="L163" i="19"/>
  <c r="M163" i="19" s="1"/>
  <c r="L162" i="19"/>
  <c r="M162" i="19" s="1"/>
  <c r="L77" i="19"/>
  <c r="M77" i="19" s="1"/>
  <c r="L57" i="19"/>
  <c r="M57" i="19" s="1"/>
  <c r="G472" i="20" l="1"/>
  <c r="G494" i="20"/>
  <c r="G505" i="20"/>
  <c r="G116" i="20"/>
  <c r="N24" i="20"/>
  <c r="V92" i="20"/>
  <c r="V91" i="20" s="1"/>
  <c r="N533" i="20"/>
  <c r="N527" i="20" s="1"/>
  <c r="U20" i="20"/>
  <c r="V20" i="20" s="1"/>
  <c r="U43" i="20"/>
  <c r="V43" i="20" s="1"/>
  <c r="N30" i="20"/>
  <c r="T146" i="20"/>
  <c r="T145" i="20" s="1"/>
  <c r="N150" i="20"/>
  <c r="N146" i="20" s="1"/>
  <c r="N145" i="20" s="1"/>
  <c r="N68" i="20"/>
  <c r="G79" i="20"/>
  <c r="G70" i="20" s="1"/>
  <c r="G69" i="20" s="1"/>
  <c r="P70" i="20"/>
  <c r="P69" i="20" s="1"/>
  <c r="N79" i="20"/>
  <c r="T103" i="20"/>
  <c r="T70" i="20" s="1"/>
  <c r="T69" i="20" s="1"/>
  <c r="V103" i="20"/>
  <c r="U87" i="20"/>
  <c r="V87" i="20" s="1"/>
  <c r="V79" i="20" s="1"/>
  <c r="N108" i="20"/>
  <c r="N112" i="20"/>
  <c r="I70" i="20"/>
  <c r="I69" i="20" s="1"/>
  <c r="I14" i="20" s="1"/>
  <c r="I13" i="20" s="1"/>
  <c r="M79" i="20"/>
  <c r="M70" i="20" s="1"/>
  <c r="M69" i="20" s="1"/>
  <c r="U103" i="20"/>
  <c r="T118" i="20"/>
  <c r="T117" i="20" s="1"/>
  <c r="U121" i="20"/>
  <c r="T461" i="20"/>
  <c r="N462" i="20"/>
  <c r="N461" i="20" s="1"/>
  <c r="U63" i="20"/>
  <c r="V199" i="20"/>
  <c r="V197" i="20" s="1"/>
  <c r="V181" i="20" s="1"/>
  <c r="U197" i="20"/>
  <c r="U181" i="20" s="1"/>
  <c r="N50" i="20"/>
  <c r="N121" i="20"/>
  <c r="N118" i="20" s="1"/>
  <c r="N117" i="20" s="1"/>
  <c r="F12" i="19"/>
  <c r="F11" i="19" s="1"/>
  <c r="U55" i="20"/>
  <c r="V55" i="20" s="1"/>
  <c r="U35" i="20"/>
  <c r="V35" i="20" s="1"/>
  <c r="V236" i="20"/>
  <c r="V331" i="20"/>
  <c r="V422" i="20"/>
  <c r="G483" i="20"/>
  <c r="N22" i="20"/>
  <c r="T59" i="20"/>
  <c r="N181" i="20"/>
  <c r="N180" i="20" s="1"/>
  <c r="U462" i="20"/>
  <c r="N505" i="20"/>
  <c r="U27" i="20"/>
  <c r="V27" i="20" s="1"/>
  <c r="U236" i="20"/>
  <c r="N366" i="20"/>
  <c r="G180" i="20"/>
  <c r="U439" i="20"/>
  <c r="V440" i="20"/>
  <c r="V439" i="20" s="1"/>
  <c r="U367" i="20"/>
  <c r="U450" i="20"/>
  <c r="V451" i="20"/>
  <c r="V450" i="20" s="1"/>
  <c r="U472" i="20"/>
  <c r="V473" i="20"/>
  <c r="V472" i="20" s="1"/>
  <c r="U494" i="20"/>
  <c r="V495" i="20"/>
  <c r="V494" i="20" s="1"/>
  <c r="V528" i="20"/>
  <c r="V527" i="20" s="1"/>
  <c r="U527" i="20"/>
  <c r="D18" i="20"/>
  <c r="D17" i="20" s="1"/>
  <c r="D16" i="20" s="1"/>
  <c r="D14" i="20" s="1"/>
  <c r="D13" i="20" s="1"/>
  <c r="U33" i="20"/>
  <c r="V33" i="20" s="1"/>
  <c r="U41" i="20"/>
  <c r="V41" i="20" s="1"/>
  <c r="V61" i="20"/>
  <c r="U59" i="20"/>
  <c r="U39" i="20"/>
  <c r="V39" i="20" s="1"/>
  <c r="N116" i="20"/>
  <c r="U68" i="20"/>
  <c r="V63" i="20"/>
  <c r="V68" i="20" s="1"/>
  <c r="V319" i="20"/>
  <c r="V318" i="20" s="1"/>
  <c r="U318" i="20"/>
  <c r="G366" i="20"/>
  <c r="U461" i="20"/>
  <c r="V462" i="20"/>
  <c r="V461" i="20" s="1"/>
  <c r="U505" i="20"/>
  <c r="V506" i="20"/>
  <c r="V505" i="20" s="1"/>
  <c r="G27" i="20"/>
  <c r="G35" i="20"/>
  <c r="G39" i="20"/>
  <c r="G43" i="20"/>
  <c r="G47" i="20"/>
  <c r="G51" i="20"/>
  <c r="V147" i="20"/>
  <c r="V146" i="20" s="1"/>
  <c r="V145" i="20" s="1"/>
  <c r="U146" i="20"/>
  <c r="U145" i="20" s="1"/>
  <c r="N27" i="20"/>
  <c r="P18" i="20"/>
  <c r="P17" i="20" s="1"/>
  <c r="P16" i="20" s="1"/>
  <c r="P14" i="20" s="1"/>
  <c r="P13" i="20" s="1"/>
  <c r="T19" i="20"/>
  <c r="N19" i="20" s="1"/>
  <c r="N20" i="20"/>
  <c r="U53" i="20"/>
  <c r="V53" i="20" s="1"/>
  <c r="U116" i="20"/>
  <c r="V114" i="20"/>
  <c r="V116" i="20" s="1"/>
  <c r="V367" i="20"/>
  <c r="V366" i="20" s="1"/>
  <c r="U422" i="20"/>
  <c r="G461" i="20"/>
  <c r="V517" i="20"/>
  <c r="V516" i="20" s="1"/>
  <c r="U516" i="20"/>
  <c r="N26" i="20"/>
  <c r="M18" i="20"/>
  <c r="M17" i="20" s="1"/>
  <c r="M16" i="20" s="1"/>
  <c r="U37" i="20"/>
  <c r="V37" i="20" s="1"/>
  <c r="U49" i="20"/>
  <c r="V49" i="20" s="1"/>
  <c r="N59" i="20"/>
  <c r="V231" i="20"/>
  <c r="V229" i="20" s="1"/>
  <c r="V228" i="20" s="1"/>
  <c r="U229" i="20"/>
  <c r="U228" i="20" s="1"/>
  <c r="U483" i="20"/>
  <c r="V484" i="20"/>
  <c r="V483" i="20" s="1"/>
  <c r="G33" i="20"/>
  <c r="G37" i="20"/>
  <c r="G41" i="20"/>
  <c r="G55" i="20"/>
  <c r="G49" i="20"/>
  <c r="G53" i="20"/>
  <c r="L67" i="19"/>
  <c r="M67" i="19" s="1"/>
  <c r="L68" i="19"/>
  <c r="M68" i="19" s="1"/>
  <c r="L169" i="19"/>
  <c r="M169" i="19" s="1"/>
  <c r="L170" i="19"/>
  <c r="M170" i="19" s="1"/>
  <c r="G12" i="19"/>
  <c r="G11" i="19" s="1"/>
  <c r="I170" i="19"/>
  <c r="V70" i="20" l="1"/>
  <c r="V69" i="20" s="1"/>
  <c r="N103" i="20"/>
  <c r="N70" i="20" s="1"/>
  <c r="N69" i="20" s="1"/>
  <c r="U79" i="20"/>
  <c r="M14" i="20"/>
  <c r="M13" i="20" s="1"/>
  <c r="U180" i="20"/>
  <c r="G18" i="20"/>
  <c r="G17" i="20" s="1"/>
  <c r="G16" i="20" s="1"/>
  <c r="G14" i="20" s="1"/>
  <c r="G13" i="20" s="1"/>
  <c r="V121" i="20"/>
  <c r="V118" i="20" s="1"/>
  <c r="V117" i="20" s="1"/>
  <c r="U118" i="20"/>
  <c r="U117" i="20" s="1"/>
  <c r="N18" i="20"/>
  <c r="N17" i="20" s="1"/>
  <c r="N16" i="20" s="1"/>
  <c r="V180" i="20"/>
  <c r="V59" i="20"/>
  <c r="U19" i="20"/>
  <c r="T18" i="20"/>
  <c r="T17" i="20" s="1"/>
  <c r="T16" i="20" s="1"/>
  <c r="T14" i="20" s="1"/>
  <c r="T13" i="20" s="1"/>
  <c r="U366" i="20"/>
  <c r="D12" i="19"/>
  <c r="D11" i="19" s="1"/>
  <c r="E12" i="19"/>
  <c r="E11" i="19" s="1"/>
  <c r="N14" i="20" l="1"/>
  <c r="N13" i="20" s="1"/>
  <c r="W79" i="20"/>
  <c r="U70" i="20"/>
  <c r="U69" i="20" s="1"/>
  <c r="V19" i="20"/>
  <c r="V18" i="20" s="1"/>
  <c r="V17" i="20" s="1"/>
  <c r="V16" i="20" s="1"/>
  <c r="V14" i="20" s="1"/>
  <c r="V13" i="20" s="1"/>
  <c r="U18" i="20"/>
  <c r="U17" i="20" s="1"/>
  <c r="U16" i="20" s="1"/>
  <c r="U14" i="20" l="1"/>
  <c r="U13" i="20" s="1"/>
  <c r="S350" i="4" l="1"/>
  <c r="R350" i="4"/>
  <c r="Q350" i="4"/>
  <c r="O350" i="4"/>
  <c r="I350" i="4"/>
  <c r="S349" i="4"/>
  <c r="R349" i="4"/>
  <c r="Q349" i="4"/>
  <c r="O349" i="4"/>
  <c r="I349" i="4"/>
  <c r="S348" i="4"/>
  <c r="R348" i="4"/>
  <c r="Q348" i="4"/>
  <c r="O348" i="4"/>
  <c r="I348" i="4"/>
  <c r="M348" i="4" s="1"/>
  <c r="G348" i="4" s="1"/>
  <c r="S347" i="4"/>
  <c r="R347" i="4"/>
  <c r="Q347" i="4"/>
  <c r="O347" i="4"/>
  <c r="I347" i="4"/>
  <c r="S346" i="4"/>
  <c r="R346" i="4"/>
  <c r="Q346" i="4"/>
  <c r="O346" i="4"/>
  <c r="I346" i="4"/>
  <c r="M346" i="4" s="1"/>
  <c r="S345" i="4"/>
  <c r="R345" i="4"/>
  <c r="Q345" i="4"/>
  <c r="O345" i="4"/>
  <c r="I345" i="4"/>
  <c r="S344" i="4"/>
  <c r="R344" i="4"/>
  <c r="Q344" i="4"/>
  <c r="O344" i="4"/>
  <c r="I344" i="4"/>
  <c r="M344" i="4" s="1"/>
  <c r="G344" i="4" s="1"/>
  <c r="S343" i="4"/>
  <c r="R343" i="4"/>
  <c r="Q343" i="4"/>
  <c r="P343" i="4" s="1"/>
  <c r="O343" i="4"/>
  <c r="I343" i="4"/>
  <c r="M343" i="4" s="1"/>
  <c r="G343" i="4" s="1"/>
  <c r="S342" i="4"/>
  <c r="R342" i="4"/>
  <c r="Q342" i="4"/>
  <c r="O342" i="4"/>
  <c r="I342" i="4"/>
  <c r="S341" i="4"/>
  <c r="R341" i="4"/>
  <c r="Q341" i="4"/>
  <c r="O341" i="4"/>
  <c r="I341" i="4"/>
  <c r="L340" i="4"/>
  <c r="K340" i="4"/>
  <c r="J340" i="4"/>
  <c r="H340" i="4"/>
  <c r="F340" i="4"/>
  <c r="E340" i="4"/>
  <c r="D340" i="4"/>
  <c r="C340" i="4"/>
  <c r="S339" i="4"/>
  <c r="R339" i="4"/>
  <c r="Q339" i="4"/>
  <c r="O339" i="4"/>
  <c r="I339" i="4"/>
  <c r="S338" i="4"/>
  <c r="R338" i="4"/>
  <c r="Q338" i="4"/>
  <c r="P338" i="4" s="1"/>
  <c r="O338" i="4"/>
  <c r="I338" i="4"/>
  <c r="M338" i="4" s="1"/>
  <c r="G338" i="4" s="1"/>
  <c r="S337" i="4"/>
  <c r="R337" i="4"/>
  <c r="Q337" i="4"/>
  <c r="O337" i="4"/>
  <c r="I337" i="4"/>
  <c r="S336" i="4"/>
  <c r="R336" i="4"/>
  <c r="Q336" i="4"/>
  <c r="O336" i="4"/>
  <c r="I336" i="4"/>
  <c r="M336" i="4" s="1"/>
  <c r="S335" i="4"/>
  <c r="R335" i="4"/>
  <c r="Q335" i="4"/>
  <c r="O335" i="4"/>
  <c r="I335" i="4"/>
  <c r="S334" i="4"/>
  <c r="R334" i="4"/>
  <c r="Q334" i="4"/>
  <c r="O334" i="4"/>
  <c r="I334" i="4"/>
  <c r="M334" i="4" s="1"/>
  <c r="G334" i="4" s="1"/>
  <c r="S333" i="4"/>
  <c r="R333" i="4"/>
  <c r="Q333" i="4"/>
  <c r="O333" i="4"/>
  <c r="I333" i="4"/>
  <c r="M333" i="4" s="1"/>
  <c r="G333" i="4"/>
  <c r="S332" i="4"/>
  <c r="R332" i="4"/>
  <c r="Q332" i="4"/>
  <c r="O332" i="4"/>
  <c r="I332" i="4"/>
  <c r="S331" i="4"/>
  <c r="R331" i="4"/>
  <c r="Q331" i="4"/>
  <c r="O331" i="4"/>
  <c r="I331" i="4"/>
  <c r="S330" i="4"/>
  <c r="R330" i="4"/>
  <c r="Q330" i="4"/>
  <c r="O330" i="4"/>
  <c r="I330" i="4"/>
  <c r="M330" i="4" s="1"/>
  <c r="L329" i="4"/>
  <c r="K329" i="4"/>
  <c r="J329" i="4"/>
  <c r="H329" i="4"/>
  <c r="F329" i="4"/>
  <c r="E329" i="4"/>
  <c r="D329" i="4"/>
  <c r="C329" i="4"/>
  <c r="S328" i="4"/>
  <c r="R328" i="4"/>
  <c r="Q328" i="4"/>
  <c r="O328" i="4"/>
  <c r="I328" i="4"/>
  <c r="M328" i="4" s="1"/>
  <c r="G328" i="4" s="1"/>
  <c r="S327" i="4"/>
  <c r="R327" i="4"/>
  <c r="Q327" i="4"/>
  <c r="O327" i="4"/>
  <c r="I327" i="4"/>
  <c r="M327" i="4" s="1"/>
  <c r="G327" i="4" s="1"/>
  <c r="S326" i="4"/>
  <c r="R326" i="4"/>
  <c r="Q326" i="4"/>
  <c r="O326" i="4"/>
  <c r="I326" i="4"/>
  <c r="M326" i="4" s="1"/>
  <c r="G326" i="4" s="1"/>
  <c r="S325" i="4"/>
  <c r="R325" i="4"/>
  <c r="Q325" i="4"/>
  <c r="O325" i="4"/>
  <c r="I325" i="4"/>
  <c r="M325" i="4" s="1"/>
  <c r="G325" i="4" s="1"/>
  <c r="S324" i="4"/>
  <c r="R324" i="4"/>
  <c r="Q324" i="4"/>
  <c r="O324" i="4"/>
  <c r="I324" i="4"/>
  <c r="M324" i="4" s="1"/>
  <c r="G324" i="4" s="1"/>
  <c r="S323" i="4"/>
  <c r="R323" i="4"/>
  <c r="Q323" i="4"/>
  <c r="O323" i="4"/>
  <c r="I323" i="4"/>
  <c r="M323" i="4" s="1"/>
  <c r="G323" i="4" s="1"/>
  <c r="S322" i="4"/>
  <c r="R322" i="4"/>
  <c r="Q322" i="4"/>
  <c r="O322" i="4"/>
  <c r="I322" i="4"/>
  <c r="M322" i="4" s="1"/>
  <c r="G322" i="4" s="1"/>
  <c r="S321" i="4"/>
  <c r="R321" i="4"/>
  <c r="Q321" i="4"/>
  <c r="O321" i="4"/>
  <c r="I321" i="4"/>
  <c r="M321" i="4" s="1"/>
  <c r="G321" i="4" s="1"/>
  <c r="S320" i="4"/>
  <c r="R320" i="4"/>
  <c r="Q320" i="4"/>
  <c r="O320" i="4"/>
  <c r="I320" i="4"/>
  <c r="M320" i="4" s="1"/>
  <c r="G320" i="4" s="1"/>
  <c r="S319" i="4"/>
  <c r="R319" i="4"/>
  <c r="Q319" i="4"/>
  <c r="O319" i="4"/>
  <c r="I319" i="4"/>
  <c r="M319" i="4" s="1"/>
  <c r="G319" i="4" s="1"/>
  <c r="L318" i="4"/>
  <c r="K318" i="4"/>
  <c r="J318" i="4"/>
  <c r="H318" i="4"/>
  <c r="F318" i="4"/>
  <c r="E318" i="4"/>
  <c r="D318" i="4"/>
  <c r="C318" i="4"/>
  <c r="S317" i="4"/>
  <c r="R317" i="4"/>
  <c r="Q317" i="4"/>
  <c r="O317" i="4"/>
  <c r="I317" i="4"/>
  <c r="M317" i="4" s="1"/>
  <c r="G317" i="4" s="1"/>
  <c r="S316" i="4"/>
  <c r="R316" i="4"/>
  <c r="Q316" i="4"/>
  <c r="O316" i="4"/>
  <c r="I316" i="4"/>
  <c r="M316" i="4" s="1"/>
  <c r="G316" i="4" s="1"/>
  <c r="S315" i="4"/>
  <c r="R315" i="4"/>
  <c r="Q315" i="4"/>
  <c r="O315" i="4"/>
  <c r="I315" i="4"/>
  <c r="M315" i="4" s="1"/>
  <c r="G315" i="4" s="1"/>
  <c r="S314" i="4"/>
  <c r="R314" i="4"/>
  <c r="Q314" i="4"/>
  <c r="O314" i="4"/>
  <c r="I314" i="4"/>
  <c r="M314" i="4" s="1"/>
  <c r="G314" i="4" s="1"/>
  <c r="S313" i="4"/>
  <c r="R313" i="4"/>
  <c r="Q313" i="4"/>
  <c r="O313" i="4"/>
  <c r="I313" i="4"/>
  <c r="M313" i="4" s="1"/>
  <c r="G313" i="4" s="1"/>
  <c r="S312" i="4"/>
  <c r="R312" i="4"/>
  <c r="Q312" i="4"/>
  <c r="O312" i="4"/>
  <c r="I312" i="4"/>
  <c r="M312" i="4" s="1"/>
  <c r="G312" i="4" s="1"/>
  <c r="S311" i="4"/>
  <c r="R311" i="4"/>
  <c r="Q311" i="4"/>
  <c r="O311" i="4"/>
  <c r="I311" i="4"/>
  <c r="M311" i="4" s="1"/>
  <c r="G311" i="4" s="1"/>
  <c r="S310" i="4"/>
  <c r="R310" i="4"/>
  <c r="Q310" i="4"/>
  <c r="O310" i="4"/>
  <c r="I310" i="4"/>
  <c r="M310" i="4" s="1"/>
  <c r="G310" i="4" s="1"/>
  <c r="S309" i="4"/>
  <c r="R309" i="4"/>
  <c r="Q309" i="4"/>
  <c r="O309" i="4"/>
  <c r="I309" i="4"/>
  <c r="M309" i="4" s="1"/>
  <c r="G309" i="4" s="1"/>
  <c r="S308" i="4"/>
  <c r="R308" i="4"/>
  <c r="Q308" i="4"/>
  <c r="O308" i="4"/>
  <c r="I308" i="4"/>
  <c r="L307" i="4"/>
  <c r="K307" i="4"/>
  <c r="J307" i="4"/>
  <c r="H307" i="4"/>
  <c r="F307" i="4"/>
  <c r="E307" i="4"/>
  <c r="D307" i="4"/>
  <c r="C307" i="4"/>
  <c r="S306" i="4"/>
  <c r="R306" i="4"/>
  <c r="Q306" i="4"/>
  <c r="O306" i="4"/>
  <c r="I306" i="4"/>
  <c r="S305" i="4"/>
  <c r="R305" i="4"/>
  <c r="Q305" i="4"/>
  <c r="O305" i="4"/>
  <c r="I305" i="4"/>
  <c r="M305" i="4" s="1"/>
  <c r="S304" i="4"/>
  <c r="R304" i="4"/>
  <c r="Q304" i="4"/>
  <c r="O304" i="4"/>
  <c r="I304" i="4"/>
  <c r="S303" i="4"/>
  <c r="R303" i="4"/>
  <c r="Q303" i="4"/>
  <c r="O303" i="4"/>
  <c r="I303" i="4"/>
  <c r="M303" i="4" s="1"/>
  <c r="S302" i="4"/>
  <c r="R302" i="4"/>
  <c r="Q302" i="4"/>
  <c r="O302" i="4"/>
  <c r="I302" i="4"/>
  <c r="S301" i="4"/>
  <c r="R301" i="4"/>
  <c r="Q301" i="4"/>
  <c r="O301" i="4"/>
  <c r="I301" i="4"/>
  <c r="M301" i="4" s="1"/>
  <c r="G301" i="4"/>
  <c r="S300" i="4"/>
  <c r="R300" i="4"/>
  <c r="Q300" i="4"/>
  <c r="O300" i="4"/>
  <c r="I300" i="4"/>
  <c r="S299" i="4"/>
  <c r="R299" i="4"/>
  <c r="Q299" i="4"/>
  <c r="O299" i="4"/>
  <c r="I299" i="4"/>
  <c r="M299" i="4" s="1"/>
  <c r="S298" i="4"/>
  <c r="R298" i="4"/>
  <c r="Q298" i="4"/>
  <c r="O298" i="4"/>
  <c r="I298" i="4"/>
  <c r="S297" i="4"/>
  <c r="R297" i="4"/>
  <c r="Q297" i="4"/>
  <c r="O297" i="4"/>
  <c r="I297" i="4"/>
  <c r="L296" i="4"/>
  <c r="K296" i="4"/>
  <c r="J296" i="4"/>
  <c r="H296" i="4"/>
  <c r="F296" i="4"/>
  <c r="E296" i="4"/>
  <c r="D296" i="4"/>
  <c r="C296" i="4"/>
  <c r="S295" i="4"/>
  <c r="R295" i="4"/>
  <c r="Q295" i="4"/>
  <c r="O295" i="4"/>
  <c r="I295" i="4"/>
  <c r="M295" i="4" s="1"/>
  <c r="S294" i="4"/>
  <c r="R294" i="4"/>
  <c r="Q294" i="4"/>
  <c r="O294" i="4"/>
  <c r="I294" i="4"/>
  <c r="S293" i="4"/>
  <c r="R293" i="4"/>
  <c r="Q293" i="4"/>
  <c r="O293" i="4"/>
  <c r="I293" i="4"/>
  <c r="S292" i="4"/>
  <c r="R292" i="4"/>
  <c r="Q292" i="4"/>
  <c r="O292" i="4"/>
  <c r="I292" i="4"/>
  <c r="S291" i="4"/>
  <c r="R291" i="4"/>
  <c r="Q291" i="4"/>
  <c r="O291" i="4"/>
  <c r="I291" i="4"/>
  <c r="M291" i="4" s="1"/>
  <c r="S290" i="4"/>
  <c r="R290" i="4"/>
  <c r="Q290" i="4"/>
  <c r="O290" i="4"/>
  <c r="I290" i="4"/>
  <c r="S289" i="4"/>
  <c r="R289" i="4"/>
  <c r="Q289" i="4"/>
  <c r="O289" i="4"/>
  <c r="I289" i="4"/>
  <c r="M289" i="4" s="1"/>
  <c r="G289" i="4" s="1"/>
  <c r="S288" i="4"/>
  <c r="R288" i="4"/>
  <c r="Q288" i="4"/>
  <c r="O288" i="4"/>
  <c r="I288" i="4"/>
  <c r="S287" i="4"/>
  <c r="R287" i="4"/>
  <c r="Q287" i="4"/>
  <c r="O287" i="4"/>
  <c r="I287" i="4"/>
  <c r="M287" i="4" s="1"/>
  <c r="S286" i="4"/>
  <c r="R286" i="4"/>
  <c r="Q286" i="4"/>
  <c r="Q285" i="4" s="1"/>
  <c r="O286" i="4"/>
  <c r="I286" i="4"/>
  <c r="L285" i="4"/>
  <c r="K285" i="4"/>
  <c r="J285" i="4"/>
  <c r="H285" i="4"/>
  <c r="F285" i="4"/>
  <c r="E285" i="4"/>
  <c r="D285" i="4"/>
  <c r="C285" i="4"/>
  <c r="S284" i="4"/>
  <c r="R284" i="4"/>
  <c r="Q284" i="4"/>
  <c r="O284" i="4"/>
  <c r="I284" i="4"/>
  <c r="M284" i="4" s="1"/>
  <c r="S283" i="4"/>
  <c r="R283" i="4"/>
  <c r="Q283" i="4"/>
  <c r="O283" i="4"/>
  <c r="I283" i="4"/>
  <c r="S282" i="4"/>
  <c r="R282" i="4"/>
  <c r="Q282" i="4"/>
  <c r="O282" i="4"/>
  <c r="I282" i="4"/>
  <c r="S281" i="4"/>
  <c r="R281" i="4"/>
  <c r="Q281" i="4"/>
  <c r="O281" i="4"/>
  <c r="I281" i="4"/>
  <c r="S280" i="4"/>
  <c r="R280" i="4"/>
  <c r="Q280" i="4"/>
  <c r="O280" i="4"/>
  <c r="I280" i="4"/>
  <c r="M280" i="4" s="1"/>
  <c r="S279" i="4"/>
  <c r="R279" i="4"/>
  <c r="Q279" i="4"/>
  <c r="O279" i="4"/>
  <c r="I279" i="4"/>
  <c r="S278" i="4"/>
  <c r="R278" i="4"/>
  <c r="Q278" i="4"/>
  <c r="O278" i="4"/>
  <c r="I278" i="4"/>
  <c r="M278" i="4" s="1"/>
  <c r="S277" i="4"/>
  <c r="R277" i="4"/>
  <c r="Q277" i="4"/>
  <c r="O277" i="4"/>
  <c r="I277" i="4"/>
  <c r="S276" i="4"/>
  <c r="R276" i="4"/>
  <c r="Q276" i="4"/>
  <c r="O276" i="4"/>
  <c r="I276" i="4"/>
  <c r="M276" i="4" s="1"/>
  <c r="S275" i="4"/>
  <c r="R275" i="4"/>
  <c r="Q275" i="4"/>
  <c r="Q274" i="4" s="1"/>
  <c r="O275" i="4"/>
  <c r="I275" i="4"/>
  <c r="L274" i="4"/>
  <c r="K274" i="4"/>
  <c r="J274" i="4"/>
  <c r="H274" i="4"/>
  <c r="F274" i="4"/>
  <c r="E274" i="4"/>
  <c r="D274" i="4"/>
  <c r="C274" i="4"/>
  <c r="S273" i="4"/>
  <c r="R273" i="4"/>
  <c r="Q273" i="4"/>
  <c r="O273" i="4"/>
  <c r="I273" i="4"/>
  <c r="M273" i="4" s="1"/>
  <c r="G273" i="4"/>
  <c r="S272" i="4"/>
  <c r="R272" i="4"/>
  <c r="Q272" i="4"/>
  <c r="O272" i="4"/>
  <c r="I272" i="4"/>
  <c r="M272" i="4" s="1"/>
  <c r="S271" i="4"/>
  <c r="R271" i="4"/>
  <c r="Q271" i="4"/>
  <c r="P271" i="4" s="1"/>
  <c r="O271" i="4"/>
  <c r="I271" i="4"/>
  <c r="M271" i="4" s="1"/>
  <c r="S270" i="4"/>
  <c r="R270" i="4"/>
  <c r="Q270" i="4"/>
  <c r="O270" i="4"/>
  <c r="I270" i="4"/>
  <c r="M270" i="4" s="1"/>
  <c r="S269" i="4"/>
  <c r="R269" i="4"/>
  <c r="Q269" i="4"/>
  <c r="O269" i="4"/>
  <c r="I269" i="4"/>
  <c r="M269" i="4" s="1"/>
  <c r="S268" i="4"/>
  <c r="R268" i="4"/>
  <c r="Q268" i="4"/>
  <c r="O268" i="4"/>
  <c r="I268" i="4"/>
  <c r="M268" i="4" s="1"/>
  <c r="G268" i="4" s="1"/>
  <c r="S267" i="4"/>
  <c r="R267" i="4"/>
  <c r="Q267" i="4"/>
  <c r="O267" i="4"/>
  <c r="I267" i="4"/>
  <c r="M267" i="4" s="1"/>
  <c r="S266" i="4"/>
  <c r="R266" i="4"/>
  <c r="Q266" i="4"/>
  <c r="O266" i="4"/>
  <c r="I266" i="4"/>
  <c r="M266" i="4" s="1"/>
  <c r="S265" i="4"/>
  <c r="R265" i="4"/>
  <c r="Q265" i="4"/>
  <c r="O265" i="4"/>
  <c r="I265" i="4"/>
  <c r="S264" i="4"/>
  <c r="R264" i="4"/>
  <c r="Q264" i="4"/>
  <c r="O264" i="4"/>
  <c r="I264" i="4"/>
  <c r="L263" i="4"/>
  <c r="K263" i="4"/>
  <c r="J263" i="4"/>
  <c r="H263" i="4"/>
  <c r="F263" i="4"/>
  <c r="E263" i="4"/>
  <c r="D263" i="4"/>
  <c r="C263" i="4"/>
  <c r="S262" i="4"/>
  <c r="R262" i="4"/>
  <c r="Q262" i="4"/>
  <c r="O262" i="4"/>
  <c r="I262" i="4"/>
  <c r="S261" i="4"/>
  <c r="R261" i="4"/>
  <c r="Q261" i="4"/>
  <c r="Q22" i="4" s="1"/>
  <c r="O261" i="4"/>
  <c r="I261" i="4"/>
  <c r="S260" i="4"/>
  <c r="R260" i="4"/>
  <c r="Q260" i="4"/>
  <c r="O260" i="4"/>
  <c r="I260" i="4"/>
  <c r="S259" i="4"/>
  <c r="R259" i="4"/>
  <c r="Q259" i="4"/>
  <c r="O259" i="4"/>
  <c r="I259" i="4"/>
  <c r="M259" i="4" s="1"/>
  <c r="S258" i="4"/>
  <c r="R258" i="4"/>
  <c r="Q258" i="4"/>
  <c r="O258" i="4"/>
  <c r="I258" i="4"/>
  <c r="S257" i="4"/>
  <c r="R257" i="4"/>
  <c r="Q257" i="4"/>
  <c r="O257" i="4"/>
  <c r="I257" i="4"/>
  <c r="M257" i="4" s="1"/>
  <c r="G257" i="4"/>
  <c r="S256" i="4"/>
  <c r="R256" i="4"/>
  <c r="Q256" i="4"/>
  <c r="O256" i="4"/>
  <c r="I256" i="4"/>
  <c r="S255" i="4"/>
  <c r="R255" i="4"/>
  <c r="Q255" i="4"/>
  <c r="P255" i="4" s="1"/>
  <c r="O255" i="4"/>
  <c r="I255" i="4"/>
  <c r="M255" i="4" s="1"/>
  <c r="G255" i="4" s="1"/>
  <c r="S254" i="4"/>
  <c r="R254" i="4"/>
  <c r="Q254" i="4"/>
  <c r="O254" i="4"/>
  <c r="I254" i="4"/>
  <c r="S253" i="4"/>
  <c r="R253" i="4"/>
  <c r="Q253" i="4"/>
  <c r="O253" i="4"/>
  <c r="I253" i="4"/>
  <c r="L252" i="4"/>
  <c r="K252" i="4"/>
  <c r="J252" i="4"/>
  <c r="H252" i="4"/>
  <c r="F252" i="4"/>
  <c r="E252" i="4"/>
  <c r="D252" i="4"/>
  <c r="C252" i="4"/>
  <c r="I250" i="4"/>
  <c r="I249" i="4"/>
  <c r="M249" i="4" s="1"/>
  <c r="G249" i="4"/>
  <c r="I248" i="4"/>
  <c r="I247" i="4"/>
  <c r="P246" i="4"/>
  <c r="T246" i="4" s="1"/>
  <c r="I246" i="4"/>
  <c r="M246" i="4" s="1"/>
  <c r="I245" i="4"/>
  <c r="M245" i="4" s="1"/>
  <c r="I244" i="4"/>
  <c r="M244" i="4" s="1"/>
  <c r="G244" i="4" s="1"/>
  <c r="R240" i="4"/>
  <c r="I243" i="4"/>
  <c r="M243" i="4" s="1"/>
  <c r="I242" i="4"/>
  <c r="M242" i="4" s="1"/>
  <c r="G242" i="4" s="1"/>
  <c r="I241" i="4"/>
  <c r="L240" i="4"/>
  <c r="K240" i="4"/>
  <c r="J240" i="4"/>
  <c r="H240" i="4"/>
  <c r="F240" i="4"/>
  <c r="E240" i="4"/>
  <c r="D240" i="4"/>
  <c r="C240" i="4"/>
  <c r="L239" i="4"/>
  <c r="K239" i="4"/>
  <c r="J239" i="4"/>
  <c r="H239" i="4"/>
  <c r="F239" i="4"/>
  <c r="E239" i="4"/>
  <c r="D239" i="4"/>
  <c r="C239" i="4"/>
  <c r="P238" i="4"/>
  <c r="I238" i="4"/>
  <c r="M238" i="4" s="1"/>
  <c r="G238" i="4" s="1"/>
  <c r="P237" i="4"/>
  <c r="T237" i="4" s="1"/>
  <c r="I237" i="4"/>
  <c r="I236" i="4"/>
  <c r="M236" i="4" s="1"/>
  <c r="G236" i="4" s="1"/>
  <c r="I235" i="4"/>
  <c r="M235" i="4" s="1"/>
  <c r="P234" i="4"/>
  <c r="I234" i="4"/>
  <c r="M234" i="4" s="1"/>
  <c r="G234" i="4" s="1"/>
  <c r="I233" i="4"/>
  <c r="M233" i="4" s="1"/>
  <c r="I232" i="4"/>
  <c r="M232" i="4" s="1"/>
  <c r="G232" i="4" s="1"/>
  <c r="P231" i="4"/>
  <c r="T231" i="4" s="1"/>
  <c r="I231" i="4"/>
  <c r="M231" i="4" s="1"/>
  <c r="I230" i="4"/>
  <c r="M230" i="4" s="1"/>
  <c r="G230" i="4" s="1"/>
  <c r="I229" i="4"/>
  <c r="P228" i="4"/>
  <c r="I228" i="4"/>
  <c r="M228" i="4" s="1"/>
  <c r="G228" i="4" s="1"/>
  <c r="I227" i="4"/>
  <c r="M227" i="4" s="1"/>
  <c r="I226" i="4"/>
  <c r="M226" i="4" s="1"/>
  <c r="G226" i="4" s="1"/>
  <c r="P225" i="4"/>
  <c r="T225" i="4" s="1"/>
  <c r="I225" i="4"/>
  <c r="R222" i="4"/>
  <c r="I224" i="4"/>
  <c r="M224" i="4" s="1"/>
  <c r="G224" i="4" s="1"/>
  <c r="S222" i="4"/>
  <c r="I223" i="4"/>
  <c r="M223" i="4" s="1"/>
  <c r="L222" i="4"/>
  <c r="K222" i="4"/>
  <c r="J222" i="4"/>
  <c r="H222" i="4"/>
  <c r="F222" i="4"/>
  <c r="E222" i="4"/>
  <c r="D222" i="4"/>
  <c r="C222" i="4"/>
  <c r="I221" i="4"/>
  <c r="I220" i="4"/>
  <c r="M220" i="4" s="1"/>
  <c r="G220" i="4" s="1"/>
  <c r="P219" i="4"/>
  <c r="T219" i="4" s="1"/>
  <c r="I219" i="4"/>
  <c r="M219" i="4" s="1"/>
  <c r="G219" i="4" s="1"/>
  <c r="P218" i="4"/>
  <c r="I218" i="4"/>
  <c r="M218" i="4" s="1"/>
  <c r="G218" i="4" s="1"/>
  <c r="Q215" i="4"/>
  <c r="I217" i="4"/>
  <c r="R215" i="4"/>
  <c r="R214" i="4" s="1"/>
  <c r="I216" i="4"/>
  <c r="M216" i="4" s="1"/>
  <c r="L215" i="4"/>
  <c r="L214" i="4" s="1"/>
  <c r="K215" i="4"/>
  <c r="K214" i="4" s="1"/>
  <c r="J215" i="4"/>
  <c r="J214" i="4" s="1"/>
  <c r="H215" i="4"/>
  <c r="H214" i="4" s="1"/>
  <c r="F215" i="4"/>
  <c r="F214" i="4" s="1"/>
  <c r="E215" i="4"/>
  <c r="E214" i="4" s="1"/>
  <c r="D215" i="4"/>
  <c r="D214" i="4" s="1"/>
  <c r="C215" i="4"/>
  <c r="C214" i="4" s="1"/>
  <c r="I213" i="4"/>
  <c r="I212" i="4"/>
  <c r="M212" i="4" s="1"/>
  <c r="G212" i="4" s="1"/>
  <c r="P211" i="4"/>
  <c r="T211" i="4" s="1"/>
  <c r="I211" i="4"/>
  <c r="M211" i="4" s="1"/>
  <c r="I210" i="4"/>
  <c r="M210" i="4" s="1"/>
  <c r="G210" i="4" s="1"/>
  <c r="I209" i="4"/>
  <c r="I208" i="4"/>
  <c r="M208" i="4" s="1"/>
  <c r="G208" i="4" s="1"/>
  <c r="I207" i="4"/>
  <c r="M207" i="4" s="1"/>
  <c r="G207" i="4"/>
  <c r="I206" i="4"/>
  <c r="M206" i="4" s="1"/>
  <c r="G206" i="4" s="1"/>
  <c r="P205" i="4"/>
  <c r="O205" i="4"/>
  <c r="I205" i="4"/>
  <c r="R202" i="4"/>
  <c r="I204" i="4"/>
  <c r="M204" i="4" s="1"/>
  <c r="G204" i="4" s="1"/>
  <c r="S202" i="4"/>
  <c r="I203" i="4"/>
  <c r="M203" i="4" s="1"/>
  <c r="L202" i="4"/>
  <c r="K202" i="4"/>
  <c r="J202" i="4"/>
  <c r="H202" i="4"/>
  <c r="F202" i="4"/>
  <c r="E202" i="4"/>
  <c r="D202" i="4"/>
  <c r="C202" i="4"/>
  <c r="S201" i="4"/>
  <c r="R201" i="4"/>
  <c r="Q201" i="4"/>
  <c r="I201" i="4"/>
  <c r="I200" i="4"/>
  <c r="P199" i="4"/>
  <c r="I199" i="4"/>
  <c r="M199" i="4" s="1"/>
  <c r="G199" i="4"/>
  <c r="S198" i="4"/>
  <c r="R198" i="4"/>
  <c r="L198" i="4"/>
  <c r="K198" i="4"/>
  <c r="J198" i="4"/>
  <c r="H198" i="4"/>
  <c r="F198" i="4"/>
  <c r="E198" i="4"/>
  <c r="D198" i="4"/>
  <c r="C198" i="4"/>
  <c r="I197" i="4"/>
  <c r="S195" i="4"/>
  <c r="O195" i="4"/>
  <c r="I196" i="4"/>
  <c r="L195" i="4"/>
  <c r="K195" i="4"/>
  <c r="J195" i="4"/>
  <c r="H195" i="4"/>
  <c r="F195" i="4"/>
  <c r="E195" i="4"/>
  <c r="D195" i="4"/>
  <c r="C195" i="4"/>
  <c r="I194" i="4"/>
  <c r="I193" i="4"/>
  <c r="P192" i="4"/>
  <c r="I192" i="4"/>
  <c r="Q189" i="4"/>
  <c r="I191" i="4"/>
  <c r="I190" i="4"/>
  <c r="L189" i="4"/>
  <c r="L185" i="4" s="1"/>
  <c r="K189" i="4"/>
  <c r="J189" i="4"/>
  <c r="J185" i="4" s="1"/>
  <c r="H189" i="4"/>
  <c r="H185" i="4" s="1"/>
  <c r="F189" i="4"/>
  <c r="E189" i="4"/>
  <c r="E185" i="4" s="1"/>
  <c r="D189" i="4"/>
  <c r="D185" i="4" s="1"/>
  <c r="C189" i="4"/>
  <c r="P188" i="4"/>
  <c r="I188" i="4"/>
  <c r="M188" i="4" s="1"/>
  <c r="G188" i="4"/>
  <c r="Q185" i="4"/>
  <c r="P187" i="4"/>
  <c r="I187" i="4"/>
  <c r="M187" i="4" s="1"/>
  <c r="P186" i="4"/>
  <c r="I186" i="4"/>
  <c r="K185" i="4"/>
  <c r="F185" i="4"/>
  <c r="C185" i="4"/>
  <c r="I184" i="4"/>
  <c r="P183" i="4"/>
  <c r="T183" i="4" s="1"/>
  <c r="I183" i="4"/>
  <c r="M183" i="4" s="1"/>
  <c r="G183" i="4"/>
  <c r="O182" i="4"/>
  <c r="I182" i="4"/>
  <c r="P181" i="4"/>
  <c r="T181" i="4" s="1"/>
  <c r="I181" i="4"/>
  <c r="M181" i="4" s="1"/>
  <c r="G181" i="4" s="1"/>
  <c r="I180" i="4"/>
  <c r="R179" i="4"/>
  <c r="Q179" i="4"/>
  <c r="L179" i="4"/>
  <c r="K179" i="4"/>
  <c r="J179" i="4"/>
  <c r="H179" i="4"/>
  <c r="F179" i="4"/>
  <c r="E179" i="4"/>
  <c r="D179" i="4"/>
  <c r="C179" i="4"/>
  <c r="H178" i="4"/>
  <c r="H177" i="4" s="1"/>
  <c r="H23" i="4" s="1"/>
  <c r="P176" i="4"/>
  <c r="T176" i="4" s="1"/>
  <c r="I176" i="4"/>
  <c r="M176" i="4" s="1"/>
  <c r="G176" i="4" s="1"/>
  <c r="I175" i="4"/>
  <c r="M175" i="4" s="1"/>
  <c r="P174" i="4"/>
  <c r="T174" i="4" s="1"/>
  <c r="I174" i="4"/>
  <c r="I173" i="4"/>
  <c r="M173" i="4" s="1"/>
  <c r="P172" i="4"/>
  <c r="T172" i="4" s="1"/>
  <c r="I172" i="4"/>
  <c r="I171" i="4"/>
  <c r="M171" i="4" s="1"/>
  <c r="I170" i="4"/>
  <c r="M170" i="4" s="1"/>
  <c r="I169" i="4"/>
  <c r="M169" i="4" s="1"/>
  <c r="G169" i="4" s="1"/>
  <c r="I168" i="4"/>
  <c r="M168" i="4" s="1"/>
  <c r="G168" i="4" s="1"/>
  <c r="I167" i="4"/>
  <c r="M167" i="4" s="1"/>
  <c r="L166" i="4"/>
  <c r="K166" i="4"/>
  <c r="J166" i="4"/>
  <c r="H166" i="4"/>
  <c r="F166" i="4"/>
  <c r="E166" i="4"/>
  <c r="D166" i="4"/>
  <c r="C166" i="4"/>
  <c r="S163" i="4"/>
  <c r="I165" i="4"/>
  <c r="R163" i="4"/>
  <c r="I164" i="4"/>
  <c r="M164" i="4" s="1"/>
  <c r="G164" i="4"/>
  <c r="Q163" i="4"/>
  <c r="L163" i="4"/>
  <c r="K163" i="4"/>
  <c r="J163" i="4"/>
  <c r="H163" i="4"/>
  <c r="F163" i="4"/>
  <c r="E163" i="4"/>
  <c r="D163" i="4"/>
  <c r="C163" i="4"/>
  <c r="I162" i="4"/>
  <c r="M162" i="4" s="1"/>
  <c r="P161" i="4"/>
  <c r="I161" i="4"/>
  <c r="M161" i="4" s="1"/>
  <c r="I160" i="4"/>
  <c r="I159" i="4"/>
  <c r="I158" i="4"/>
  <c r="M158" i="4" s="1"/>
  <c r="P157" i="4"/>
  <c r="I157" i="4"/>
  <c r="M157" i="4" s="1"/>
  <c r="G157" i="4"/>
  <c r="I156" i="4"/>
  <c r="I155" i="4"/>
  <c r="M155" i="4" s="1"/>
  <c r="Q153" i="4"/>
  <c r="Q147" i="4" s="1"/>
  <c r="Q146" i="4" s="1"/>
  <c r="O153" i="4"/>
  <c r="I154" i="4"/>
  <c r="M154" i="4" s="1"/>
  <c r="G154" i="4"/>
  <c r="L153" i="4"/>
  <c r="K153" i="4"/>
  <c r="K147" i="4" s="1"/>
  <c r="K146" i="4" s="1"/>
  <c r="J153" i="4"/>
  <c r="I153" i="4"/>
  <c r="H153" i="4"/>
  <c r="F153" i="4"/>
  <c r="E153" i="4"/>
  <c r="E147" i="4" s="1"/>
  <c r="E146" i="4" s="1"/>
  <c r="E145" i="4" s="1"/>
  <c r="E21" i="4" s="1"/>
  <c r="D153" i="4"/>
  <c r="D147" i="4" s="1"/>
  <c r="D146" i="4" s="1"/>
  <c r="C153" i="4"/>
  <c r="C147" i="4" s="1"/>
  <c r="C146" i="4" s="1"/>
  <c r="C145" i="4" s="1"/>
  <c r="C21" i="4" s="1"/>
  <c r="P152" i="4"/>
  <c r="I152" i="4"/>
  <c r="M152" i="4" s="1"/>
  <c r="I151" i="4"/>
  <c r="M151" i="4" s="1"/>
  <c r="G151" i="4" s="1"/>
  <c r="I150" i="4"/>
  <c r="M150" i="4" s="1"/>
  <c r="G150" i="4" s="1"/>
  <c r="I149" i="4"/>
  <c r="M149" i="4" s="1"/>
  <c r="P148" i="4"/>
  <c r="I148" i="4"/>
  <c r="M148" i="4" s="1"/>
  <c r="L147" i="4"/>
  <c r="L146" i="4" s="1"/>
  <c r="L145" i="4" s="1"/>
  <c r="L21" i="4" s="1"/>
  <c r="J147" i="4"/>
  <c r="J146" i="4" s="1"/>
  <c r="J145" i="4" s="1"/>
  <c r="J21" i="4" s="1"/>
  <c r="H147" i="4"/>
  <c r="H146" i="4" s="1"/>
  <c r="F147" i="4"/>
  <c r="F146" i="4" s="1"/>
  <c r="F145" i="4" s="1"/>
  <c r="F21" i="4" s="1"/>
  <c r="H145" i="4"/>
  <c r="H21" i="4" s="1"/>
  <c r="I144" i="4"/>
  <c r="M144" i="4" s="1"/>
  <c r="I143" i="4"/>
  <c r="M143" i="4" s="1"/>
  <c r="G143" i="4"/>
  <c r="I142" i="4"/>
  <c r="M142" i="4" s="1"/>
  <c r="P141" i="4"/>
  <c r="I141" i="4"/>
  <c r="M141" i="4" s="1"/>
  <c r="G141" i="4" s="1"/>
  <c r="Q138" i="4"/>
  <c r="Q137" i="4" s="1"/>
  <c r="Q20" i="4" s="1"/>
  <c r="O138" i="4"/>
  <c r="O137" i="4" s="1"/>
  <c r="O20" i="4" s="1"/>
  <c r="I140" i="4"/>
  <c r="M140" i="4" s="1"/>
  <c r="I139" i="4"/>
  <c r="L138" i="4"/>
  <c r="L137" i="4" s="1"/>
  <c r="L20" i="4" s="1"/>
  <c r="K138" i="4"/>
  <c r="K137" i="4" s="1"/>
  <c r="J138" i="4"/>
  <c r="J137" i="4" s="1"/>
  <c r="J20" i="4" s="1"/>
  <c r="H138" i="4"/>
  <c r="H137" i="4" s="1"/>
  <c r="H20" i="4" s="1"/>
  <c r="F138" i="4"/>
  <c r="F137" i="4" s="1"/>
  <c r="F20" i="4" s="1"/>
  <c r="E138" i="4"/>
  <c r="E137" i="4" s="1"/>
  <c r="E20" i="4" s="1"/>
  <c r="D138" i="4"/>
  <c r="C138" i="4"/>
  <c r="C137" i="4" s="1"/>
  <c r="C20" i="4" s="1"/>
  <c r="D137" i="4"/>
  <c r="D20" i="4" s="1"/>
  <c r="S135" i="4"/>
  <c r="S18" i="4" s="1"/>
  <c r="R135" i="4"/>
  <c r="I136" i="4"/>
  <c r="I135" i="4" s="1"/>
  <c r="G136" i="4"/>
  <c r="G135" i="4" s="1"/>
  <c r="T135" i="4"/>
  <c r="O135" i="4"/>
  <c r="M135" i="4"/>
  <c r="L135" i="4"/>
  <c r="K135" i="4"/>
  <c r="K18" i="4" s="1"/>
  <c r="J135" i="4"/>
  <c r="H135" i="4"/>
  <c r="H18" i="4" s="1"/>
  <c r="F135" i="4"/>
  <c r="E135" i="4"/>
  <c r="E18" i="4" s="1"/>
  <c r="D135" i="4"/>
  <c r="D18" i="4" s="1"/>
  <c r="C135" i="4"/>
  <c r="C18" i="4" s="1"/>
  <c r="R133" i="4"/>
  <c r="R132" i="4" s="1"/>
  <c r="O133" i="4"/>
  <c r="O132" i="4" s="1"/>
  <c r="O19" i="4" s="1"/>
  <c r="I134" i="4"/>
  <c r="S133" i="4"/>
  <c r="S132" i="4" s="1"/>
  <c r="Q133" i="4"/>
  <c r="Q132" i="4" s="1"/>
  <c r="L133" i="4"/>
  <c r="L132" i="4" s="1"/>
  <c r="L19" i="4" s="1"/>
  <c r="K133" i="4"/>
  <c r="J133" i="4"/>
  <c r="J132" i="4" s="1"/>
  <c r="J19" i="4" s="1"/>
  <c r="H133" i="4"/>
  <c r="H132" i="4" s="1"/>
  <c r="H19" i="4" s="1"/>
  <c r="F133" i="4"/>
  <c r="F132" i="4" s="1"/>
  <c r="F19" i="4" s="1"/>
  <c r="E133" i="4"/>
  <c r="D133" i="4"/>
  <c r="D132" i="4" s="1"/>
  <c r="D19" i="4" s="1"/>
  <c r="C133" i="4"/>
  <c r="C132" i="4" s="1"/>
  <c r="K132" i="4"/>
  <c r="K19" i="4" s="1"/>
  <c r="I19" i="4" s="1"/>
  <c r="E132" i="4"/>
  <c r="P131" i="4"/>
  <c r="T131" i="4" s="1"/>
  <c r="I131" i="4"/>
  <c r="M131" i="4" s="1"/>
  <c r="P130" i="4"/>
  <c r="T130" i="4" s="1"/>
  <c r="I130" i="4"/>
  <c r="M130" i="4" s="1"/>
  <c r="P129" i="4"/>
  <c r="T129" i="4" s="1"/>
  <c r="I129" i="4"/>
  <c r="M129" i="4" s="1"/>
  <c r="G129" i="4"/>
  <c r="R126" i="4"/>
  <c r="R125" i="4" s="1"/>
  <c r="R124" i="4" s="1"/>
  <c r="P128" i="4"/>
  <c r="T128" i="4" s="1"/>
  <c r="I128" i="4"/>
  <c r="M128" i="4" s="1"/>
  <c r="S126" i="4"/>
  <c r="S125" i="4" s="1"/>
  <c r="S124" i="4" s="1"/>
  <c r="P127" i="4"/>
  <c r="O126" i="4"/>
  <c r="O125" i="4" s="1"/>
  <c r="O17" i="4" s="1"/>
  <c r="I127" i="4"/>
  <c r="Q126" i="4"/>
  <c r="L126" i="4"/>
  <c r="K126" i="4"/>
  <c r="K125" i="4" s="1"/>
  <c r="J126" i="4"/>
  <c r="J125" i="4" s="1"/>
  <c r="H126" i="4"/>
  <c r="H125" i="4" s="1"/>
  <c r="F126" i="4"/>
  <c r="F125" i="4" s="1"/>
  <c r="E126" i="4"/>
  <c r="E125" i="4" s="1"/>
  <c r="D126" i="4"/>
  <c r="D125" i="4" s="1"/>
  <c r="C126" i="4"/>
  <c r="Q125" i="4"/>
  <c r="L125" i="4"/>
  <c r="L17" i="4" s="1"/>
  <c r="C125" i="4"/>
  <c r="C17" i="4" s="1"/>
  <c r="P123" i="4"/>
  <c r="I123" i="4"/>
  <c r="M123" i="4" s="1"/>
  <c r="I122" i="4"/>
  <c r="M122" i="4" s="1"/>
  <c r="P121" i="4"/>
  <c r="I121" i="4"/>
  <c r="M121" i="4" s="1"/>
  <c r="I120" i="4"/>
  <c r="M120" i="4" s="1"/>
  <c r="P119" i="4"/>
  <c r="I119" i="4"/>
  <c r="M119" i="4" s="1"/>
  <c r="S117" i="4"/>
  <c r="S116" i="4" s="1"/>
  <c r="Q117" i="4"/>
  <c r="Q116" i="4" s="1"/>
  <c r="I118" i="4"/>
  <c r="R117" i="4"/>
  <c r="R116" i="4" s="1"/>
  <c r="R16" i="4" s="1"/>
  <c r="O117" i="4"/>
  <c r="O116" i="4" s="1"/>
  <c r="L117" i="4"/>
  <c r="L116" i="4" s="1"/>
  <c r="L16" i="4" s="1"/>
  <c r="K117" i="4"/>
  <c r="K116" i="4" s="1"/>
  <c r="K16" i="4" s="1"/>
  <c r="J117" i="4"/>
  <c r="J116" i="4" s="1"/>
  <c r="J16" i="4" s="1"/>
  <c r="H117" i="4"/>
  <c r="H116" i="4" s="1"/>
  <c r="H16" i="4" s="1"/>
  <c r="F117" i="4"/>
  <c r="E117" i="4"/>
  <c r="E116" i="4" s="1"/>
  <c r="E16" i="4" s="1"/>
  <c r="D117" i="4"/>
  <c r="D116" i="4" s="1"/>
  <c r="D16" i="4" s="1"/>
  <c r="C117" i="4"/>
  <c r="C116" i="4" s="1"/>
  <c r="C16" i="4" s="1"/>
  <c r="F116" i="4"/>
  <c r="F16" i="4" s="1"/>
  <c r="P115" i="4"/>
  <c r="I115" i="4"/>
  <c r="M115" i="4" s="1"/>
  <c r="I114" i="4"/>
  <c r="M114" i="4" s="1"/>
  <c r="P113" i="4"/>
  <c r="I113" i="4"/>
  <c r="M113" i="4" s="1"/>
  <c r="I112" i="4"/>
  <c r="M112" i="4" s="1"/>
  <c r="P111" i="4"/>
  <c r="I111" i="4"/>
  <c r="M111" i="4" s="1"/>
  <c r="I110" i="4"/>
  <c r="M110" i="4" s="1"/>
  <c r="P109" i="4"/>
  <c r="I109" i="4"/>
  <c r="M109" i="4" s="1"/>
  <c r="Q105" i="4"/>
  <c r="I108" i="4"/>
  <c r="M108" i="4" s="1"/>
  <c r="G108" i="4" s="1"/>
  <c r="P107" i="4"/>
  <c r="T107" i="4" s="1"/>
  <c r="I107" i="4"/>
  <c r="M107" i="4" s="1"/>
  <c r="I106" i="4"/>
  <c r="L105" i="4"/>
  <c r="K105" i="4"/>
  <c r="J105" i="4"/>
  <c r="H105" i="4"/>
  <c r="F105" i="4"/>
  <c r="E105" i="4"/>
  <c r="D105" i="4"/>
  <c r="C105" i="4"/>
  <c r="P104" i="4"/>
  <c r="I104" i="4"/>
  <c r="R102" i="4"/>
  <c r="I103" i="4"/>
  <c r="Q102" i="4"/>
  <c r="L102" i="4"/>
  <c r="K102" i="4"/>
  <c r="K101" i="4" s="1"/>
  <c r="K98" i="4" s="1"/>
  <c r="J102" i="4"/>
  <c r="J101" i="4" s="1"/>
  <c r="J98" i="4" s="1"/>
  <c r="H102" i="4"/>
  <c r="H101" i="4" s="1"/>
  <c r="H98" i="4" s="1"/>
  <c r="F102" i="4"/>
  <c r="E102" i="4"/>
  <c r="D102" i="4"/>
  <c r="C102" i="4"/>
  <c r="C101" i="4" s="1"/>
  <c r="C98" i="4" s="1"/>
  <c r="E101" i="4"/>
  <c r="E98" i="4" s="1"/>
  <c r="P100" i="4"/>
  <c r="T100" i="4" s="1"/>
  <c r="I100" i="4"/>
  <c r="G100" i="4" s="1"/>
  <c r="P99" i="4"/>
  <c r="M99" i="4"/>
  <c r="I99" i="4"/>
  <c r="G99" i="4"/>
  <c r="I97" i="4"/>
  <c r="M97" i="4" s="1"/>
  <c r="G97" i="4"/>
  <c r="I96" i="4"/>
  <c r="M96" i="4" s="1"/>
  <c r="I95" i="4"/>
  <c r="M95" i="4" s="1"/>
  <c r="G95" i="4" s="1"/>
  <c r="I94" i="4"/>
  <c r="M94" i="4" s="1"/>
  <c r="G94" i="4" s="1"/>
  <c r="I93" i="4"/>
  <c r="M93" i="4" s="1"/>
  <c r="G93" i="4" s="1"/>
  <c r="I92" i="4"/>
  <c r="M92" i="4" s="1"/>
  <c r="G92" i="4" s="1"/>
  <c r="I91" i="4"/>
  <c r="M91" i="4" s="1"/>
  <c r="G91" i="4" s="1"/>
  <c r="I90" i="4"/>
  <c r="M90" i="4" s="1"/>
  <c r="G90" i="4" s="1"/>
  <c r="I89" i="4"/>
  <c r="M89" i="4" s="1"/>
  <c r="G89" i="4" s="1"/>
  <c r="I88" i="4"/>
  <c r="M88" i="4" s="1"/>
  <c r="G88" i="4" s="1"/>
  <c r="I87" i="4"/>
  <c r="M87" i="4" s="1"/>
  <c r="G87" i="4" s="1"/>
  <c r="O84" i="4"/>
  <c r="O83" i="4" s="1"/>
  <c r="I86" i="4"/>
  <c r="M86" i="4" s="1"/>
  <c r="G86" i="4" s="1"/>
  <c r="S84" i="4"/>
  <c r="S83" i="4" s="1"/>
  <c r="I85" i="4"/>
  <c r="M85" i="4" s="1"/>
  <c r="Q84" i="4"/>
  <c r="Q83" i="4" s="1"/>
  <c r="L84" i="4"/>
  <c r="L83" i="4" s="1"/>
  <c r="K84" i="4"/>
  <c r="K83" i="4" s="1"/>
  <c r="J84" i="4"/>
  <c r="J83" i="4" s="1"/>
  <c r="H84" i="4"/>
  <c r="F84" i="4"/>
  <c r="E84" i="4"/>
  <c r="E83" i="4" s="1"/>
  <c r="D84" i="4"/>
  <c r="D83" i="4" s="1"/>
  <c r="C84" i="4"/>
  <c r="H83" i="4"/>
  <c r="F83" i="4"/>
  <c r="C83" i="4"/>
  <c r="I81" i="4"/>
  <c r="M81" i="4" s="1"/>
  <c r="G81" i="4" s="1"/>
  <c r="P80" i="4"/>
  <c r="I80" i="4"/>
  <c r="M80" i="4" s="1"/>
  <c r="G80" i="4" s="1"/>
  <c r="I79" i="4"/>
  <c r="M79" i="4" s="1"/>
  <c r="G79" i="4" s="1"/>
  <c r="P78" i="4"/>
  <c r="I78" i="4"/>
  <c r="M78" i="4" s="1"/>
  <c r="G78" i="4" s="1"/>
  <c r="I77" i="4"/>
  <c r="M77" i="4" s="1"/>
  <c r="G77" i="4" s="1"/>
  <c r="P76" i="4"/>
  <c r="O73" i="4"/>
  <c r="O14" i="4" s="1"/>
  <c r="I76" i="4"/>
  <c r="M76" i="4" s="1"/>
  <c r="G76" i="4" s="1"/>
  <c r="Q73" i="4"/>
  <c r="Q14" i="4" s="1"/>
  <c r="I75" i="4"/>
  <c r="M75" i="4" s="1"/>
  <c r="G75" i="4" s="1"/>
  <c r="P74" i="4"/>
  <c r="I74" i="4"/>
  <c r="M74" i="4" s="1"/>
  <c r="S73" i="4"/>
  <c r="S14" i="4" s="1"/>
  <c r="L73" i="4"/>
  <c r="L14" i="4" s="1"/>
  <c r="K73" i="4"/>
  <c r="K14" i="4" s="1"/>
  <c r="J73" i="4"/>
  <c r="H73" i="4"/>
  <c r="H14" i="4" s="1"/>
  <c r="F73" i="4"/>
  <c r="E73" i="4"/>
  <c r="E14" i="4" s="1"/>
  <c r="D73" i="4"/>
  <c r="C73" i="4"/>
  <c r="C14" i="4" s="1"/>
  <c r="I72" i="4"/>
  <c r="M72" i="4" s="1"/>
  <c r="G72" i="4"/>
  <c r="I71" i="4"/>
  <c r="M71" i="4" s="1"/>
  <c r="G71" i="4"/>
  <c r="I70" i="4"/>
  <c r="M70" i="4" s="1"/>
  <c r="G70" i="4"/>
  <c r="I69" i="4"/>
  <c r="M69" i="4" s="1"/>
  <c r="G69" i="4" s="1"/>
  <c r="I68" i="4"/>
  <c r="M68" i="4" s="1"/>
  <c r="G68" i="4"/>
  <c r="I67" i="4"/>
  <c r="M67" i="4" s="1"/>
  <c r="I66" i="4"/>
  <c r="M66" i="4" s="1"/>
  <c r="G66" i="4"/>
  <c r="I65" i="4"/>
  <c r="M65" i="4" s="1"/>
  <c r="I64" i="4"/>
  <c r="M64" i="4" s="1"/>
  <c r="G64" i="4"/>
  <c r="I63" i="4"/>
  <c r="M63" i="4" s="1"/>
  <c r="I62" i="4"/>
  <c r="M62" i="4" s="1"/>
  <c r="G62" i="4"/>
  <c r="I61" i="4"/>
  <c r="M61" i="4" s="1"/>
  <c r="I60" i="4"/>
  <c r="M60" i="4" s="1"/>
  <c r="G60" i="4"/>
  <c r="I59" i="4"/>
  <c r="M59" i="4" s="1"/>
  <c r="I58" i="4"/>
  <c r="M58" i="4" s="1"/>
  <c r="G58" i="4"/>
  <c r="I57" i="4"/>
  <c r="M57" i="4" s="1"/>
  <c r="I56" i="4"/>
  <c r="M56" i="4" s="1"/>
  <c r="G56" i="4"/>
  <c r="I55" i="4"/>
  <c r="M55" i="4" s="1"/>
  <c r="I54" i="4"/>
  <c r="M54" i="4" s="1"/>
  <c r="G54" i="4"/>
  <c r="I53" i="4"/>
  <c r="M53" i="4" s="1"/>
  <c r="I52" i="4"/>
  <c r="M52" i="4" s="1"/>
  <c r="G52" i="4"/>
  <c r="I51" i="4"/>
  <c r="I50" i="4"/>
  <c r="M50" i="4" s="1"/>
  <c r="I49" i="4"/>
  <c r="I48" i="4"/>
  <c r="M48" i="4" s="1"/>
  <c r="I47" i="4"/>
  <c r="P46" i="4"/>
  <c r="I46" i="4"/>
  <c r="M46" i="4" s="1"/>
  <c r="I45" i="4"/>
  <c r="M45" i="4" s="1"/>
  <c r="I44" i="4"/>
  <c r="M44" i="4" s="1"/>
  <c r="G44" i="4" s="1"/>
  <c r="I43" i="4"/>
  <c r="P42" i="4"/>
  <c r="I42" i="4"/>
  <c r="M42" i="4" s="1"/>
  <c r="G42" i="4" s="1"/>
  <c r="I41" i="4"/>
  <c r="M41" i="4" s="1"/>
  <c r="G41" i="4" s="1"/>
  <c r="I40" i="4"/>
  <c r="M40" i="4" s="1"/>
  <c r="G40" i="4" s="1"/>
  <c r="I39" i="4"/>
  <c r="M39" i="4" s="1"/>
  <c r="I38" i="4"/>
  <c r="M38" i="4" s="1"/>
  <c r="G38" i="4" s="1"/>
  <c r="I37" i="4"/>
  <c r="M37" i="4" s="1"/>
  <c r="G37" i="4"/>
  <c r="I36" i="4"/>
  <c r="M36" i="4" s="1"/>
  <c r="G36" i="4" s="1"/>
  <c r="I35" i="4"/>
  <c r="P34" i="4"/>
  <c r="I34" i="4"/>
  <c r="M34" i="4" s="1"/>
  <c r="G34" i="4" s="1"/>
  <c r="I33" i="4"/>
  <c r="M33" i="4" s="1"/>
  <c r="G33" i="4" s="1"/>
  <c r="I32" i="4"/>
  <c r="I31" i="4"/>
  <c r="M31" i="4" s="1"/>
  <c r="I30" i="4"/>
  <c r="M30" i="4" s="1"/>
  <c r="G30" i="4" s="1"/>
  <c r="L29" i="4"/>
  <c r="K29" i="4"/>
  <c r="K28" i="4" s="1"/>
  <c r="J29" i="4"/>
  <c r="J28" i="4" s="1"/>
  <c r="J13" i="4" s="1"/>
  <c r="H29" i="4"/>
  <c r="H28" i="4" s="1"/>
  <c r="F29" i="4"/>
  <c r="E29" i="4"/>
  <c r="D29" i="4"/>
  <c r="D28" i="4" s="1"/>
  <c r="C29" i="4"/>
  <c r="C28" i="4" s="1"/>
  <c r="C13" i="4" s="1"/>
  <c r="C12" i="4" s="1"/>
  <c r="L28" i="4"/>
  <c r="L13" i="4" s="1"/>
  <c r="F28" i="4"/>
  <c r="F13" i="4" s="1"/>
  <c r="E28" i="4"/>
  <c r="L22" i="4"/>
  <c r="K22" i="4"/>
  <c r="J22" i="4"/>
  <c r="H22" i="4"/>
  <c r="F22" i="4"/>
  <c r="E22" i="4"/>
  <c r="D22" i="4"/>
  <c r="C22" i="4"/>
  <c r="K20" i="4"/>
  <c r="E19" i="4"/>
  <c r="C19" i="4"/>
  <c r="L18" i="4"/>
  <c r="J18" i="4"/>
  <c r="F18" i="4"/>
  <c r="J14" i="4"/>
  <c r="F14" i="4"/>
  <c r="D14" i="4"/>
  <c r="E13" i="4"/>
  <c r="E17" i="4" l="1"/>
  <c r="E124" i="4"/>
  <c r="D27" i="4"/>
  <c r="D13" i="4"/>
  <c r="D12" i="4" s="1"/>
  <c r="H13" i="4"/>
  <c r="H27" i="4"/>
  <c r="I138" i="4"/>
  <c r="I137" i="4" s="1"/>
  <c r="G227" i="4"/>
  <c r="P269" i="4"/>
  <c r="G271" i="4"/>
  <c r="G291" i="4"/>
  <c r="K27" i="4"/>
  <c r="G45" i="4"/>
  <c r="G53" i="4"/>
  <c r="G55" i="4"/>
  <c r="G57" i="4"/>
  <c r="G59" i="4"/>
  <c r="G61" i="4"/>
  <c r="G63" i="4"/>
  <c r="G65" i="4"/>
  <c r="G67" i="4"/>
  <c r="Q16" i="4"/>
  <c r="G140" i="4"/>
  <c r="I147" i="4"/>
  <c r="I146" i="4" s="1"/>
  <c r="G152" i="4"/>
  <c r="D145" i="4"/>
  <c r="D21" i="4" s="1"/>
  <c r="D178" i="4"/>
  <c r="D177" i="4" s="1"/>
  <c r="D23" i="4" s="1"/>
  <c r="G233" i="4"/>
  <c r="G235" i="4"/>
  <c r="G266" i="4"/>
  <c r="P284" i="4"/>
  <c r="G295" i="4"/>
  <c r="P303" i="4"/>
  <c r="G305" i="4"/>
  <c r="L12" i="4"/>
  <c r="G48" i="4"/>
  <c r="G131" i="4"/>
  <c r="G144" i="4"/>
  <c r="G158" i="4"/>
  <c r="G161" i="4"/>
  <c r="G246" i="4"/>
  <c r="P257" i="4"/>
  <c r="G259" i="4"/>
  <c r="P273" i="4"/>
  <c r="G284" i="4"/>
  <c r="G287" i="4"/>
  <c r="P301" i="4"/>
  <c r="G303" i="4"/>
  <c r="R340" i="4"/>
  <c r="F12" i="4"/>
  <c r="I29" i="4"/>
  <c r="I28" i="4" s="1"/>
  <c r="E82" i="4"/>
  <c r="E15" i="4" s="1"/>
  <c r="C82" i="4"/>
  <c r="H82" i="4"/>
  <c r="K82" i="4"/>
  <c r="F101" i="4"/>
  <c r="F98" i="4" s="1"/>
  <c r="U107" i="4"/>
  <c r="V107" i="4" s="1"/>
  <c r="U128" i="4"/>
  <c r="V128" i="4" s="1"/>
  <c r="U129" i="4"/>
  <c r="V129" i="4" s="1"/>
  <c r="U130" i="4"/>
  <c r="V130" i="4" s="1"/>
  <c r="U131" i="4"/>
  <c r="V131" i="4" s="1"/>
  <c r="I20" i="4"/>
  <c r="M153" i="4"/>
  <c r="M156" i="4"/>
  <c r="G156" i="4" s="1"/>
  <c r="M160" i="4"/>
  <c r="G160" i="4" s="1"/>
  <c r="U181" i="4"/>
  <c r="V181" i="4" s="1"/>
  <c r="F178" i="4"/>
  <c r="F177" i="4" s="1"/>
  <c r="F23" i="4" s="1"/>
  <c r="T205" i="4"/>
  <c r="U246" i="4"/>
  <c r="V246" i="4" s="1"/>
  <c r="T255" i="4"/>
  <c r="U255" i="4" s="1"/>
  <c r="V255" i="4" s="1"/>
  <c r="T257" i="4"/>
  <c r="U257" i="4" s="1"/>
  <c r="V257" i="4" s="1"/>
  <c r="P265" i="4"/>
  <c r="Q263" i="4"/>
  <c r="O22" i="4"/>
  <c r="P276" i="4"/>
  <c r="T276" i="4" s="1"/>
  <c r="U276" i="4" s="1"/>
  <c r="V276" i="4" s="1"/>
  <c r="P286" i="4"/>
  <c r="P294" i="4"/>
  <c r="T301" i="4"/>
  <c r="U301" i="4" s="1"/>
  <c r="V301" i="4" s="1"/>
  <c r="T303" i="4"/>
  <c r="U303" i="4" s="1"/>
  <c r="V303" i="4" s="1"/>
  <c r="R307" i="4"/>
  <c r="Q318" i="4"/>
  <c r="Q124" i="4"/>
  <c r="Q101" i="4"/>
  <c r="F124" i="4"/>
  <c r="F17" i="4"/>
  <c r="P126" i="4"/>
  <c r="P125" i="4" s="1"/>
  <c r="G148" i="4"/>
  <c r="I14" i="4"/>
  <c r="H12" i="4"/>
  <c r="J124" i="4"/>
  <c r="J17" i="4"/>
  <c r="P191" i="4"/>
  <c r="N191" i="4" s="1"/>
  <c r="R189" i="4"/>
  <c r="R185" i="4" s="1"/>
  <c r="K13" i="4"/>
  <c r="K12" i="4" s="1"/>
  <c r="Q17" i="4"/>
  <c r="R22" i="4"/>
  <c r="P22" i="4" s="1"/>
  <c r="T22" i="4" s="1"/>
  <c r="L27" i="4"/>
  <c r="C27" i="4"/>
  <c r="G31" i="4"/>
  <c r="P31" i="4"/>
  <c r="T31" i="4" s="1"/>
  <c r="U31" i="4" s="1"/>
  <c r="V31" i="4" s="1"/>
  <c r="M32" i="4"/>
  <c r="G32" i="4" s="1"/>
  <c r="M35" i="4"/>
  <c r="G35" i="4" s="1"/>
  <c r="S29" i="4"/>
  <c r="S28" i="4" s="1"/>
  <c r="S13" i="4" s="1"/>
  <c r="S12" i="4" s="1"/>
  <c r="G39" i="4"/>
  <c r="P39" i="4"/>
  <c r="M43" i="4"/>
  <c r="G43" i="4" s="1"/>
  <c r="G50" i="4"/>
  <c r="P52" i="4"/>
  <c r="T52" i="4" s="1"/>
  <c r="U52" i="4" s="1"/>
  <c r="V52" i="4" s="1"/>
  <c r="P75" i="4"/>
  <c r="P79" i="4"/>
  <c r="G96" i="4"/>
  <c r="G110" i="4"/>
  <c r="G112" i="4"/>
  <c r="G114" i="4"/>
  <c r="G120" i="4"/>
  <c r="G122" i="4"/>
  <c r="L124" i="4"/>
  <c r="K124" i="4"/>
  <c r="G128" i="4"/>
  <c r="M139" i="4"/>
  <c r="M138" i="4" s="1"/>
  <c r="M137" i="4" s="1"/>
  <c r="S138" i="4"/>
  <c r="S137" i="4" s="1"/>
  <c r="S20" i="4" s="1"/>
  <c r="M159" i="4"/>
  <c r="G159" i="4" s="1"/>
  <c r="S166" i="4"/>
  <c r="M201" i="4"/>
  <c r="G201" i="4" s="1"/>
  <c r="P203" i="4"/>
  <c r="M221" i="4"/>
  <c r="G221" i="4"/>
  <c r="P223" i="4"/>
  <c r="Q252" i="4"/>
  <c r="M265" i="4"/>
  <c r="G265" i="4"/>
  <c r="M282" i="4"/>
  <c r="G282" i="4" s="1"/>
  <c r="H251" i="4"/>
  <c r="J82" i="4"/>
  <c r="J15" i="4" s="1"/>
  <c r="G149" i="4"/>
  <c r="I198" i="4"/>
  <c r="M200" i="4"/>
  <c r="S17" i="4"/>
  <c r="M293" i="4"/>
  <c r="G293" i="4" s="1"/>
  <c r="Q29" i="4"/>
  <c r="Q28" i="4" s="1"/>
  <c r="P41" i="4"/>
  <c r="T41" i="4" s="1"/>
  <c r="U41" i="4" s="1"/>
  <c r="V41" i="4" s="1"/>
  <c r="F82" i="4"/>
  <c r="F15" i="4" s="1"/>
  <c r="M84" i="4"/>
  <c r="M83" i="4" s="1"/>
  <c r="Q98" i="4"/>
  <c r="Q82" i="4" s="1"/>
  <c r="Q15" i="4" s="1"/>
  <c r="S102" i="4"/>
  <c r="R105" i="4"/>
  <c r="R101" i="4" s="1"/>
  <c r="R98" i="4" s="1"/>
  <c r="P108" i="4"/>
  <c r="T108" i="4" s="1"/>
  <c r="U108" i="4" s="1"/>
  <c r="V108" i="4" s="1"/>
  <c r="P110" i="4"/>
  <c r="P112" i="4"/>
  <c r="T112" i="4" s="1"/>
  <c r="U112" i="4" s="1"/>
  <c r="V112" i="4" s="1"/>
  <c r="P114" i="4"/>
  <c r="T114" i="4" s="1"/>
  <c r="U114" i="4" s="1"/>
  <c r="V114" i="4" s="1"/>
  <c r="O16" i="4"/>
  <c r="P118" i="4"/>
  <c r="P120" i="4"/>
  <c r="T120" i="4" s="1"/>
  <c r="U120" i="4" s="1"/>
  <c r="V120" i="4" s="1"/>
  <c r="P122" i="4"/>
  <c r="T122" i="4" s="1"/>
  <c r="U122" i="4" s="1"/>
  <c r="V122" i="4" s="1"/>
  <c r="I163" i="4"/>
  <c r="M192" i="4"/>
  <c r="G192" i="4" s="1"/>
  <c r="P193" i="4"/>
  <c r="N193" i="4" s="1"/>
  <c r="M205" i="4"/>
  <c r="G205" i="4" s="1"/>
  <c r="M225" i="4"/>
  <c r="U225" i="4" s="1"/>
  <c r="V225" i="4" s="1"/>
  <c r="G225" i="4"/>
  <c r="M261" i="4"/>
  <c r="G261" i="4" s="1"/>
  <c r="Q340" i="4"/>
  <c r="M194" i="4"/>
  <c r="G194" i="4" s="1"/>
  <c r="M213" i="4"/>
  <c r="G213" i="4"/>
  <c r="M347" i="4"/>
  <c r="G347" i="4" s="1"/>
  <c r="P33" i="4"/>
  <c r="P50" i="4"/>
  <c r="T50" i="4" s="1"/>
  <c r="E12" i="4"/>
  <c r="E27" i="4"/>
  <c r="J12" i="4"/>
  <c r="R29" i="4"/>
  <c r="R28" i="4" s="1"/>
  <c r="R13" i="4" s="1"/>
  <c r="P32" i="4"/>
  <c r="T32" i="4" s="1"/>
  <c r="U32" i="4" s="1"/>
  <c r="V32" i="4" s="1"/>
  <c r="P40" i="4"/>
  <c r="G46" i="4"/>
  <c r="P48" i="4"/>
  <c r="T48" i="4" s="1"/>
  <c r="U48" i="4" s="1"/>
  <c r="V48" i="4" s="1"/>
  <c r="P77" i="4"/>
  <c r="T77" i="4" s="1"/>
  <c r="U77" i="4" s="1"/>
  <c r="V77" i="4" s="1"/>
  <c r="P81" i="4"/>
  <c r="T81" i="4" s="1"/>
  <c r="U81" i="4" s="1"/>
  <c r="V81" i="4" s="1"/>
  <c r="L101" i="4"/>
  <c r="L98" i="4" s="1"/>
  <c r="L82" i="4" s="1"/>
  <c r="P103" i="4"/>
  <c r="G109" i="4"/>
  <c r="G111" i="4"/>
  <c r="G113" i="4"/>
  <c r="G115" i="4"/>
  <c r="G119" i="4"/>
  <c r="G121" i="4"/>
  <c r="G123" i="4"/>
  <c r="G130" i="4"/>
  <c r="C124" i="4"/>
  <c r="P134" i="4"/>
  <c r="P133" i="4" s="1"/>
  <c r="P132" i="4" s="1"/>
  <c r="G142" i="4"/>
  <c r="G155" i="4"/>
  <c r="G153" i="4" s="1"/>
  <c r="R153" i="4"/>
  <c r="R147" i="4" s="1"/>
  <c r="R146" i="4" s="1"/>
  <c r="G162" i="4"/>
  <c r="P164" i="4"/>
  <c r="M165" i="4"/>
  <c r="G170" i="4"/>
  <c r="P171" i="4"/>
  <c r="N171" i="4" s="1"/>
  <c r="P173" i="4"/>
  <c r="T173" i="4" s="1"/>
  <c r="U173" i="4" s="1"/>
  <c r="V173" i="4" s="1"/>
  <c r="K178" i="4"/>
  <c r="S179" i="4"/>
  <c r="L178" i="4"/>
  <c r="L177" i="4" s="1"/>
  <c r="L23" i="4" s="1"/>
  <c r="P194" i="4"/>
  <c r="T194" i="4" s="1"/>
  <c r="P213" i="4"/>
  <c r="T213" i="4" s="1"/>
  <c r="N213" i="4" s="1"/>
  <c r="U213" i="4" s="1"/>
  <c r="V213" i="4" s="1"/>
  <c r="P217" i="4"/>
  <c r="T217" i="4" s="1"/>
  <c r="P233" i="4"/>
  <c r="T233" i="4" s="1"/>
  <c r="P235" i="4"/>
  <c r="T235" i="4" s="1"/>
  <c r="U235" i="4" s="1"/>
  <c r="V235" i="4" s="1"/>
  <c r="P236" i="4"/>
  <c r="I318" i="4"/>
  <c r="M337" i="4"/>
  <c r="G337" i="4" s="1"/>
  <c r="M350" i="4"/>
  <c r="G350" i="4" s="1"/>
  <c r="P248" i="4"/>
  <c r="R18" i="4"/>
  <c r="S274" i="4"/>
  <c r="P277" i="4"/>
  <c r="P280" i="4"/>
  <c r="T280" i="4" s="1"/>
  <c r="U280" i="4" s="1"/>
  <c r="V280" i="4" s="1"/>
  <c r="T284" i="4"/>
  <c r="U284" i="4" s="1"/>
  <c r="V284" i="4" s="1"/>
  <c r="S285" i="4"/>
  <c r="P292" i="4"/>
  <c r="P309" i="4"/>
  <c r="T309" i="4" s="1"/>
  <c r="U309" i="4" s="1"/>
  <c r="V309" i="4" s="1"/>
  <c r="S329" i="4"/>
  <c r="P334" i="4"/>
  <c r="G336" i="4"/>
  <c r="S340" i="4"/>
  <c r="G346" i="4"/>
  <c r="P142" i="4"/>
  <c r="P149" i="4"/>
  <c r="T149" i="4" s="1"/>
  <c r="U149" i="4" s="1"/>
  <c r="V149" i="4" s="1"/>
  <c r="P150" i="4"/>
  <c r="T150" i="4" s="1"/>
  <c r="U150" i="4" s="1"/>
  <c r="V150" i="4" s="1"/>
  <c r="S153" i="4"/>
  <c r="S147" i="4" s="1"/>
  <c r="S146" i="4" s="1"/>
  <c r="S145" i="4" s="1"/>
  <c r="S21" i="4" s="1"/>
  <c r="P156" i="4"/>
  <c r="P160" i="4"/>
  <c r="T160" i="4" s="1"/>
  <c r="U160" i="4" s="1"/>
  <c r="V160" i="4" s="1"/>
  <c r="C178" i="4"/>
  <c r="C177" i="4" s="1"/>
  <c r="C23" i="4" s="1"/>
  <c r="Q198" i="4"/>
  <c r="P200" i="4"/>
  <c r="P198" i="4" s="1"/>
  <c r="P201" i="4"/>
  <c r="T201" i="4" s="1"/>
  <c r="Q202" i="4"/>
  <c r="P204" i="4"/>
  <c r="N204" i="4" s="1"/>
  <c r="P209" i="4"/>
  <c r="T209" i="4" s="1"/>
  <c r="P210" i="4"/>
  <c r="T210" i="4" s="1"/>
  <c r="N210" i="4" s="1"/>
  <c r="U210" i="4" s="1"/>
  <c r="V210" i="4" s="1"/>
  <c r="P212" i="4"/>
  <c r="P220" i="4"/>
  <c r="T220" i="4" s="1"/>
  <c r="N220" i="4" s="1"/>
  <c r="U220" i="4" s="1"/>
  <c r="V220" i="4" s="1"/>
  <c r="P221" i="4"/>
  <c r="T221" i="4" s="1"/>
  <c r="P224" i="4"/>
  <c r="P244" i="4"/>
  <c r="P245" i="4"/>
  <c r="P247" i="4"/>
  <c r="T247" i="4" s="1"/>
  <c r="N247" i="4" s="1"/>
  <c r="S16" i="4"/>
  <c r="O18" i="4"/>
  <c r="S263" i="4"/>
  <c r="L251" i="4"/>
  <c r="P278" i="4"/>
  <c r="T278" i="4" s="1"/>
  <c r="U278" i="4" s="1"/>
  <c r="V278" i="4" s="1"/>
  <c r="O285" i="4"/>
  <c r="P290" i="4"/>
  <c r="T290" i="4" s="1"/>
  <c r="N290" i="4" s="1"/>
  <c r="P299" i="4"/>
  <c r="R318" i="4"/>
  <c r="P330" i="4"/>
  <c r="K145" i="4"/>
  <c r="K21" i="4" s="1"/>
  <c r="I21" i="4" s="1"/>
  <c r="M21" i="4" s="1"/>
  <c r="G21" i="4" s="1"/>
  <c r="P165" i="4"/>
  <c r="P169" i="4"/>
  <c r="T169" i="4" s="1"/>
  <c r="U169" i="4" s="1"/>
  <c r="V169" i="4" s="1"/>
  <c r="P175" i="4"/>
  <c r="J178" i="4"/>
  <c r="J177" i="4" s="1"/>
  <c r="J23" i="4" s="1"/>
  <c r="Q195" i="4"/>
  <c r="M202" i="4"/>
  <c r="P206" i="4"/>
  <c r="P207" i="4"/>
  <c r="T207" i="4" s="1"/>
  <c r="P208" i="4"/>
  <c r="P226" i="4"/>
  <c r="N226" i="4" s="1"/>
  <c r="P227" i="4"/>
  <c r="T227" i="4" s="1"/>
  <c r="U227" i="4" s="1"/>
  <c r="V227" i="4" s="1"/>
  <c r="P229" i="4"/>
  <c r="T229" i="4" s="1"/>
  <c r="P230" i="4"/>
  <c r="P232" i="4"/>
  <c r="K177" i="4"/>
  <c r="K23" i="4" s="1"/>
  <c r="P243" i="4"/>
  <c r="T243" i="4" s="1"/>
  <c r="N243" i="4" s="1"/>
  <c r="U243" i="4" s="1"/>
  <c r="V243" i="4" s="1"/>
  <c r="P249" i="4"/>
  <c r="S19" i="4"/>
  <c r="P267" i="4"/>
  <c r="T267" i="4" s="1"/>
  <c r="U267" i="4" s="1"/>
  <c r="V267" i="4" s="1"/>
  <c r="S22" i="4"/>
  <c r="P279" i="4"/>
  <c r="P288" i="4"/>
  <c r="Q296" i="4"/>
  <c r="P310" i="4"/>
  <c r="T310" i="4" s="1"/>
  <c r="U310" i="4" s="1"/>
  <c r="V310" i="4" s="1"/>
  <c r="R329" i="4"/>
  <c r="M332" i="4"/>
  <c r="G332" i="4" s="1"/>
  <c r="M342" i="4"/>
  <c r="G342" i="4" s="1"/>
  <c r="P347" i="4"/>
  <c r="T347" i="4" s="1"/>
  <c r="U347" i="4" s="1"/>
  <c r="V347" i="4" s="1"/>
  <c r="G330" i="4"/>
  <c r="I329" i="4"/>
  <c r="R17" i="4"/>
  <c r="Q19" i="4"/>
  <c r="P261" i="4"/>
  <c r="P262" i="4"/>
  <c r="T262" i="4" s="1"/>
  <c r="N262" i="4" s="1"/>
  <c r="J251" i="4"/>
  <c r="R285" i="4"/>
  <c r="P287" i="4"/>
  <c r="P289" i="4"/>
  <c r="T289" i="4" s="1"/>
  <c r="U289" i="4" s="1"/>
  <c r="V289" i="4" s="1"/>
  <c r="P291" i="4"/>
  <c r="T291" i="4" s="1"/>
  <c r="U291" i="4" s="1"/>
  <c r="V291" i="4" s="1"/>
  <c r="P293" i="4"/>
  <c r="T293" i="4" s="1"/>
  <c r="U293" i="4" s="1"/>
  <c r="V293" i="4" s="1"/>
  <c r="P295" i="4"/>
  <c r="E251" i="4"/>
  <c r="Q329" i="4"/>
  <c r="M331" i="4"/>
  <c r="G331" i="4" s="1"/>
  <c r="M335" i="4"/>
  <c r="G335" i="4" s="1"/>
  <c r="M339" i="4"/>
  <c r="G339" i="4" s="1"/>
  <c r="M341" i="4"/>
  <c r="G341" i="4" s="1"/>
  <c r="M345" i="4"/>
  <c r="G345" i="4" s="1"/>
  <c r="M349" i="4"/>
  <c r="G349" i="4" s="1"/>
  <c r="I13" i="4"/>
  <c r="M13" i="4" s="1"/>
  <c r="I16" i="4"/>
  <c r="M16" i="4" s="1"/>
  <c r="C251" i="4"/>
  <c r="P259" i="4"/>
  <c r="P260" i="4"/>
  <c r="T260" i="4" s="1"/>
  <c r="G267" i="4"/>
  <c r="G270" i="4"/>
  <c r="G276" i="4"/>
  <c r="T277" i="4"/>
  <c r="N277" i="4" s="1"/>
  <c r="G278" i="4"/>
  <c r="G280" i="4"/>
  <c r="P282" i="4"/>
  <c r="T282" i="4" s="1"/>
  <c r="U282" i="4" s="1"/>
  <c r="V282" i="4" s="1"/>
  <c r="P283" i="4"/>
  <c r="G299" i="4"/>
  <c r="P305" i="4"/>
  <c r="T305" i="4" s="1"/>
  <c r="U305" i="4" s="1"/>
  <c r="V305" i="4" s="1"/>
  <c r="P306" i="4"/>
  <c r="T306" i="4" s="1"/>
  <c r="Q307" i="4"/>
  <c r="P342" i="4"/>
  <c r="P346" i="4"/>
  <c r="T346" i="4" s="1"/>
  <c r="U346" i="4" s="1"/>
  <c r="V346" i="4" s="1"/>
  <c r="P350" i="4"/>
  <c r="I18" i="4"/>
  <c r="M18" i="4" s="1"/>
  <c r="G18" i="4" s="1"/>
  <c r="I22" i="4"/>
  <c r="M22" i="4" s="1"/>
  <c r="G22" i="4" s="1"/>
  <c r="P254" i="4"/>
  <c r="T254" i="4" s="1"/>
  <c r="N254" i="4" s="1"/>
  <c r="P256" i="4"/>
  <c r="T256" i="4" s="1"/>
  <c r="N256" i="4" s="1"/>
  <c r="G269" i="4"/>
  <c r="G272" i="4"/>
  <c r="P281" i="4"/>
  <c r="P300" i="4"/>
  <c r="T300" i="4" s="1"/>
  <c r="P302" i="4"/>
  <c r="P304" i="4"/>
  <c r="T304" i="4" s="1"/>
  <c r="P331" i="4"/>
  <c r="P335" i="4"/>
  <c r="P339" i="4"/>
  <c r="I340" i="4"/>
  <c r="C15" i="4"/>
  <c r="C11" i="4" s="1"/>
  <c r="C26" i="4"/>
  <c r="Q13" i="4"/>
  <c r="Q27" i="4"/>
  <c r="K15" i="4"/>
  <c r="M14" i="4"/>
  <c r="T99" i="4"/>
  <c r="N99" i="4" s="1"/>
  <c r="L15" i="4"/>
  <c r="L11" i="4" s="1"/>
  <c r="M20" i="4"/>
  <c r="G20" i="4"/>
  <c r="P35" i="4"/>
  <c r="T35" i="4" s="1"/>
  <c r="U35" i="4" s="1"/>
  <c r="V35" i="4" s="1"/>
  <c r="P36" i="4"/>
  <c r="T36" i="4" s="1"/>
  <c r="U36" i="4" s="1"/>
  <c r="V36" i="4" s="1"/>
  <c r="P43" i="4"/>
  <c r="T43" i="4" s="1"/>
  <c r="U43" i="4" s="1"/>
  <c r="V43" i="4" s="1"/>
  <c r="P44" i="4"/>
  <c r="M73" i="4"/>
  <c r="G74" i="4"/>
  <c r="G73" i="4" s="1"/>
  <c r="O102" i="4"/>
  <c r="M104" i="4"/>
  <c r="G104" i="4" s="1"/>
  <c r="T109" i="4"/>
  <c r="U109" i="4" s="1"/>
  <c r="V109" i="4" s="1"/>
  <c r="R138" i="4"/>
  <c r="R137" i="4" s="1"/>
  <c r="R20" i="4" s="1"/>
  <c r="P20" i="4" s="1"/>
  <c r="T142" i="4"/>
  <c r="U142" i="4" s="1"/>
  <c r="V142" i="4" s="1"/>
  <c r="M174" i="4"/>
  <c r="G174" i="4" s="1"/>
  <c r="M197" i="4"/>
  <c r="G197" i="4" s="1"/>
  <c r="T199" i="4"/>
  <c r="N199" i="4" s="1"/>
  <c r="J27" i="4"/>
  <c r="D17" i="4"/>
  <c r="D124" i="4"/>
  <c r="T127" i="4"/>
  <c r="K17" i="4"/>
  <c r="I17" i="4" s="1"/>
  <c r="F27" i="4"/>
  <c r="P30" i="4"/>
  <c r="T30" i="4" s="1"/>
  <c r="P37" i="4"/>
  <c r="T37" i="4" s="1"/>
  <c r="U37" i="4" s="1"/>
  <c r="V37" i="4" s="1"/>
  <c r="P38" i="4"/>
  <c r="P106" i="4"/>
  <c r="T106" i="4" s="1"/>
  <c r="S105" i="4"/>
  <c r="O124" i="4"/>
  <c r="P258" i="4"/>
  <c r="T258" i="4" s="1"/>
  <c r="R252" i="4"/>
  <c r="R19" i="4"/>
  <c r="M260" i="4"/>
  <c r="G260" i="4" s="1"/>
  <c r="T46" i="4"/>
  <c r="U46" i="4" s="1"/>
  <c r="V46" i="4" s="1"/>
  <c r="O29" i="4"/>
  <c r="O28" i="4" s="1"/>
  <c r="S101" i="4"/>
  <c r="S98" i="4" s="1"/>
  <c r="S82" i="4" s="1"/>
  <c r="S15" i="4" s="1"/>
  <c r="O105" i="4"/>
  <c r="T110" i="4"/>
  <c r="U110" i="4" s="1"/>
  <c r="V110" i="4" s="1"/>
  <c r="M19" i="4"/>
  <c r="G19" i="4" s="1"/>
  <c r="M134" i="4"/>
  <c r="M133" i="4" s="1"/>
  <c r="M132" i="4" s="1"/>
  <c r="I133" i="4"/>
  <c r="I132" i="4" s="1"/>
  <c r="P16" i="4"/>
  <c r="T33" i="4"/>
  <c r="U33" i="4" s="1"/>
  <c r="V33" i="4" s="1"/>
  <c r="T39" i="4"/>
  <c r="U39" i="4" s="1"/>
  <c r="V39" i="4" s="1"/>
  <c r="P97" i="4"/>
  <c r="D101" i="4"/>
  <c r="D98" i="4" s="1"/>
  <c r="D82" i="4" s="1"/>
  <c r="H15" i="4"/>
  <c r="M103" i="4"/>
  <c r="I102" i="4"/>
  <c r="N107" i="4"/>
  <c r="O147" i="4"/>
  <c r="O146" i="4" s="1"/>
  <c r="T161" i="4"/>
  <c r="U161" i="4" s="1"/>
  <c r="V161" i="4" s="1"/>
  <c r="T165" i="4"/>
  <c r="U165" i="4" s="1"/>
  <c r="V165" i="4" s="1"/>
  <c r="O163" i="4"/>
  <c r="N176" i="4"/>
  <c r="U176" i="4" s="1"/>
  <c r="V176" i="4" s="1"/>
  <c r="G216" i="4"/>
  <c r="S215" i="4"/>
  <c r="S214" i="4" s="1"/>
  <c r="P216" i="4"/>
  <c r="T34" i="4"/>
  <c r="U34" i="4" s="1"/>
  <c r="V34" i="4" s="1"/>
  <c r="T38" i="4"/>
  <c r="U38" i="4" s="1"/>
  <c r="V38" i="4" s="1"/>
  <c r="T40" i="4"/>
  <c r="U40" i="4" s="1"/>
  <c r="V40" i="4" s="1"/>
  <c r="T42" i="4"/>
  <c r="U42" i="4" s="1"/>
  <c r="V42" i="4" s="1"/>
  <c r="T44" i="4"/>
  <c r="U44" i="4" s="1"/>
  <c r="V44" i="4" s="1"/>
  <c r="P45" i="4"/>
  <c r="M47" i="4"/>
  <c r="G47" i="4" s="1"/>
  <c r="P47" i="4"/>
  <c r="T47" i="4" s="1"/>
  <c r="M49" i="4"/>
  <c r="G49" i="4" s="1"/>
  <c r="P49" i="4"/>
  <c r="M51" i="4"/>
  <c r="P51" i="4"/>
  <c r="T51" i="4" s="1"/>
  <c r="R73" i="4"/>
  <c r="R14" i="4" s="1"/>
  <c r="R84" i="4"/>
  <c r="R83" i="4" s="1"/>
  <c r="T104" i="4"/>
  <c r="T111" i="4"/>
  <c r="U111" i="4" s="1"/>
  <c r="V111" i="4" s="1"/>
  <c r="T113" i="4"/>
  <c r="U113" i="4" s="1"/>
  <c r="V113" i="4" s="1"/>
  <c r="T115" i="4"/>
  <c r="U115" i="4" s="1"/>
  <c r="V115" i="4" s="1"/>
  <c r="H17" i="4"/>
  <c r="H124" i="4"/>
  <c r="H26" i="4" s="1"/>
  <c r="H25" i="4" s="1"/>
  <c r="T157" i="4"/>
  <c r="U157" i="4" s="1"/>
  <c r="V157" i="4" s="1"/>
  <c r="S189" i="4"/>
  <c r="S185" i="4" s="1"/>
  <c r="P190" i="4"/>
  <c r="O198" i="4"/>
  <c r="P242" i="4"/>
  <c r="T242" i="4" s="1"/>
  <c r="N242" i="4" s="1"/>
  <c r="U242" i="4" s="1"/>
  <c r="V242" i="4" s="1"/>
  <c r="S240" i="4"/>
  <c r="S239" i="4" s="1"/>
  <c r="M118" i="4"/>
  <c r="I117" i="4"/>
  <c r="I116" i="4" s="1"/>
  <c r="P167" i="4"/>
  <c r="Q166" i="4"/>
  <c r="Q145" i="4" s="1"/>
  <c r="Q21" i="4" s="1"/>
  <c r="M172" i="4"/>
  <c r="G172" i="4" s="1"/>
  <c r="I166" i="4"/>
  <c r="N174" i="4"/>
  <c r="O179" i="4"/>
  <c r="O189" i="4"/>
  <c r="T206" i="4"/>
  <c r="Q214" i="4"/>
  <c r="O240" i="4"/>
  <c r="O239" i="4" s="1"/>
  <c r="O340" i="4"/>
  <c r="P53" i="4"/>
  <c r="T53" i="4" s="1"/>
  <c r="U53" i="4" s="1"/>
  <c r="V53" i="4" s="1"/>
  <c r="P54" i="4"/>
  <c r="T54" i="4" s="1"/>
  <c r="U54" i="4" s="1"/>
  <c r="V54" i="4" s="1"/>
  <c r="P55" i="4"/>
  <c r="P56" i="4"/>
  <c r="T56" i="4" s="1"/>
  <c r="U56" i="4" s="1"/>
  <c r="V56" i="4" s="1"/>
  <c r="P57" i="4"/>
  <c r="T57" i="4" s="1"/>
  <c r="U57" i="4" s="1"/>
  <c r="V57" i="4" s="1"/>
  <c r="P58" i="4"/>
  <c r="T58" i="4" s="1"/>
  <c r="U58" i="4" s="1"/>
  <c r="V58" i="4" s="1"/>
  <c r="P59" i="4"/>
  <c r="P60" i="4"/>
  <c r="T60" i="4" s="1"/>
  <c r="U60" i="4" s="1"/>
  <c r="V60" i="4" s="1"/>
  <c r="P61" i="4"/>
  <c r="T61" i="4" s="1"/>
  <c r="U61" i="4" s="1"/>
  <c r="V61" i="4" s="1"/>
  <c r="P62" i="4"/>
  <c r="T62" i="4" s="1"/>
  <c r="U62" i="4" s="1"/>
  <c r="V62" i="4" s="1"/>
  <c r="P63" i="4"/>
  <c r="P64" i="4"/>
  <c r="T64" i="4" s="1"/>
  <c r="U64" i="4" s="1"/>
  <c r="V64" i="4" s="1"/>
  <c r="P65" i="4"/>
  <c r="T65" i="4" s="1"/>
  <c r="P66" i="4"/>
  <c r="T66" i="4" s="1"/>
  <c r="P67" i="4"/>
  <c r="P68" i="4"/>
  <c r="T68" i="4" s="1"/>
  <c r="U68" i="4" s="1"/>
  <c r="V68" i="4" s="1"/>
  <c r="P69" i="4"/>
  <c r="T69" i="4" s="1"/>
  <c r="U69" i="4" s="1"/>
  <c r="V69" i="4" s="1"/>
  <c r="P70" i="4"/>
  <c r="T70" i="4" s="1"/>
  <c r="U70" i="4" s="1"/>
  <c r="V70" i="4" s="1"/>
  <c r="P71" i="4"/>
  <c r="T71" i="4" s="1"/>
  <c r="U71" i="4" s="1"/>
  <c r="V71" i="4" s="1"/>
  <c r="P72" i="4"/>
  <c r="T72" i="4" s="1"/>
  <c r="G85" i="4"/>
  <c r="P95" i="4"/>
  <c r="G107" i="4"/>
  <c r="M127" i="4"/>
  <c r="I126" i="4"/>
  <c r="I125" i="4" s="1"/>
  <c r="P139" i="4"/>
  <c r="T139" i="4" s="1"/>
  <c r="P143" i="4"/>
  <c r="P154" i="4"/>
  <c r="T154" i="4" s="1"/>
  <c r="P158" i="4"/>
  <c r="T158" i="4" s="1"/>
  <c r="P162" i="4"/>
  <c r="T162" i="4" s="1"/>
  <c r="U162" i="4" s="1"/>
  <c r="V162" i="4" s="1"/>
  <c r="R166" i="4"/>
  <c r="N172" i="4"/>
  <c r="T175" i="4"/>
  <c r="N175" i="4" s="1"/>
  <c r="T187" i="4"/>
  <c r="N187" i="4" s="1"/>
  <c r="P196" i="4"/>
  <c r="R195" i="4"/>
  <c r="O202" i="4"/>
  <c r="M209" i="4"/>
  <c r="G209" i="4" s="1"/>
  <c r="T212" i="4"/>
  <c r="N212" i="4" s="1"/>
  <c r="U212" i="4" s="1"/>
  <c r="V212" i="4" s="1"/>
  <c r="T218" i="4"/>
  <c r="U218" i="4" s="1"/>
  <c r="V218" i="4" s="1"/>
  <c r="T234" i="4"/>
  <c r="N234" i="4" s="1"/>
  <c r="U234" i="4" s="1"/>
  <c r="V234" i="4" s="1"/>
  <c r="I240" i="4"/>
  <c r="I239" i="4" s="1"/>
  <c r="T244" i="4"/>
  <c r="N244" i="4" s="1"/>
  <c r="U244" i="4" s="1"/>
  <c r="V244" i="4" s="1"/>
  <c r="M247" i="4"/>
  <c r="G247" i="4" s="1"/>
  <c r="S252" i="4"/>
  <c r="P253" i="4"/>
  <c r="O318" i="4"/>
  <c r="T74" i="4"/>
  <c r="N74" i="4" s="1"/>
  <c r="T75" i="4"/>
  <c r="U75" i="4" s="1"/>
  <c r="V75" i="4" s="1"/>
  <c r="T76" i="4"/>
  <c r="U76" i="4" s="1"/>
  <c r="V76" i="4" s="1"/>
  <c r="T78" i="4"/>
  <c r="U78" i="4" s="1"/>
  <c r="V78" i="4" s="1"/>
  <c r="T79" i="4"/>
  <c r="U79" i="4" s="1"/>
  <c r="V79" i="4" s="1"/>
  <c r="T80" i="4"/>
  <c r="U80" i="4" s="1"/>
  <c r="V80" i="4" s="1"/>
  <c r="P85" i="4"/>
  <c r="T85" i="4" s="1"/>
  <c r="P86" i="4"/>
  <c r="P87" i="4"/>
  <c r="P88" i="4"/>
  <c r="T88" i="4" s="1"/>
  <c r="U88" i="4" s="1"/>
  <c r="V88" i="4" s="1"/>
  <c r="P89" i="4"/>
  <c r="T89" i="4" s="1"/>
  <c r="U89" i="4" s="1"/>
  <c r="V89" i="4" s="1"/>
  <c r="P90" i="4"/>
  <c r="T90" i="4" s="1"/>
  <c r="U90" i="4" s="1"/>
  <c r="V90" i="4" s="1"/>
  <c r="P91" i="4"/>
  <c r="P92" i="4"/>
  <c r="P93" i="4"/>
  <c r="P94" i="4"/>
  <c r="P96" i="4"/>
  <c r="T96" i="4" s="1"/>
  <c r="U96" i="4" s="1"/>
  <c r="V96" i="4" s="1"/>
  <c r="N100" i="4"/>
  <c r="U100" i="4" s="1"/>
  <c r="V100" i="4" s="1"/>
  <c r="M106" i="4"/>
  <c r="M105" i="4" s="1"/>
  <c r="I105" i="4"/>
  <c r="T118" i="4"/>
  <c r="T119" i="4"/>
  <c r="N119" i="4" s="1"/>
  <c r="U119" i="4" s="1"/>
  <c r="V119" i="4" s="1"/>
  <c r="T121" i="4"/>
  <c r="U121" i="4" s="1"/>
  <c r="V121" i="4" s="1"/>
  <c r="T123" i="4"/>
  <c r="U123" i="4" s="1"/>
  <c r="V123" i="4" s="1"/>
  <c r="N127" i="4"/>
  <c r="N128" i="4"/>
  <c r="N129" i="4"/>
  <c r="N130" i="4"/>
  <c r="N131" i="4"/>
  <c r="P136" i="4"/>
  <c r="Q135" i="4"/>
  <c r="Q18" i="4" s="1"/>
  <c r="P140" i="4"/>
  <c r="T141" i="4"/>
  <c r="U141" i="4" s="1"/>
  <c r="V141" i="4" s="1"/>
  <c r="P144" i="4"/>
  <c r="T148" i="4"/>
  <c r="P151" i="4"/>
  <c r="T151" i="4" s="1"/>
  <c r="U151" i="4" s="1"/>
  <c r="V151" i="4" s="1"/>
  <c r="T152" i="4"/>
  <c r="U152" i="4" s="1"/>
  <c r="V152" i="4" s="1"/>
  <c r="P155" i="4"/>
  <c r="T155" i="4" s="1"/>
  <c r="U155" i="4" s="1"/>
  <c r="V155" i="4" s="1"/>
  <c r="T156" i="4"/>
  <c r="P159" i="4"/>
  <c r="T159" i="4" s="1"/>
  <c r="U159" i="4" s="1"/>
  <c r="V159" i="4" s="1"/>
  <c r="T164" i="4"/>
  <c r="N164" i="4" s="1"/>
  <c r="O166" i="4"/>
  <c r="G167" i="4"/>
  <c r="M166" i="4"/>
  <c r="U171" i="4"/>
  <c r="V171" i="4" s="1"/>
  <c r="G171" i="4"/>
  <c r="N186" i="4"/>
  <c r="T192" i="4"/>
  <c r="N192" i="4" s="1"/>
  <c r="U192" i="4" s="1"/>
  <c r="V192" i="4" s="1"/>
  <c r="M196" i="4"/>
  <c r="M195" i="4" s="1"/>
  <c r="I195" i="4"/>
  <c r="T203" i="4"/>
  <c r="T224" i="4"/>
  <c r="N224" i="4" s="1"/>
  <c r="U224" i="4" s="1"/>
  <c r="V224" i="4" s="1"/>
  <c r="O222" i="4"/>
  <c r="M229" i="4"/>
  <c r="T232" i="4"/>
  <c r="M237" i="4"/>
  <c r="U237" i="4" s="1"/>
  <c r="V237" i="4" s="1"/>
  <c r="M241" i="4"/>
  <c r="M248" i="4"/>
  <c r="G248" i="4" s="1"/>
  <c r="O252" i="4"/>
  <c r="T261" i="4"/>
  <c r="U261" i="4" s="1"/>
  <c r="V261" i="4" s="1"/>
  <c r="O263" i="4"/>
  <c r="N276" i="4"/>
  <c r="O274" i="4"/>
  <c r="M279" i="4"/>
  <c r="G279" i="4" s="1"/>
  <c r="N284" i="4"/>
  <c r="T342" i="4"/>
  <c r="T350" i="4"/>
  <c r="U350" i="4" s="1"/>
  <c r="V350" i="4" s="1"/>
  <c r="P168" i="4"/>
  <c r="T168" i="4" s="1"/>
  <c r="U168" i="4" s="1"/>
  <c r="V168" i="4" s="1"/>
  <c r="P170" i="4"/>
  <c r="T170" i="4" s="1"/>
  <c r="U170" i="4" s="1"/>
  <c r="V170" i="4" s="1"/>
  <c r="G173" i="4"/>
  <c r="G175" i="4"/>
  <c r="M180" i="4"/>
  <c r="I179" i="4"/>
  <c r="P180" i="4"/>
  <c r="P179" i="4" s="1"/>
  <c r="M182" i="4"/>
  <c r="G182" i="4" s="1"/>
  <c r="P182" i="4"/>
  <c r="T182" i="4" s="1"/>
  <c r="U182" i="4" s="1"/>
  <c r="V182" i="4" s="1"/>
  <c r="M184" i="4"/>
  <c r="G184" i="4" s="1"/>
  <c r="P184" i="4"/>
  <c r="T184" i="4" s="1"/>
  <c r="O185" i="4"/>
  <c r="T186" i="4"/>
  <c r="G187" i="4"/>
  <c r="T188" i="4"/>
  <c r="N188" i="4" s="1"/>
  <c r="U188" i="4" s="1"/>
  <c r="V188" i="4" s="1"/>
  <c r="M193" i="4"/>
  <c r="P197" i="4"/>
  <c r="T197" i="4" s="1"/>
  <c r="E178" i="4"/>
  <c r="E177" i="4" s="1"/>
  <c r="E23" i="4" s="1"/>
  <c r="I202" i="4"/>
  <c r="G203" i="4"/>
  <c r="G202" i="4" s="1"/>
  <c r="G211" i="4"/>
  <c r="O215" i="4"/>
  <c r="O214" i="4" s="1"/>
  <c r="I222" i="4"/>
  <c r="G223" i="4"/>
  <c r="Q222" i="4"/>
  <c r="N230" i="4"/>
  <c r="T230" i="4"/>
  <c r="U230" i="4" s="1"/>
  <c r="V230" i="4" s="1"/>
  <c r="G231" i="4"/>
  <c r="T238" i="4"/>
  <c r="U238" i="4" s="1"/>
  <c r="V238" i="4" s="1"/>
  <c r="G245" i="4"/>
  <c r="N255" i="4"/>
  <c r="M258" i="4"/>
  <c r="G258" i="4" s="1"/>
  <c r="K251" i="4"/>
  <c r="M286" i="4"/>
  <c r="G286" i="4" s="1"/>
  <c r="I285" i="4"/>
  <c r="M288" i="4"/>
  <c r="G288" i="4" s="1"/>
  <c r="M290" i="4"/>
  <c r="G290" i="4" s="1"/>
  <c r="M292" i="4"/>
  <c r="G292" i="4" s="1"/>
  <c r="M294" i="4"/>
  <c r="G294" i="4" s="1"/>
  <c r="M298" i="4"/>
  <c r="G298" i="4" s="1"/>
  <c r="P298" i="4"/>
  <c r="R296" i="4"/>
  <c r="T299" i="4"/>
  <c r="U299" i="4" s="1"/>
  <c r="V299" i="4" s="1"/>
  <c r="M306" i="4"/>
  <c r="G306" i="4" s="1"/>
  <c r="S307" i="4"/>
  <c r="P308" i="4"/>
  <c r="I73" i="4"/>
  <c r="I27" i="4" s="1"/>
  <c r="I84" i="4"/>
  <c r="I83" i="4" s="1"/>
  <c r="T167" i="4"/>
  <c r="N181" i="4"/>
  <c r="N183" i="4"/>
  <c r="U183" i="4" s="1"/>
  <c r="V183" i="4" s="1"/>
  <c r="M191" i="4"/>
  <c r="G191" i="4"/>
  <c r="T208" i="4"/>
  <c r="N208" i="4" s="1"/>
  <c r="U208" i="4" s="1"/>
  <c r="V208" i="4" s="1"/>
  <c r="M217" i="4"/>
  <c r="G217" i="4" s="1"/>
  <c r="I215" i="4"/>
  <c r="I214" i="4" s="1"/>
  <c r="T228" i="4"/>
  <c r="N228" i="4" s="1"/>
  <c r="U228" i="4" s="1"/>
  <c r="V228" i="4" s="1"/>
  <c r="T236" i="4"/>
  <c r="U236" i="4" s="1"/>
  <c r="V236" i="4" s="1"/>
  <c r="P241" i="4"/>
  <c r="Q240" i="4"/>
  <c r="Q239" i="4" s="1"/>
  <c r="G243" i="4"/>
  <c r="N246" i="4"/>
  <c r="M250" i="4"/>
  <c r="G250" i="4"/>
  <c r="P250" i="4"/>
  <c r="T250" i="4" s="1"/>
  <c r="R239" i="4"/>
  <c r="F251" i="4"/>
  <c r="T265" i="4"/>
  <c r="U265" i="4" s="1"/>
  <c r="V265" i="4" s="1"/>
  <c r="T269" i="4"/>
  <c r="U269" i="4" s="1"/>
  <c r="V269" i="4" s="1"/>
  <c r="T271" i="4"/>
  <c r="U271" i="4" s="1"/>
  <c r="V271" i="4" s="1"/>
  <c r="T273" i="4"/>
  <c r="U273" i="4" s="1"/>
  <c r="V273" i="4" s="1"/>
  <c r="M281" i="4"/>
  <c r="G281" i="4" s="1"/>
  <c r="N301" i="4"/>
  <c r="M304" i="4"/>
  <c r="G304" i="4" s="1"/>
  <c r="O307" i="4"/>
  <c r="T308" i="4"/>
  <c r="M190" i="4"/>
  <c r="I189" i="4"/>
  <c r="M256" i="4"/>
  <c r="G256" i="4" s="1"/>
  <c r="M277" i="4"/>
  <c r="T281" i="4"/>
  <c r="T286" i="4"/>
  <c r="N286" i="4" s="1"/>
  <c r="T288" i="4"/>
  <c r="N288" i="4" s="1"/>
  <c r="T292" i="4"/>
  <c r="N292" i="4" s="1"/>
  <c r="T294" i="4"/>
  <c r="N294" i="4" s="1"/>
  <c r="O296" i="4"/>
  <c r="S296" i="4"/>
  <c r="M302" i="4"/>
  <c r="G302" i="4" s="1"/>
  <c r="S318" i="4"/>
  <c r="T330" i="4"/>
  <c r="N330" i="4" s="1"/>
  <c r="O329" i="4"/>
  <c r="T334" i="4"/>
  <c r="U334" i="4" s="1"/>
  <c r="V334" i="4" s="1"/>
  <c r="T338" i="4"/>
  <c r="U338" i="4" s="1"/>
  <c r="V338" i="4" s="1"/>
  <c r="I185" i="4"/>
  <c r="N201" i="4"/>
  <c r="N205" i="4"/>
  <c r="N211" i="4"/>
  <c r="N217" i="4"/>
  <c r="N219" i="4"/>
  <c r="U219" i="4" s="1"/>
  <c r="V219" i="4" s="1"/>
  <c r="N225" i="4"/>
  <c r="N231" i="4"/>
  <c r="U231" i="4" s="1"/>
  <c r="V231" i="4" s="1"/>
  <c r="N237" i="4"/>
  <c r="T241" i="4"/>
  <c r="T245" i="4"/>
  <c r="N245" i="4" s="1"/>
  <c r="U245" i="4" s="1"/>
  <c r="V245" i="4" s="1"/>
  <c r="T248" i="4"/>
  <c r="N248" i="4" s="1"/>
  <c r="T249" i="4"/>
  <c r="N249" i="4" s="1"/>
  <c r="U249" i="4" s="1"/>
  <c r="V249" i="4" s="1"/>
  <c r="D251" i="4"/>
  <c r="M254" i="4"/>
  <c r="N257" i="4"/>
  <c r="T259" i="4"/>
  <c r="U259" i="4" s="1"/>
  <c r="V259" i="4" s="1"/>
  <c r="M262" i="4"/>
  <c r="P264" i="4"/>
  <c r="T264" i="4" s="1"/>
  <c r="R263" i="4"/>
  <c r="P266" i="4"/>
  <c r="P268" i="4"/>
  <c r="P270" i="4"/>
  <c r="P272" i="4"/>
  <c r="M275" i="4"/>
  <c r="G275" i="4" s="1"/>
  <c r="I274" i="4"/>
  <c r="P275" i="4"/>
  <c r="T275" i="4" s="1"/>
  <c r="R274" i="4"/>
  <c r="N278" i="4"/>
  <c r="T279" i="4"/>
  <c r="M283" i="4"/>
  <c r="T287" i="4"/>
  <c r="U287" i="4" s="1"/>
  <c r="V287" i="4" s="1"/>
  <c r="T295" i="4"/>
  <c r="U295" i="4" s="1"/>
  <c r="V295" i="4" s="1"/>
  <c r="P297" i="4"/>
  <c r="T297" i="4" s="1"/>
  <c r="M300" i="4"/>
  <c r="G300" i="4" s="1"/>
  <c r="N303" i="4"/>
  <c r="M253" i="4"/>
  <c r="I252" i="4"/>
  <c r="M297" i="4"/>
  <c r="I296" i="4"/>
  <c r="M308" i="4"/>
  <c r="I307" i="4"/>
  <c r="G318" i="4"/>
  <c r="P341" i="4"/>
  <c r="P345" i="4"/>
  <c r="T345" i="4" s="1"/>
  <c r="P349" i="4"/>
  <c r="M264" i="4"/>
  <c r="I263" i="4"/>
  <c r="M318" i="4"/>
  <c r="P333" i="4"/>
  <c r="P337" i="4"/>
  <c r="T337" i="4" s="1"/>
  <c r="U337" i="4" s="1"/>
  <c r="V337" i="4" s="1"/>
  <c r="P311" i="4"/>
  <c r="T311" i="4" s="1"/>
  <c r="U311" i="4" s="1"/>
  <c r="V311" i="4" s="1"/>
  <c r="P312" i="4"/>
  <c r="P313" i="4"/>
  <c r="P314" i="4"/>
  <c r="T314" i="4" s="1"/>
  <c r="U314" i="4" s="1"/>
  <c r="V314" i="4" s="1"/>
  <c r="P315" i="4"/>
  <c r="P316" i="4"/>
  <c r="P317" i="4"/>
  <c r="T317" i="4" s="1"/>
  <c r="P319" i="4"/>
  <c r="P320" i="4"/>
  <c r="T320" i="4" s="1"/>
  <c r="P321" i="4"/>
  <c r="T321" i="4" s="1"/>
  <c r="U321" i="4" s="1"/>
  <c r="V321" i="4" s="1"/>
  <c r="P322" i="4"/>
  <c r="T322" i="4" s="1"/>
  <c r="P323" i="4"/>
  <c r="T323" i="4" s="1"/>
  <c r="U323" i="4" s="1"/>
  <c r="V323" i="4" s="1"/>
  <c r="P324" i="4"/>
  <c r="T324" i="4" s="1"/>
  <c r="P325" i="4"/>
  <c r="P326" i="4"/>
  <c r="P327" i="4"/>
  <c r="T327" i="4" s="1"/>
  <c r="P328" i="4"/>
  <c r="T328" i="4" s="1"/>
  <c r="T331" i="4"/>
  <c r="N331" i="4" s="1"/>
  <c r="P332" i="4"/>
  <c r="T332" i="4" s="1"/>
  <c r="T335" i="4"/>
  <c r="U335" i="4" s="1"/>
  <c r="V335" i="4" s="1"/>
  <c r="P336" i="4"/>
  <c r="T336" i="4" s="1"/>
  <c r="U336" i="4" s="1"/>
  <c r="V336" i="4" s="1"/>
  <c r="T343" i="4"/>
  <c r="U343" i="4" s="1"/>
  <c r="V343" i="4" s="1"/>
  <c r="P344" i="4"/>
  <c r="P348" i="4"/>
  <c r="T348" i="4" s="1"/>
  <c r="U104" i="4" l="1"/>
  <c r="V104" i="4" s="1"/>
  <c r="F26" i="4"/>
  <c r="I23" i="4"/>
  <c r="M23" i="4" s="1"/>
  <c r="G23" i="4" s="1"/>
  <c r="U345" i="4"/>
  <c r="V345" i="4" s="1"/>
  <c r="N229" i="4"/>
  <c r="N197" i="4"/>
  <c r="U156" i="4"/>
  <c r="V156" i="4" s="1"/>
  <c r="T204" i="4"/>
  <c r="U204" i="4" s="1"/>
  <c r="V204" i="4" s="1"/>
  <c r="S178" i="4"/>
  <c r="P215" i="4"/>
  <c r="P214" i="4" s="1"/>
  <c r="M102" i="4"/>
  <c r="M101" i="4" s="1"/>
  <c r="M98" i="4" s="1"/>
  <c r="M82" i="4" s="1"/>
  <c r="G16" i="4"/>
  <c r="Q251" i="4"/>
  <c r="N207" i="4"/>
  <c r="U207" i="4" s="1"/>
  <c r="V207" i="4" s="1"/>
  <c r="E11" i="4"/>
  <c r="N165" i="4"/>
  <c r="N163" i="4" s="1"/>
  <c r="N142" i="4"/>
  <c r="M222" i="4"/>
  <c r="U175" i="4"/>
  <c r="V175" i="4" s="1"/>
  <c r="I101" i="4"/>
  <c r="I98" i="4" s="1"/>
  <c r="U304" i="4"/>
  <c r="V304" i="4" s="1"/>
  <c r="U260" i="4"/>
  <c r="V260" i="4" s="1"/>
  <c r="N232" i="4"/>
  <c r="U232" i="4" s="1"/>
  <c r="V232" i="4" s="1"/>
  <c r="U247" i="4"/>
  <c r="V247" i="4" s="1"/>
  <c r="G165" i="4"/>
  <c r="G163" i="4" s="1"/>
  <c r="M163" i="4"/>
  <c r="P163" i="4"/>
  <c r="P73" i="4"/>
  <c r="P202" i="4"/>
  <c r="F11" i="4"/>
  <c r="S177" i="4"/>
  <c r="S23" i="4" s="1"/>
  <c r="S11" i="4" s="1"/>
  <c r="T226" i="4"/>
  <c r="U226" i="4" s="1"/>
  <c r="V226" i="4" s="1"/>
  <c r="P222" i="4"/>
  <c r="Q178" i="4"/>
  <c r="N194" i="4"/>
  <c r="U194" i="4" s="1"/>
  <c r="V194" i="4" s="1"/>
  <c r="T191" i="4"/>
  <c r="U191" i="4" s="1"/>
  <c r="V191" i="4" s="1"/>
  <c r="P189" i="4"/>
  <c r="P185" i="4" s="1"/>
  <c r="R145" i="4"/>
  <c r="R21" i="4" s="1"/>
  <c r="P21" i="4" s="1"/>
  <c r="T153" i="4"/>
  <c r="T147" i="4" s="1"/>
  <c r="T146" i="4" s="1"/>
  <c r="P18" i="4"/>
  <c r="T18" i="4" s="1"/>
  <c r="P19" i="4"/>
  <c r="P124" i="4"/>
  <c r="P105" i="4"/>
  <c r="P101" i="4" s="1"/>
  <c r="P98" i="4" s="1"/>
  <c r="P102" i="4"/>
  <c r="T103" i="4"/>
  <c r="N103" i="4" s="1"/>
  <c r="U50" i="4"/>
  <c r="V50" i="4" s="1"/>
  <c r="N50" i="4"/>
  <c r="N52" i="4"/>
  <c r="R27" i="4"/>
  <c r="R12" i="4"/>
  <c r="N235" i="4"/>
  <c r="N206" i="4"/>
  <c r="U206" i="4" s="1"/>
  <c r="V206" i="4" s="1"/>
  <c r="N121" i="4"/>
  <c r="N110" i="4"/>
  <c r="N33" i="4"/>
  <c r="G340" i="4"/>
  <c r="G147" i="4"/>
  <c r="G146" i="4" s="1"/>
  <c r="U248" i="4"/>
  <c r="V248" i="4" s="1"/>
  <c r="U205" i="4"/>
  <c r="V205" i="4" s="1"/>
  <c r="N305" i="4"/>
  <c r="R82" i="4"/>
  <c r="R15" i="4" s="1"/>
  <c r="I15" i="4"/>
  <c r="M15" i="4" s="1"/>
  <c r="N309" i="4"/>
  <c r="N221" i="4"/>
  <c r="U221" i="4" s="1"/>
  <c r="V221" i="4" s="1"/>
  <c r="U201" i="4"/>
  <c r="V201" i="4" s="1"/>
  <c r="P240" i="4"/>
  <c r="P239" i="4" s="1"/>
  <c r="N308" i="4"/>
  <c r="N299" i="4"/>
  <c r="N238" i="4"/>
  <c r="N184" i="4"/>
  <c r="U184" i="4" s="1"/>
  <c r="V184" i="4" s="1"/>
  <c r="M240" i="4"/>
  <c r="M239" i="4" s="1"/>
  <c r="T97" i="4"/>
  <c r="U97" i="4" s="1"/>
  <c r="V97" i="4" s="1"/>
  <c r="T200" i="4"/>
  <c r="N200" i="4" s="1"/>
  <c r="N198" i="4" s="1"/>
  <c r="P14" i="4"/>
  <c r="T14" i="4" s="1"/>
  <c r="U14" i="4" s="1"/>
  <c r="V14" i="4" s="1"/>
  <c r="U174" i="4"/>
  <c r="V174" i="4" s="1"/>
  <c r="N108" i="4"/>
  <c r="T93" i="4"/>
  <c r="U93" i="4" s="1"/>
  <c r="V93" i="4" s="1"/>
  <c r="L26" i="4"/>
  <c r="L25" i="4" s="1"/>
  <c r="N39" i="4"/>
  <c r="P17" i="4"/>
  <c r="T17" i="4" s="1"/>
  <c r="N17" i="4" s="1"/>
  <c r="M147" i="4"/>
  <c r="M146" i="4" s="1"/>
  <c r="T240" i="4"/>
  <c r="T239" i="4" s="1"/>
  <c r="U262" i="4"/>
  <c r="V262" i="4" s="1"/>
  <c r="N227" i="4"/>
  <c r="N209" i="4"/>
  <c r="U277" i="4"/>
  <c r="V277" i="4" s="1"/>
  <c r="R178" i="4"/>
  <c r="N123" i="4"/>
  <c r="T190" i="4"/>
  <c r="T189" i="4" s="1"/>
  <c r="I145" i="4"/>
  <c r="P117" i="4"/>
  <c r="P116" i="4" s="1"/>
  <c r="T223" i="4"/>
  <c r="N223" i="4" s="1"/>
  <c r="N149" i="4"/>
  <c r="N77" i="4"/>
  <c r="U172" i="4"/>
  <c r="V172" i="4" s="1"/>
  <c r="J26" i="4"/>
  <c r="J25" i="4" s="1"/>
  <c r="O101" i="4"/>
  <c r="O98" i="4" s="1"/>
  <c r="O82" i="4" s="1"/>
  <c r="O15" i="4" s="1"/>
  <c r="S27" i="4"/>
  <c r="S26" i="4" s="1"/>
  <c r="S25" i="4" s="1"/>
  <c r="G139" i="4"/>
  <c r="G138" i="4" s="1"/>
  <c r="G137" i="4" s="1"/>
  <c r="N89" i="4"/>
  <c r="N233" i="4"/>
  <c r="U233" i="4" s="1"/>
  <c r="V233" i="4" s="1"/>
  <c r="U342" i="4"/>
  <c r="V342" i="4" s="1"/>
  <c r="M145" i="4"/>
  <c r="T134" i="4"/>
  <c r="N134" i="4" s="1"/>
  <c r="N133" i="4" s="1"/>
  <c r="N132" i="4" s="1"/>
  <c r="G84" i="4"/>
  <c r="G83" i="4" s="1"/>
  <c r="M29" i="4"/>
  <c r="M28" i="4" s="1"/>
  <c r="M27" i="4" s="1"/>
  <c r="U47" i="4"/>
  <c r="V47" i="4" s="1"/>
  <c r="N161" i="4"/>
  <c r="K26" i="4"/>
  <c r="K25" i="4" s="1"/>
  <c r="T193" i="4"/>
  <c r="U193" i="4" s="1"/>
  <c r="V193" i="4" s="1"/>
  <c r="N150" i="4"/>
  <c r="J11" i="4"/>
  <c r="G200" i="4"/>
  <c r="G198" i="4" s="1"/>
  <c r="M198" i="4"/>
  <c r="N300" i="4"/>
  <c r="U300" i="4"/>
  <c r="V300" i="4" s="1"/>
  <c r="G329" i="4"/>
  <c r="U254" i="4"/>
  <c r="V254" i="4" s="1"/>
  <c r="U258" i="4"/>
  <c r="V258" i="4" s="1"/>
  <c r="N343" i="4"/>
  <c r="N311" i="4"/>
  <c r="N345" i="4"/>
  <c r="U18" i="4"/>
  <c r="V18" i="4" s="1"/>
  <c r="P340" i="4"/>
  <c r="G13" i="4"/>
  <c r="I12" i="4"/>
  <c r="T283" i="4"/>
  <c r="U283" i="4" s="1"/>
  <c r="V283" i="4" s="1"/>
  <c r="M329" i="4"/>
  <c r="T333" i="4"/>
  <c r="U333" i="4" s="1"/>
  <c r="V333" i="4" s="1"/>
  <c r="P285" i="4"/>
  <c r="N289" i="4"/>
  <c r="M12" i="4"/>
  <c r="T302" i="4"/>
  <c r="N302" i="4" s="1"/>
  <c r="T339" i="4"/>
  <c r="U339" i="4" s="1"/>
  <c r="V339" i="4" s="1"/>
  <c r="T272" i="4"/>
  <c r="U272" i="4" s="1"/>
  <c r="V272" i="4" s="1"/>
  <c r="P252" i="4"/>
  <c r="K11" i="4"/>
  <c r="U331" i="4"/>
  <c r="V331" i="4" s="1"/>
  <c r="N337" i="4"/>
  <c r="T315" i="4"/>
  <c r="U315" i="4" s="1"/>
  <c r="V315" i="4" s="1"/>
  <c r="G254" i="4"/>
  <c r="G277" i="4"/>
  <c r="U256" i="4"/>
  <c r="V256" i="4" s="1"/>
  <c r="T326" i="4"/>
  <c r="C25" i="4"/>
  <c r="M340" i="4"/>
  <c r="U332" i="4"/>
  <c r="V332" i="4" s="1"/>
  <c r="N332" i="4"/>
  <c r="U327" i="4"/>
  <c r="V327" i="4" s="1"/>
  <c r="N327" i="4"/>
  <c r="T19" i="4"/>
  <c r="U19" i="4" s="1"/>
  <c r="V19" i="4" s="1"/>
  <c r="U30" i="4"/>
  <c r="T20" i="4"/>
  <c r="U20" i="4" s="1"/>
  <c r="V20" i="4" s="1"/>
  <c r="U322" i="4"/>
  <c r="V322" i="4" s="1"/>
  <c r="N322" i="4"/>
  <c r="U317" i="4"/>
  <c r="V317" i="4" s="1"/>
  <c r="N317" i="4"/>
  <c r="U275" i="4"/>
  <c r="U139" i="4"/>
  <c r="U72" i="4"/>
  <c r="V72" i="4" s="1"/>
  <c r="N72" i="4"/>
  <c r="P15" i="4"/>
  <c r="U348" i="4"/>
  <c r="V348" i="4" s="1"/>
  <c r="N348" i="4"/>
  <c r="U328" i="4"/>
  <c r="V328" i="4" s="1"/>
  <c r="N328" i="4"/>
  <c r="U324" i="4"/>
  <c r="V324" i="4" s="1"/>
  <c r="N324" i="4"/>
  <c r="U320" i="4"/>
  <c r="V320" i="4" s="1"/>
  <c r="N320" i="4"/>
  <c r="T316" i="4"/>
  <c r="U316" i="4" s="1"/>
  <c r="V316" i="4" s="1"/>
  <c r="P318" i="4"/>
  <c r="N323" i="4"/>
  <c r="T344" i="4"/>
  <c r="U344" i="4" s="1"/>
  <c r="V344" i="4" s="1"/>
  <c r="U279" i="4"/>
  <c r="V279" i="4" s="1"/>
  <c r="P263" i="4"/>
  <c r="U209" i="4"/>
  <c r="V209" i="4" s="1"/>
  <c r="N241" i="4"/>
  <c r="N314" i="4"/>
  <c r="N279" i="4"/>
  <c r="Q177" i="4"/>
  <c r="Q23" i="4" s="1"/>
  <c r="T166" i="4"/>
  <c r="U167" i="4"/>
  <c r="U197" i="4"/>
  <c r="V197" i="4" s="1"/>
  <c r="T195" i="4"/>
  <c r="T313" i="4"/>
  <c r="U313" i="4" s="1"/>
  <c r="V313" i="4" s="1"/>
  <c r="N293" i="4"/>
  <c r="T268" i="4"/>
  <c r="U268" i="4" s="1"/>
  <c r="V268" i="4" s="1"/>
  <c r="O251" i="4"/>
  <c r="G196" i="4"/>
  <c r="G195" i="4" s="1"/>
  <c r="N126" i="4"/>
  <c r="N125" i="4" s="1"/>
  <c r="N90" i="4"/>
  <c r="T325" i="4"/>
  <c r="U325" i="4" s="1"/>
  <c r="V325" i="4" s="1"/>
  <c r="G241" i="4"/>
  <c r="G240" i="4" s="1"/>
  <c r="G239" i="4" s="1"/>
  <c r="P195" i="4"/>
  <c r="P178" i="4" s="1"/>
  <c r="N196" i="4"/>
  <c r="U187" i="4"/>
  <c r="V187" i="4" s="1"/>
  <c r="I124" i="4"/>
  <c r="N68" i="4"/>
  <c r="N64" i="4"/>
  <c r="N60" i="4"/>
  <c r="N56" i="4"/>
  <c r="T349" i="4"/>
  <c r="U349" i="4" s="1"/>
  <c r="V349" i="4" s="1"/>
  <c r="T270" i="4"/>
  <c r="U270" i="4" s="1"/>
  <c r="V270" i="4" s="1"/>
  <c r="U229" i="4"/>
  <c r="V229" i="4" s="1"/>
  <c r="T180" i="4"/>
  <c r="T179" i="4" s="1"/>
  <c r="N182" i="4"/>
  <c r="N160" i="4"/>
  <c r="N51" i="4"/>
  <c r="U223" i="4"/>
  <c r="M215" i="4"/>
  <c r="M214" i="4" s="1"/>
  <c r="N167" i="4"/>
  <c r="H11" i="4"/>
  <c r="N81" i="4"/>
  <c r="N141" i="4"/>
  <c r="U106" i="4"/>
  <c r="T105" i="4"/>
  <c r="N169" i="4"/>
  <c r="T95" i="4"/>
  <c r="U95" i="4" s="1"/>
  <c r="V95" i="4" s="1"/>
  <c r="T91" i="4"/>
  <c r="U91" i="4" s="1"/>
  <c r="V91" i="4" s="1"/>
  <c r="T87" i="4"/>
  <c r="U87" i="4" s="1"/>
  <c r="V87" i="4" s="1"/>
  <c r="N71" i="4"/>
  <c r="N38" i="4"/>
  <c r="F25" i="4"/>
  <c r="N35" i="4"/>
  <c r="E26" i="4"/>
  <c r="E25" i="4" s="1"/>
  <c r="N40" i="4"/>
  <c r="N34" i="4"/>
  <c r="T16" i="4"/>
  <c r="U16" i="4" s="1"/>
  <c r="V16" i="4" s="1"/>
  <c r="P13" i="4"/>
  <c r="Q12" i="4"/>
  <c r="N31" i="4"/>
  <c r="N321" i="4"/>
  <c r="U281" i="4"/>
  <c r="V281" i="4" s="1"/>
  <c r="N281" i="4"/>
  <c r="M189" i="4"/>
  <c r="M186" i="4" s="1"/>
  <c r="G190" i="4"/>
  <c r="G189" i="4" s="1"/>
  <c r="I178" i="4"/>
  <c r="I177" i="4" s="1"/>
  <c r="U264" i="4"/>
  <c r="N260" i="4"/>
  <c r="T202" i="4"/>
  <c r="U203" i="4"/>
  <c r="U148" i="4"/>
  <c r="T117" i="4"/>
  <c r="T116" i="4" s="1"/>
  <c r="N70" i="4"/>
  <c r="N62" i="4"/>
  <c r="T266" i="4"/>
  <c r="U266" i="4" s="1"/>
  <c r="V266" i="4" s="1"/>
  <c r="P329" i="4"/>
  <c r="T312" i="4"/>
  <c r="U312" i="4" s="1"/>
  <c r="V312" i="4" s="1"/>
  <c r="T319" i="4"/>
  <c r="N310" i="4"/>
  <c r="M296" i="4"/>
  <c r="G297" i="4"/>
  <c r="G296" i="4" s="1"/>
  <c r="G283" i="4"/>
  <c r="G262" i="4"/>
  <c r="U199" i="4"/>
  <c r="N338" i="4"/>
  <c r="U330" i="4"/>
  <c r="U292" i="4"/>
  <c r="V292" i="4" s="1"/>
  <c r="U288" i="4"/>
  <c r="V288" i="4" s="1"/>
  <c r="U308" i="4"/>
  <c r="N282" i="4"/>
  <c r="N271" i="4"/>
  <c r="N267" i="4"/>
  <c r="N250" i="4"/>
  <c r="U250" i="4" s="1"/>
  <c r="V250" i="4" s="1"/>
  <c r="N236" i="4"/>
  <c r="I82" i="4"/>
  <c r="M285" i="4"/>
  <c r="G193" i="4"/>
  <c r="U186" i="4"/>
  <c r="T185" i="4"/>
  <c r="N350" i="4"/>
  <c r="N342" i="4"/>
  <c r="N291" i="4"/>
  <c r="N264" i="4"/>
  <c r="N261" i="4"/>
  <c r="G237" i="4"/>
  <c r="G229" i="4"/>
  <c r="G166" i="4"/>
  <c r="G145" i="4" s="1"/>
  <c r="N159" i="4"/>
  <c r="N151" i="4"/>
  <c r="P84" i="4"/>
  <c r="P83" i="4" s="1"/>
  <c r="N162" i="4"/>
  <c r="P153" i="4"/>
  <c r="P147" i="4" s="1"/>
  <c r="P146" i="4" s="1"/>
  <c r="N154" i="4"/>
  <c r="T140" i="4"/>
  <c r="U140" i="4" s="1"/>
  <c r="V140" i="4" s="1"/>
  <c r="M126" i="4"/>
  <c r="M125" i="4" s="1"/>
  <c r="M124" i="4" s="1"/>
  <c r="G127" i="4"/>
  <c r="G126" i="4" s="1"/>
  <c r="G125" i="4" s="1"/>
  <c r="N120" i="4"/>
  <c r="T341" i="4"/>
  <c r="N190" i="4"/>
  <c r="N157" i="4"/>
  <c r="N115" i="4"/>
  <c r="N111" i="4"/>
  <c r="N80" i="4"/>
  <c r="G51" i="4"/>
  <c r="G29" i="4" s="1"/>
  <c r="G28" i="4" s="1"/>
  <c r="G27" i="4" s="1"/>
  <c r="G215" i="4"/>
  <c r="G214" i="4" s="1"/>
  <c r="U217" i="4"/>
  <c r="V217" i="4" s="1"/>
  <c r="N112" i="4"/>
  <c r="G103" i="4"/>
  <c r="G102" i="4" s="1"/>
  <c r="T94" i="4"/>
  <c r="U94" i="4" s="1"/>
  <c r="V94" i="4" s="1"/>
  <c r="N79" i="4"/>
  <c r="T45" i="4"/>
  <c r="U45" i="4" s="1"/>
  <c r="V45" i="4" s="1"/>
  <c r="U22" i="4"/>
  <c r="V22" i="4" s="1"/>
  <c r="N173" i="4"/>
  <c r="G134" i="4"/>
  <c r="G133" i="4" s="1"/>
  <c r="G132" i="4" s="1"/>
  <c r="N106" i="4"/>
  <c r="N46" i="4"/>
  <c r="R251" i="4"/>
  <c r="N85" i="4"/>
  <c r="N37" i="4"/>
  <c r="N18" i="4"/>
  <c r="U127" i="4"/>
  <c r="T126" i="4"/>
  <c r="T125" i="4" s="1"/>
  <c r="N44" i="4"/>
  <c r="N48" i="4"/>
  <c r="N32" i="4"/>
  <c r="G14" i="4"/>
  <c r="G12" i="4" s="1"/>
  <c r="N41" i="4"/>
  <c r="N22" i="4"/>
  <c r="I251" i="4"/>
  <c r="U297" i="4"/>
  <c r="N297" i="4"/>
  <c r="N170" i="4"/>
  <c r="U74" i="4"/>
  <c r="T73" i="4"/>
  <c r="M274" i="4"/>
  <c r="N88" i="4"/>
  <c r="P138" i="4"/>
  <c r="P137" i="4" s="1"/>
  <c r="N139" i="4"/>
  <c r="N66" i="4"/>
  <c r="U66" i="4" s="1"/>
  <c r="V66" i="4" s="1"/>
  <c r="N58" i="4"/>
  <c r="N54" i="4"/>
  <c r="O178" i="4"/>
  <c r="O177" i="4" s="1"/>
  <c r="O23" i="4" s="1"/>
  <c r="M17" i="4"/>
  <c r="N78" i="4"/>
  <c r="N47" i="4"/>
  <c r="N156" i="4"/>
  <c r="D26" i="4"/>
  <c r="D25" i="4" s="1"/>
  <c r="D15" i="4"/>
  <c r="D11" i="4" s="1"/>
  <c r="U51" i="4"/>
  <c r="V51" i="4" s="1"/>
  <c r="N258" i="4"/>
  <c r="P29" i="4"/>
  <c r="P28" i="4" s="1"/>
  <c r="P27" i="4" s="1"/>
  <c r="N30" i="4"/>
  <c r="N43" i="4"/>
  <c r="N347" i="4"/>
  <c r="N335" i="4"/>
  <c r="N336" i="4"/>
  <c r="M263" i="4"/>
  <c r="G264" i="4"/>
  <c r="G263" i="4" s="1"/>
  <c r="M307" i="4"/>
  <c r="G308" i="4"/>
  <c r="G307" i="4" s="1"/>
  <c r="M252" i="4"/>
  <c r="G253" i="4"/>
  <c r="G252" i="4" s="1"/>
  <c r="P296" i="4"/>
  <c r="P274" i="4"/>
  <c r="N275" i="4"/>
  <c r="U211" i="4"/>
  <c r="V211" i="4" s="1"/>
  <c r="N203" i="4"/>
  <c r="N202" i="4" s="1"/>
  <c r="N334" i="4"/>
  <c r="U306" i="4"/>
  <c r="V306" i="4" s="1"/>
  <c r="N306" i="4"/>
  <c r="T298" i="4"/>
  <c r="U298" i="4" s="1"/>
  <c r="V298" i="4" s="1"/>
  <c r="U294" i="4"/>
  <c r="V294" i="4" s="1"/>
  <c r="U290" i="4"/>
  <c r="V290" i="4" s="1"/>
  <c r="U286" i="4"/>
  <c r="T285" i="4"/>
  <c r="N280" i="4"/>
  <c r="N259" i="4"/>
  <c r="N273" i="4"/>
  <c r="N269" i="4"/>
  <c r="N265" i="4"/>
  <c r="P307" i="4"/>
  <c r="N304" i="4"/>
  <c r="G285" i="4"/>
  <c r="T216" i="4"/>
  <c r="M179" i="4"/>
  <c r="G180" i="4"/>
  <c r="G179" i="4" s="1"/>
  <c r="N168" i="4"/>
  <c r="N346" i="4"/>
  <c r="N295" i="4"/>
  <c r="N287" i="4"/>
  <c r="N285" i="4" s="1"/>
  <c r="T253" i="4"/>
  <c r="N253" i="4" s="1"/>
  <c r="U164" i="4"/>
  <c r="T163" i="4"/>
  <c r="N155" i="4"/>
  <c r="N136" i="4"/>
  <c r="P135" i="4"/>
  <c r="N96" i="4"/>
  <c r="S251" i="4"/>
  <c r="N218" i="4"/>
  <c r="R177" i="4"/>
  <c r="R23" i="4" s="1"/>
  <c r="R11" i="4" s="1"/>
  <c r="N158" i="4"/>
  <c r="U158" i="4" s="1"/>
  <c r="V158" i="4" s="1"/>
  <c r="T144" i="4"/>
  <c r="U144" i="4" s="1"/>
  <c r="V144" i="4" s="1"/>
  <c r="U134" i="4"/>
  <c r="N122" i="4"/>
  <c r="N118" i="4"/>
  <c r="N69" i="4"/>
  <c r="N65" i="4"/>
  <c r="U65" i="4" s="1"/>
  <c r="V65" i="4" s="1"/>
  <c r="N61" i="4"/>
  <c r="N57" i="4"/>
  <c r="N53" i="4"/>
  <c r="N180" i="4"/>
  <c r="P166" i="4"/>
  <c r="T143" i="4"/>
  <c r="U143" i="4" s="1"/>
  <c r="V143" i="4" s="1"/>
  <c r="M117" i="4"/>
  <c r="M116" i="4" s="1"/>
  <c r="G118" i="4"/>
  <c r="G117" i="4" s="1"/>
  <c r="G116" i="4" s="1"/>
  <c r="N148" i="4"/>
  <c r="N113" i="4"/>
  <c r="N104" i="4"/>
  <c r="T92" i="4"/>
  <c r="U92" i="4" s="1"/>
  <c r="V92" i="4" s="1"/>
  <c r="N76" i="4"/>
  <c r="O145" i="4"/>
  <c r="O21" i="4" s="1"/>
  <c r="N114" i="4"/>
  <c r="G106" i="4"/>
  <c r="G105" i="4" s="1"/>
  <c r="T86" i="4"/>
  <c r="U86" i="4" s="1"/>
  <c r="V86" i="4" s="1"/>
  <c r="N75" i="4"/>
  <c r="N73" i="4" s="1"/>
  <c r="T67" i="4"/>
  <c r="N67" i="4" s="1"/>
  <c r="U67" i="4" s="1"/>
  <c r="V67" i="4" s="1"/>
  <c r="T63" i="4"/>
  <c r="N63" i="4" s="1"/>
  <c r="U63" i="4" s="1"/>
  <c r="V63" i="4" s="1"/>
  <c r="T59" i="4"/>
  <c r="U59" i="4" s="1"/>
  <c r="V59" i="4" s="1"/>
  <c r="T55" i="4"/>
  <c r="U55" i="4" s="1"/>
  <c r="V55" i="4" s="1"/>
  <c r="T49" i="4"/>
  <c r="U49" i="4" s="1"/>
  <c r="V49" i="4" s="1"/>
  <c r="N152" i="4"/>
  <c r="O27" i="4"/>
  <c r="O13" i="4"/>
  <c r="N109" i="4"/>
  <c r="U103" i="4"/>
  <c r="N36" i="4"/>
  <c r="U99" i="4"/>
  <c r="N42" i="4"/>
  <c r="Q26" i="4"/>
  <c r="Q25" i="4" s="1"/>
  <c r="P177" i="4" l="1"/>
  <c r="U302" i="4"/>
  <c r="V302" i="4" s="1"/>
  <c r="I26" i="4"/>
  <c r="T307" i="4"/>
  <c r="T329" i="4"/>
  <c r="N252" i="4"/>
  <c r="I11" i="4"/>
  <c r="U326" i="4"/>
  <c r="V326" i="4" s="1"/>
  <c r="N326" i="4"/>
  <c r="Q11" i="4"/>
  <c r="N124" i="4"/>
  <c r="T133" i="4"/>
  <c r="T132" i="4" s="1"/>
  <c r="N102" i="4"/>
  <c r="T102" i="4"/>
  <c r="T101" i="4" s="1"/>
  <c r="T98" i="4" s="1"/>
  <c r="P82" i="4"/>
  <c r="P12" i="4"/>
  <c r="T222" i="4"/>
  <c r="N222" i="4"/>
  <c r="T198" i="4"/>
  <c r="O26" i="4"/>
  <c r="O25" i="4" s="1"/>
  <c r="U17" i="4"/>
  <c r="V17" i="4" s="1"/>
  <c r="T15" i="4"/>
  <c r="U15" i="4" s="1"/>
  <c r="V15" i="4" s="1"/>
  <c r="N97" i="4"/>
  <c r="N140" i="4"/>
  <c r="G124" i="4"/>
  <c r="P145" i="4"/>
  <c r="P26" i="4" s="1"/>
  <c r="G222" i="4"/>
  <c r="N268" i="4"/>
  <c r="U200" i="4"/>
  <c r="V200" i="4" s="1"/>
  <c r="N93" i="4"/>
  <c r="G274" i="4"/>
  <c r="P251" i="4"/>
  <c r="T274" i="4"/>
  <c r="N272" i="4"/>
  <c r="N333" i="4"/>
  <c r="M251" i="4"/>
  <c r="T296" i="4"/>
  <c r="I25" i="4"/>
  <c r="N316" i="4"/>
  <c r="N315" i="4"/>
  <c r="N283" i="4"/>
  <c r="N274" i="4" s="1"/>
  <c r="G251" i="4"/>
  <c r="G17" i="4"/>
  <c r="N325" i="4"/>
  <c r="N339" i="4"/>
  <c r="M11" i="4"/>
  <c r="N16" i="4"/>
  <c r="T21" i="4"/>
  <c r="U21" i="4" s="1"/>
  <c r="V21" i="4" s="1"/>
  <c r="U285" i="4"/>
  <c r="V286" i="4"/>
  <c r="V285" i="4" s="1"/>
  <c r="R26" i="4"/>
  <c r="R25" i="4" s="1"/>
  <c r="T124" i="4"/>
  <c r="U85" i="4"/>
  <c r="N105" i="4"/>
  <c r="N101" i="4" s="1"/>
  <c r="N98" i="4" s="1"/>
  <c r="N59" i="4"/>
  <c r="T145" i="4"/>
  <c r="V106" i="4"/>
  <c r="V105" i="4" s="1"/>
  <c r="U105" i="4"/>
  <c r="V223" i="4"/>
  <c r="V222" i="4" s="1"/>
  <c r="U222" i="4"/>
  <c r="U196" i="4"/>
  <c r="N195" i="4"/>
  <c r="N86" i="4"/>
  <c r="N266" i="4"/>
  <c r="U274" i="4"/>
  <c r="V275" i="4"/>
  <c r="V274" i="4" s="1"/>
  <c r="V103" i="4"/>
  <c r="V102" i="4" s="1"/>
  <c r="V101" i="4" s="1"/>
  <c r="U102" i="4"/>
  <c r="N49" i="4"/>
  <c r="V134" i="4"/>
  <c r="V133" i="4" s="1"/>
  <c r="V132" i="4" s="1"/>
  <c r="U133" i="4"/>
  <c r="U132" i="4" s="1"/>
  <c r="U136" i="4"/>
  <c r="N135" i="4"/>
  <c r="U163" i="4"/>
  <c r="V164" i="4"/>
  <c r="V163" i="4" s="1"/>
  <c r="U216" i="4"/>
  <c r="T215" i="4"/>
  <c r="T214" i="4" s="1"/>
  <c r="V127" i="4"/>
  <c r="V126" i="4" s="1"/>
  <c r="V125" i="4" s="1"/>
  <c r="V124" i="4" s="1"/>
  <c r="U126" i="4"/>
  <c r="U125" i="4" s="1"/>
  <c r="U190" i="4"/>
  <c r="N189" i="4"/>
  <c r="N185" i="4" s="1"/>
  <c r="V186" i="4"/>
  <c r="V308" i="4"/>
  <c r="V307" i="4" s="1"/>
  <c r="U307" i="4"/>
  <c r="V330" i="4"/>
  <c r="V329" i="4" s="1"/>
  <c r="U329" i="4"/>
  <c r="V148" i="4"/>
  <c r="T178" i="4"/>
  <c r="U166" i="4"/>
  <c r="V167" i="4"/>
  <c r="V166" i="4" s="1"/>
  <c r="T138" i="4"/>
  <c r="T137" i="4" s="1"/>
  <c r="N313" i="4"/>
  <c r="N20" i="4"/>
  <c r="N19" i="4"/>
  <c r="T84" i="4"/>
  <c r="T83" i="4" s="1"/>
  <c r="U73" i="4"/>
  <c r="V74" i="4"/>
  <c r="V73" i="4" s="1"/>
  <c r="U296" i="4"/>
  <c r="V297" i="4"/>
  <c r="V296" i="4" s="1"/>
  <c r="U341" i="4"/>
  <c r="T340" i="4"/>
  <c r="T318" i="4"/>
  <c r="U319" i="4"/>
  <c r="N319" i="4"/>
  <c r="N341" i="4"/>
  <c r="N92" i="4"/>
  <c r="T263" i="4"/>
  <c r="M185" i="4"/>
  <c r="M178" i="4" s="1"/>
  <c r="M177" i="4" s="1"/>
  <c r="M26" i="4" s="1"/>
  <c r="M25" i="4" s="1"/>
  <c r="G186" i="4"/>
  <c r="G185" i="4" s="1"/>
  <c r="N166" i="4"/>
  <c r="N143" i="4"/>
  <c r="N94" i="4"/>
  <c r="N240" i="4"/>
  <c r="N239" i="4" s="1"/>
  <c r="U241" i="4"/>
  <c r="N349" i="4"/>
  <c r="U138" i="4"/>
  <c r="U137" i="4" s="1"/>
  <c r="V139" i="4"/>
  <c r="V138" i="4" s="1"/>
  <c r="V137" i="4" s="1"/>
  <c r="N270" i="4"/>
  <c r="N344" i="4"/>
  <c r="U29" i="4"/>
  <c r="U28" i="4" s="1"/>
  <c r="U27" i="4" s="1"/>
  <c r="V30" i="4"/>
  <c r="V29" i="4" s="1"/>
  <c r="V28" i="4" s="1"/>
  <c r="N95" i="4"/>
  <c r="V99" i="4"/>
  <c r="N117" i="4"/>
  <c r="N116" i="4" s="1"/>
  <c r="U118" i="4"/>
  <c r="N144" i="4"/>
  <c r="U253" i="4"/>
  <c r="T252" i="4"/>
  <c r="T13" i="4"/>
  <c r="N13" i="4" s="1"/>
  <c r="O12" i="4"/>
  <c r="O11" i="4" s="1"/>
  <c r="U180" i="4"/>
  <c r="N179" i="4"/>
  <c r="G178" i="4"/>
  <c r="G177" i="4" s="1"/>
  <c r="G101" i="4"/>
  <c r="G98" i="4" s="1"/>
  <c r="G82" i="4" s="1"/>
  <c r="N45" i="4"/>
  <c r="N55" i="4"/>
  <c r="U154" i="4"/>
  <c r="N153" i="4"/>
  <c r="N147" i="4" s="1"/>
  <c r="N146" i="4" s="1"/>
  <c r="N145" i="4" s="1"/>
  <c r="N216" i="4"/>
  <c r="N215" i="4" s="1"/>
  <c r="N214" i="4" s="1"/>
  <c r="V199" i="4"/>
  <c r="V198" i="4" s="1"/>
  <c r="U198" i="4"/>
  <c r="V203" i="4"/>
  <c r="V202" i="4" s="1"/>
  <c r="U202" i="4"/>
  <c r="U263" i="4"/>
  <c r="V264" i="4"/>
  <c r="V263" i="4" s="1"/>
  <c r="G15" i="4"/>
  <c r="G11" i="4" s="1"/>
  <c r="N298" i="4"/>
  <c r="N296" i="4" s="1"/>
  <c r="P23" i="4"/>
  <c r="P11" i="4" s="1"/>
  <c r="N14" i="4"/>
  <c r="N312" i="4"/>
  <c r="N307" i="4" s="1"/>
  <c r="N91" i="4"/>
  <c r="T29" i="4"/>
  <c r="T28" i="4" s="1"/>
  <c r="T27" i="4" s="1"/>
  <c r="N87" i="4"/>
  <c r="G26" i="4" l="1"/>
  <c r="G25" i="4" s="1"/>
  <c r="N329" i="4"/>
  <c r="P25" i="4"/>
  <c r="N178" i="4"/>
  <c r="N177" i="4" s="1"/>
  <c r="T82" i="4"/>
  <c r="N15" i="4"/>
  <c r="T177" i="4"/>
  <c r="T26" i="4" s="1"/>
  <c r="U101" i="4"/>
  <c r="U98" i="4" s="1"/>
  <c r="V98" i="4"/>
  <c r="N29" i="4"/>
  <c r="N28" i="4" s="1"/>
  <c r="N27" i="4" s="1"/>
  <c r="N340" i="4"/>
  <c r="N138" i="4"/>
  <c r="N137" i="4" s="1"/>
  <c r="U124" i="4"/>
  <c r="N84" i="4"/>
  <c r="N83" i="4" s="1"/>
  <c r="N82" i="4" s="1"/>
  <c r="N318" i="4"/>
  <c r="N263" i="4"/>
  <c r="N21" i="4"/>
  <c r="U84" i="4"/>
  <c r="U83" i="4" s="1"/>
  <c r="V85" i="4"/>
  <c r="V84" i="4" s="1"/>
  <c r="V83" i="4" s="1"/>
  <c r="T12" i="4"/>
  <c r="U13" i="4"/>
  <c r="V118" i="4"/>
  <c r="V117" i="4" s="1"/>
  <c r="V116" i="4" s="1"/>
  <c r="U117" i="4"/>
  <c r="U116" i="4" s="1"/>
  <c r="V341" i="4"/>
  <c r="V340" i="4" s="1"/>
  <c r="U340" i="4"/>
  <c r="T23" i="4"/>
  <c r="U23" i="4" s="1"/>
  <c r="V23" i="4" s="1"/>
  <c r="U153" i="4"/>
  <c r="U147" i="4" s="1"/>
  <c r="U146" i="4" s="1"/>
  <c r="U145" i="4" s="1"/>
  <c r="V154" i="4"/>
  <c r="V153" i="4" s="1"/>
  <c r="V147" i="4" s="1"/>
  <c r="V146" i="4" s="1"/>
  <c r="V145" i="4" s="1"/>
  <c r="N12" i="4"/>
  <c r="V216" i="4"/>
  <c r="V215" i="4" s="1"/>
  <c r="V214" i="4" s="1"/>
  <c r="U215" i="4"/>
  <c r="U214" i="4" s="1"/>
  <c r="U135" i="4"/>
  <c r="V136" i="4"/>
  <c r="V135" i="4" s="1"/>
  <c r="U179" i="4"/>
  <c r="V180" i="4"/>
  <c r="V179" i="4" s="1"/>
  <c r="T251" i="4"/>
  <c r="V241" i="4"/>
  <c r="V240" i="4" s="1"/>
  <c r="V239" i="4" s="1"/>
  <c r="U240" i="4"/>
  <c r="U239" i="4" s="1"/>
  <c r="V319" i="4"/>
  <c r="V318" i="4" s="1"/>
  <c r="U318" i="4"/>
  <c r="U252" i="4"/>
  <c r="V253" i="4"/>
  <c r="V252" i="4" s="1"/>
  <c r="V27" i="4"/>
  <c r="U189" i="4"/>
  <c r="U185" i="4" s="1"/>
  <c r="V190" i="4"/>
  <c r="V189" i="4" s="1"/>
  <c r="V185" i="4" s="1"/>
  <c r="V196" i="4"/>
  <c r="V195" i="4" s="1"/>
  <c r="U195" i="4"/>
  <c r="N251" i="4" l="1"/>
  <c r="V82" i="4"/>
  <c r="N26" i="4"/>
  <c r="N25" i="4" s="1"/>
  <c r="U82" i="4"/>
  <c r="T25" i="4"/>
  <c r="U178" i="4"/>
  <c r="U177" i="4" s="1"/>
  <c r="T11" i="4"/>
  <c r="U251" i="4"/>
  <c r="N23" i="4"/>
  <c r="N11" i="4" s="1"/>
  <c r="V251" i="4"/>
  <c r="V178" i="4"/>
  <c r="V177" i="4" s="1"/>
  <c r="V26" i="4" s="1"/>
  <c r="V25" i="4" s="1"/>
  <c r="V13" i="4"/>
  <c r="V12" i="4" s="1"/>
  <c r="V11" i="4" s="1"/>
  <c r="U12" i="4"/>
  <c r="U11" i="4" s="1"/>
  <c r="U26" i="4" l="1"/>
  <c r="U2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trangminhtruc</author>
  </authors>
  <commentList>
    <comment ref="D9" authorId="0" shapeId="0" xr:uid="{00000000-0006-0000-0100-000001000000}">
      <text>
        <r>
          <rPr>
            <b/>
            <sz val="9"/>
            <color indexed="81"/>
            <rFont val="Tahoma"/>
            <family val="2"/>
          </rPr>
          <t>trangminhtruc:</t>
        </r>
        <r>
          <rPr>
            <sz val="9"/>
            <color indexed="81"/>
            <rFont val="Tahoma"/>
            <family val="2"/>
          </rPr>
          <t xml:space="preserve">
+50ty bo sung chi trong nam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Q38" authorId="0" shapeId="0" xr:uid="{00000000-0006-0000-0400-000001000000}">
      <text>
        <r>
          <rPr>
            <b/>
            <sz val="10"/>
            <color rgb="FF000000"/>
            <rFont val="Tahoma"/>
            <family val="2"/>
            <charset val="163"/>
          </rPr>
          <t>Microsoft Office User:</t>
        </r>
        <r>
          <rPr>
            <sz val="10"/>
            <color rgb="FF000000"/>
            <rFont val="Tahoma"/>
            <family val="2"/>
            <charset val="163"/>
          </rPr>
          <t xml:space="preserve">
</t>
        </r>
        <r>
          <rPr>
            <sz val="10"/>
            <color rgb="FF000000"/>
            <rFont val="Tahoma"/>
            <family val="2"/>
            <charset val="163"/>
          </rPr>
          <t xml:space="preserve">hoan trong nam 2020
</t>
        </r>
      </text>
    </comment>
    <comment ref="Q44" authorId="0" shapeId="0" xr:uid="{00000000-0006-0000-0400-000002000000}">
      <text>
        <r>
          <rPr>
            <b/>
            <sz val="10"/>
            <color rgb="FF000000"/>
            <rFont val="Tahoma"/>
            <family val="2"/>
            <charset val="163"/>
          </rPr>
          <t>Microsoft Office User:</t>
        </r>
        <r>
          <rPr>
            <sz val="10"/>
            <color rgb="FF000000"/>
            <rFont val="Tahoma"/>
            <family val="2"/>
            <charset val="163"/>
          </rPr>
          <t xml:space="preserve">
</t>
        </r>
        <r>
          <rPr>
            <sz val="10"/>
            <color rgb="FF000000"/>
            <rFont val="Tahoma"/>
            <family val="2"/>
            <charset val="163"/>
          </rPr>
          <t xml:space="preserve">hoan trong nam 2020
</t>
        </r>
      </text>
    </comment>
    <comment ref="Q61" authorId="0" shapeId="0" xr:uid="{00000000-0006-0000-0400-000003000000}">
      <text>
        <r>
          <rPr>
            <b/>
            <sz val="10"/>
            <color rgb="FF000000"/>
            <rFont val="Tahoma"/>
            <family val="2"/>
            <charset val="163"/>
          </rPr>
          <t>Microsoft Office User:</t>
        </r>
        <r>
          <rPr>
            <sz val="10"/>
            <color rgb="FF000000"/>
            <rFont val="Tahoma"/>
            <family val="2"/>
            <charset val="163"/>
          </rPr>
          <t xml:space="preserve">
</t>
        </r>
        <r>
          <rPr>
            <sz val="10"/>
            <color rgb="FF000000"/>
            <rFont val="Tahoma"/>
            <family val="2"/>
            <charset val="163"/>
          </rPr>
          <t xml:space="preserve">hoan trong nam 2020
</t>
        </r>
      </text>
    </comment>
    <comment ref="Q66" authorId="0" shapeId="0" xr:uid="{00000000-0006-0000-0400-000004000000}">
      <text>
        <r>
          <rPr>
            <b/>
            <sz val="10"/>
            <color rgb="FF000000"/>
            <rFont val="Tahoma"/>
            <family val="2"/>
            <charset val="163"/>
          </rPr>
          <t>Microsoft Office User:</t>
        </r>
        <r>
          <rPr>
            <sz val="10"/>
            <color rgb="FF000000"/>
            <rFont val="Tahoma"/>
            <family val="2"/>
            <charset val="163"/>
          </rPr>
          <t xml:space="preserve">
</t>
        </r>
        <r>
          <rPr>
            <sz val="10"/>
            <color rgb="FF000000"/>
            <rFont val="Tahoma"/>
            <family val="2"/>
            <charset val="163"/>
          </rPr>
          <t xml:space="preserve">hoan trong nam 2020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S545" authorId="0" shapeId="0" xr:uid="{0F0642D1-D6F9-4D60-A0A5-BA1336A211B1}">
      <text>
        <r>
          <rPr>
            <b/>
            <sz val="9"/>
            <color indexed="81"/>
            <rFont val="Tahoma"/>
            <family val="2"/>
          </rPr>
          <t>User:</t>
        </r>
        <r>
          <rPr>
            <sz val="9"/>
            <color indexed="81"/>
            <rFont val="Tahoma"/>
            <family val="2"/>
          </rPr>
          <t xml:space="preserve">
Phụ cấp lái xe Thường trực</t>
        </r>
      </text>
    </comment>
    <comment ref="AG545" authorId="0" shapeId="0" xr:uid="{6EAB5E03-76E7-4B22-9F40-3EACEFDA9C2C}">
      <text>
        <r>
          <rPr>
            <b/>
            <sz val="9"/>
            <color indexed="81"/>
            <rFont val="Tahoma"/>
            <family val="2"/>
          </rPr>
          <t>User:</t>
        </r>
        <r>
          <rPr>
            <sz val="9"/>
            <color indexed="81"/>
            <rFont val="Tahoma"/>
            <family val="2"/>
          </rPr>
          <t xml:space="preserve">
Phụ cấp lái xe Thường trực</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nguyenthanhngoan</author>
  </authors>
  <commentList>
    <comment ref="C32" authorId="0" shapeId="0" xr:uid="{00000000-0006-0000-1700-000001000000}">
      <text>
        <r>
          <rPr>
            <b/>
            <sz val="9"/>
            <color indexed="81"/>
            <rFont val="Tahoma"/>
            <family val="2"/>
          </rPr>
          <t>nguyenthanhngoan:</t>
        </r>
        <r>
          <rPr>
            <sz val="9"/>
            <color indexed="81"/>
            <rFont val="Tahoma"/>
            <family val="2"/>
          </rPr>
          <t xml:space="preserve">
QĐ 2123 ngày 7/11/2017 (trước đây loại 2)
</t>
        </r>
      </text>
    </comment>
    <comment ref="C35" authorId="0" shapeId="0" xr:uid="{00000000-0006-0000-1700-000002000000}">
      <text>
        <r>
          <rPr>
            <b/>
            <sz val="9"/>
            <color indexed="81"/>
            <rFont val="Tahoma"/>
            <family val="2"/>
          </rPr>
          <t>nguyenthanhngoan:</t>
        </r>
        <r>
          <rPr>
            <sz val="9"/>
            <color indexed="81"/>
            <rFont val="Tahoma"/>
            <family val="2"/>
          </rPr>
          <t xml:space="preserve">
QĐ 2123 ngày 7/11/2017 (trước đây loại 2)
</t>
        </r>
      </text>
    </comment>
    <comment ref="C42" authorId="0" shapeId="0" xr:uid="{00000000-0006-0000-1700-000003000000}">
      <text>
        <r>
          <rPr>
            <b/>
            <sz val="9"/>
            <color indexed="81"/>
            <rFont val="Tahoma"/>
            <family val="2"/>
          </rPr>
          <t>nguyenthanhngoan:</t>
        </r>
        <r>
          <rPr>
            <sz val="9"/>
            <color indexed="81"/>
            <rFont val="Tahoma"/>
            <family val="2"/>
          </rPr>
          <t xml:space="preserve">
QĐ 2123 ngày 7/11/2017 (trước đây loại 2)
</t>
        </r>
      </text>
    </comment>
    <comment ref="C46" authorId="0" shapeId="0" xr:uid="{00000000-0006-0000-1700-000004000000}">
      <text>
        <r>
          <rPr>
            <b/>
            <sz val="9"/>
            <color indexed="81"/>
            <rFont val="Tahoma"/>
            <family val="2"/>
          </rPr>
          <t>nguyenthanhngoan:</t>
        </r>
        <r>
          <rPr>
            <sz val="9"/>
            <color indexed="81"/>
            <rFont val="Tahoma"/>
            <family val="2"/>
          </rPr>
          <t xml:space="preserve">
QĐ 2123 ngày 7/11/2017 (trước đây loại 2)
</t>
        </r>
      </text>
    </comment>
    <comment ref="C50" authorId="0" shapeId="0" xr:uid="{00000000-0006-0000-1700-000005000000}">
      <text>
        <r>
          <rPr>
            <b/>
            <sz val="9"/>
            <color indexed="81"/>
            <rFont val="Tahoma"/>
            <family val="2"/>
          </rPr>
          <t>nguyenthanhngoan:</t>
        </r>
        <r>
          <rPr>
            <sz val="9"/>
            <color indexed="81"/>
            <rFont val="Tahoma"/>
            <family val="2"/>
          </rPr>
          <t xml:space="preserve">
QĐ 2123 ngày 7/11/2017 (trước đây loại 2)
</t>
        </r>
      </text>
    </comment>
    <comment ref="C72" authorId="0" shapeId="0" xr:uid="{00000000-0006-0000-1700-000006000000}">
      <text>
        <r>
          <rPr>
            <b/>
            <sz val="9"/>
            <color indexed="81"/>
            <rFont val="Tahoma"/>
            <family val="2"/>
          </rPr>
          <t>nguyenthanhngoan:</t>
        </r>
        <r>
          <rPr>
            <sz val="9"/>
            <color indexed="81"/>
            <rFont val="Tahoma"/>
            <family val="2"/>
          </rPr>
          <t xml:space="preserve">
Theo QĐ mới (trước đây loại 2)</t>
        </r>
      </text>
    </comment>
    <comment ref="C73" authorId="0" shapeId="0" xr:uid="{00000000-0006-0000-1700-000007000000}">
      <text>
        <r>
          <rPr>
            <b/>
            <sz val="9"/>
            <color indexed="81"/>
            <rFont val="Tahoma"/>
            <family val="2"/>
          </rPr>
          <t>nguyenthanhngoan:</t>
        </r>
        <r>
          <rPr>
            <sz val="9"/>
            <color indexed="81"/>
            <rFont val="Tahoma"/>
            <family val="2"/>
          </rPr>
          <t xml:space="preserve">
Theo QĐ mới (trước đây loại 2)</t>
        </r>
      </text>
    </comment>
    <comment ref="C74" authorId="0" shapeId="0" xr:uid="{00000000-0006-0000-1700-000008000000}">
      <text>
        <r>
          <rPr>
            <b/>
            <sz val="9"/>
            <color indexed="81"/>
            <rFont val="Tahoma"/>
            <family val="2"/>
          </rPr>
          <t>nguyenthanhngoan:</t>
        </r>
        <r>
          <rPr>
            <sz val="9"/>
            <color indexed="81"/>
            <rFont val="Tahoma"/>
            <family val="2"/>
          </rPr>
          <t xml:space="preserve">
Theo QĐ mới (trước đây loại 2)</t>
        </r>
      </text>
    </comment>
    <comment ref="D97" authorId="0" shapeId="0" xr:uid="{00000000-0006-0000-1700-000009000000}">
      <text>
        <r>
          <rPr>
            <b/>
            <sz val="9"/>
            <color indexed="81"/>
            <rFont val="Tahoma"/>
            <family val="2"/>
          </rPr>
          <t>nguyenthanhngoan:</t>
        </r>
        <r>
          <rPr>
            <sz val="9"/>
            <color indexed="81"/>
            <rFont val="Tahoma"/>
            <family val="2"/>
          </rPr>
          <t xml:space="preserve">
Theo QĐ 2123/QĐ-UBND ngày 7/11/2017 (trước đây loại 3)</t>
        </r>
      </text>
    </comment>
    <comment ref="C105" authorId="0" shapeId="0" xr:uid="{00000000-0006-0000-1700-00000A000000}">
      <text>
        <r>
          <rPr>
            <b/>
            <sz val="9"/>
            <color indexed="81"/>
            <rFont val="Tahoma"/>
            <family val="2"/>
          </rPr>
          <t>nguyenthanhngoan:</t>
        </r>
        <r>
          <rPr>
            <sz val="9"/>
            <color indexed="81"/>
            <rFont val="Tahoma"/>
            <family val="2"/>
          </rPr>
          <t xml:space="preserve">
Theo QĐ 2123/QĐ-UBND ngày 7/77/2017 (trước đây loại 2)
</t>
        </r>
      </text>
    </comment>
    <comment ref="C108" authorId="0" shapeId="0" xr:uid="{00000000-0006-0000-1700-00000B000000}">
      <text>
        <r>
          <rPr>
            <b/>
            <sz val="9"/>
            <color indexed="81"/>
            <rFont val="Tahoma"/>
            <family val="2"/>
          </rPr>
          <t>nguyenthanhngoan:</t>
        </r>
        <r>
          <rPr>
            <sz val="9"/>
            <color indexed="81"/>
            <rFont val="Tahoma"/>
            <family val="2"/>
          </rPr>
          <t xml:space="preserve">
Theo QĐ 2123/QĐ-UBND ngày 7/77/2017 (trước đây loại 2)
</t>
        </r>
      </text>
    </comment>
    <comment ref="C109" authorId="0" shapeId="0" xr:uid="{00000000-0006-0000-1700-00000C000000}">
      <text>
        <r>
          <rPr>
            <b/>
            <sz val="9"/>
            <color indexed="81"/>
            <rFont val="Tahoma"/>
            <family val="2"/>
          </rPr>
          <t>nguyenthanhngoan:</t>
        </r>
        <r>
          <rPr>
            <sz val="9"/>
            <color indexed="81"/>
            <rFont val="Tahoma"/>
            <family val="2"/>
          </rPr>
          <t xml:space="preserve">
Theo QĐ 2123/QĐ-UBND ngày 7/77/2017 (trước đây loại 2)
</t>
        </r>
      </text>
    </comment>
    <comment ref="C118" authorId="0" shapeId="0" xr:uid="{00000000-0006-0000-1700-00000D000000}">
      <text>
        <r>
          <rPr>
            <b/>
            <sz val="9"/>
            <color indexed="81"/>
            <rFont val="Tahoma"/>
            <family val="2"/>
          </rPr>
          <t>nguyenthanhngoan:</t>
        </r>
        <r>
          <rPr>
            <sz val="9"/>
            <color indexed="81"/>
            <rFont val="Tahoma"/>
            <family val="2"/>
          </rPr>
          <t xml:space="preserve">
Theo QĐ 2123/QĐ-UBND ngày 7/77/2017 (trước đây loại 2)
</t>
        </r>
      </text>
    </comment>
    <comment ref="C119" authorId="0" shapeId="0" xr:uid="{00000000-0006-0000-1700-00000E000000}">
      <text>
        <r>
          <rPr>
            <b/>
            <sz val="9"/>
            <color indexed="81"/>
            <rFont val="Tahoma"/>
            <family val="2"/>
          </rPr>
          <t>nguyenthanhngoan:</t>
        </r>
        <r>
          <rPr>
            <sz val="9"/>
            <color indexed="81"/>
            <rFont val="Tahoma"/>
            <family val="2"/>
          </rPr>
          <t xml:space="preserve">
Theo QĐ 2123/QĐ-UBND ngày 7/77/2017 (trước đây loại 2)
</t>
        </r>
      </text>
    </comment>
    <comment ref="C120" authorId="0" shapeId="0" xr:uid="{00000000-0006-0000-1700-00000F000000}">
      <text>
        <r>
          <rPr>
            <b/>
            <sz val="9"/>
            <color indexed="81"/>
            <rFont val="Tahoma"/>
            <family val="2"/>
          </rPr>
          <t>nguyenthanhngoan:</t>
        </r>
        <r>
          <rPr>
            <sz val="9"/>
            <color indexed="81"/>
            <rFont val="Tahoma"/>
            <family val="2"/>
          </rPr>
          <t xml:space="preserve">
Theo QĐ 2123/QĐ-UBND ngày 7/77/2017 (trước đây loại 2)
</t>
        </r>
      </text>
    </comment>
    <comment ref="C121" authorId="0" shapeId="0" xr:uid="{00000000-0006-0000-1700-000010000000}">
      <text>
        <r>
          <rPr>
            <b/>
            <sz val="9"/>
            <color indexed="81"/>
            <rFont val="Tahoma"/>
            <family val="2"/>
          </rPr>
          <t>nguyenthanhngoan:</t>
        </r>
        <r>
          <rPr>
            <sz val="9"/>
            <color indexed="81"/>
            <rFont val="Tahoma"/>
            <family val="2"/>
          </rPr>
          <t xml:space="preserve">
Theo QĐ 2123/QĐ-UBND ngày 7/77/2017 (trước đây loại 2)
</t>
        </r>
      </text>
    </comment>
    <comment ref="D123" authorId="0" shapeId="0" xr:uid="{00000000-0006-0000-1700-000011000000}">
      <text>
        <r>
          <rPr>
            <b/>
            <sz val="9"/>
            <color indexed="81"/>
            <rFont val="Tahoma"/>
            <family val="2"/>
          </rPr>
          <t>nguyenthanhngoan:</t>
        </r>
        <r>
          <rPr>
            <sz val="9"/>
            <color indexed="81"/>
            <rFont val="Tahoma"/>
            <family val="2"/>
          </rPr>
          <t xml:space="preserve">
Theo QĐ 2123/QĐ-UBND ngày 7/11/2017 (trước đây loại 3)</t>
        </r>
      </text>
    </comment>
    <comment ref="D124" authorId="0" shapeId="0" xr:uid="{00000000-0006-0000-1700-000012000000}">
      <text>
        <r>
          <rPr>
            <b/>
            <sz val="9"/>
            <color indexed="81"/>
            <rFont val="Tahoma"/>
            <family val="2"/>
          </rPr>
          <t>nguyenthanhngoan:</t>
        </r>
        <r>
          <rPr>
            <sz val="9"/>
            <color indexed="81"/>
            <rFont val="Tahoma"/>
            <family val="2"/>
          </rPr>
          <t xml:space="preserve">
Theo QĐ 2123/QĐ-UBND ngày 7/11/2017 (trước đây loại 3)</t>
        </r>
      </text>
    </comment>
    <comment ref="C125" authorId="0" shapeId="0" xr:uid="{00000000-0006-0000-1700-000013000000}">
      <text>
        <r>
          <rPr>
            <b/>
            <sz val="9"/>
            <color indexed="81"/>
            <rFont val="Tahoma"/>
            <family val="2"/>
          </rPr>
          <t>nguyenthanhngoan:</t>
        </r>
        <r>
          <rPr>
            <sz val="9"/>
            <color indexed="81"/>
            <rFont val="Tahoma"/>
            <family val="2"/>
          </rPr>
          <t xml:space="preserve">
Theo QĐ 2123/QĐ-UBND ngày 7/77/2017 (trước đây loại 2)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Nguyen Anh</author>
  </authors>
  <commentList>
    <comment ref="A30" authorId="0" shapeId="0" xr:uid="{1B724D07-8B42-4380-8849-355772016BFD}">
      <text>
        <r>
          <rPr>
            <b/>
            <sz val="8"/>
            <color indexed="81"/>
            <rFont val="Tahoma"/>
            <family val="2"/>
          </rPr>
          <t>Nguyen Anh:</t>
        </r>
        <r>
          <rPr>
            <sz val="8"/>
            <color indexed="81"/>
            <rFont val="Tahoma"/>
            <family val="2"/>
          </rPr>
          <t xml:space="preserve">
</t>
        </r>
      </text>
    </comment>
    <comment ref="A55" authorId="0" shapeId="0" xr:uid="{00E9150D-6636-44E2-BAC0-4000423D6EDA}">
      <text>
        <r>
          <rPr>
            <b/>
            <sz val="8"/>
            <color indexed="81"/>
            <rFont val="Tahoma"/>
            <family val="2"/>
          </rPr>
          <t>Nguyen Anh:</t>
        </r>
        <r>
          <rPr>
            <sz val="8"/>
            <color indexed="81"/>
            <rFont val="Tahoma"/>
            <family val="2"/>
          </rPr>
          <t xml:space="preserve">
</t>
        </r>
      </text>
    </comment>
    <comment ref="A79" authorId="0" shapeId="0" xr:uid="{3EA74BA1-DF0F-48F3-87BF-CB6627F764F5}">
      <text>
        <r>
          <rPr>
            <b/>
            <sz val="8"/>
            <color indexed="81"/>
            <rFont val="Tahoma"/>
            <family val="2"/>
          </rPr>
          <t>Nguyen Anh:</t>
        </r>
        <r>
          <rPr>
            <sz val="8"/>
            <color indexed="81"/>
            <rFont val="Tahoma"/>
            <family val="2"/>
          </rPr>
          <t xml:space="preserve">
</t>
        </r>
      </text>
    </comment>
    <comment ref="A103" authorId="0" shapeId="0" xr:uid="{928C5DCB-0361-4796-9465-4A92356F5A5D}">
      <text>
        <r>
          <rPr>
            <b/>
            <sz val="8"/>
            <color indexed="81"/>
            <rFont val="Tahoma"/>
            <family val="2"/>
          </rPr>
          <t>Nguyen Anh:</t>
        </r>
        <r>
          <rPr>
            <sz val="8"/>
            <color indexed="81"/>
            <rFont val="Tahoma"/>
            <family val="2"/>
          </rPr>
          <t xml:space="preserve">
</t>
        </r>
      </text>
    </comment>
    <comment ref="A128" authorId="0" shapeId="0" xr:uid="{B69E5358-D30B-4FC6-A67F-E1C08E5A90F0}">
      <text>
        <r>
          <rPr>
            <b/>
            <sz val="8"/>
            <color indexed="81"/>
            <rFont val="Tahoma"/>
            <family val="2"/>
          </rPr>
          <t>Nguyen Anh:</t>
        </r>
        <r>
          <rPr>
            <sz val="8"/>
            <color indexed="81"/>
            <rFont val="Tahoma"/>
            <family val="2"/>
          </rPr>
          <t xml:space="preserve">
</t>
        </r>
      </text>
    </comment>
    <comment ref="A152" authorId="0" shapeId="0" xr:uid="{E93A47AE-235F-4661-9654-11079722D1EE}">
      <text>
        <r>
          <rPr>
            <b/>
            <sz val="8"/>
            <color indexed="81"/>
            <rFont val="Tahoma"/>
            <family val="2"/>
          </rPr>
          <t>Nguyen Anh:</t>
        </r>
        <r>
          <rPr>
            <sz val="8"/>
            <color indexed="81"/>
            <rFont val="Tahoma"/>
            <family val="2"/>
          </rPr>
          <t xml:space="preserve">
</t>
        </r>
      </text>
    </comment>
    <comment ref="A176" authorId="0" shapeId="0" xr:uid="{3506CEF6-9E2B-401A-8735-E2B84CA8FB58}">
      <text>
        <r>
          <rPr>
            <b/>
            <sz val="8"/>
            <color indexed="81"/>
            <rFont val="Tahoma"/>
            <family val="2"/>
          </rPr>
          <t>Nguyen Anh:</t>
        </r>
        <r>
          <rPr>
            <sz val="8"/>
            <color indexed="81"/>
            <rFont val="Tahoma"/>
            <family val="2"/>
          </rPr>
          <t xml:space="preserve">
</t>
        </r>
      </text>
    </comment>
    <comment ref="A200" authorId="0" shapeId="0" xr:uid="{6276D354-8906-4900-BE3F-1BDAF9E21BBE}">
      <text>
        <r>
          <rPr>
            <b/>
            <sz val="8"/>
            <color indexed="81"/>
            <rFont val="Tahoma"/>
            <family val="2"/>
          </rPr>
          <t>Nguyen Anh:</t>
        </r>
        <r>
          <rPr>
            <sz val="8"/>
            <color indexed="81"/>
            <rFont val="Tahoma"/>
            <family val="2"/>
          </rPr>
          <t xml:space="preserve">
</t>
        </r>
      </text>
    </comment>
    <comment ref="A224" authorId="0" shapeId="0" xr:uid="{E55A1BF2-FF36-46AC-B534-742EB845B152}">
      <text>
        <r>
          <rPr>
            <b/>
            <sz val="8"/>
            <color indexed="81"/>
            <rFont val="Tahoma"/>
            <family val="2"/>
          </rPr>
          <t>Nguyen Anh:</t>
        </r>
        <r>
          <rPr>
            <sz val="8"/>
            <color indexed="81"/>
            <rFont val="Tahoma"/>
            <family val="2"/>
          </rPr>
          <t xml:space="preserve">
</t>
        </r>
      </text>
    </comment>
    <comment ref="A249" authorId="0" shapeId="0" xr:uid="{03F565C1-3AD1-4D76-B31A-1514ADFA198B}">
      <text>
        <r>
          <rPr>
            <b/>
            <sz val="8"/>
            <color indexed="81"/>
            <rFont val="Tahoma"/>
            <family val="2"/>
          </rPr>
          <t>Nguyen Anh:</t>
        </r>
        <r>
          <rPr>
            <sz val="8"/>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nguyenthanhngoan</author>
  </authors>
  <commentList>
    <comment ref="I29" authorId="0" shapeId="0" xr:uid="{00000000-0006-0000-1900-000001000000}">
      <text>
        <r>
          <rPr>
            <b/>
            <sz val="9"/>
            <color indexed="81"/>
            <rFont val="Tahoma"/>
            <family val="2"/>
          </rPr>
          <t>nguyenthanhngoan:</t>
        </r>
        <r>
          <rPr>
            <sz val="9"/>
            <color indexed="81"/>
            <rFont val="Tahoma"/>
            <family val="2"/>
          </rPr>
          <t xml:space="preserve">
QĐ 2123 ngày 7/11/2017 (trước đây loại 2)
</t>
        </r>
      </text>
    </comment>
    <comment ref="I32" authorId="0" shapeId="0" xr:uid="{00000000-0006-0000-1900-000002000000}">
      <text>
        <r>
          <rPr>
            <b/>
            <sz val="9"/>
            <color indexed="81"/>
            <rFont val="Tahoma"/>
            <family val="2"/>
          </rPr>
          <t>nguyenthanhngoan:</t>
        </r>
        <r>
          <rPr>
            <sz val="9"/>
            <color indexed="81"/>
            <rFont val="Tahoma"/>
            <family val="2"/>
          </rPr>
          <t xml:space="preserve">
QĐ 2123 ngày 7/11/2017 (trước đây loại 2)
</t>
        </r>
      </text>
    </comment>
    <comment ref="I39" authorId="0" shapeId="0" xr:uid="{00000000-0006-0000-1900-000003000000}">
      <text>
        <r>
          <rPr>
            <b/>
            <sz val="9"/>
            <color indexed="81"/>
            <rFont val="Tahoma"/>
            <family val="2"/>
          </rPr>
          <t>nguyenthanhngoan:</t>
        </r>
        <r>
          <rPr>
            <sz val="9"/>
            <color indexed="81"/>
            <rFont val="Tahoma"/>
            <family val="2"/>
          </rPr>
          <t xml:space="preserve">
QĐ 2123 ngày 7/11/2017 (trước đây loại 2)
</t>
        </r>
      </text>
    </comment>
    <comment ref="I43" authorId="0" shapeId="0" xr:uid="{00000000-0006-0000-1900-000004000000}">
      <text>
        <r>
          <rPr>
            <b/>
            <sz val="9"/>
            <color indexed="81"/>
            <rFont val="Tahoma"/>
            <family val="2"/>
          </rPr>
          <t>nguyenthanhngoan:</t>
        </r>
        <r>
          <rPr>
            <sz val="9"/>
            <color indexed="81"/>
            <rFont val="Tahoma"/>
            <family val="2"/>
          </rPr>
          <t xml:space="preserve">
QĐ 2123 ngày 7/11/2017 (trước đây loại 2)
</t>
        </r>
      </text>
    </comment>
    <comment ref="I47" authorId="0" shapeId="0" xr:uid="{00000000-0006-0000-1900-000005000000}">
      <text>
        <r>
          <rPr>
            <b/>
            <sz val="9"/>
            <color indexed="81"/>
            <rFont val="Tahoma"/>
            <family val="2"/>
          </rPr>
          <t>nguyenthanhngoan:</t>
        </r>
        <r>
          <rPr>
            <sz val="9"/>
            <color indexed="81"/>
            <rFont val="Tahoma"/>
            <family val="2"/>
          </rPr>
          <t xml:space="preserve">
QĐ 2123 ngày 7/11/2017 (trước đây loại 2)
</t>
        </r>
      </text>
    </comment>
    <comment ref="I69" authorId="0" shapeId="0" xr:uid="{00000000-0006-0000-1900-000006000000}">
      <text>
        <r>
          <rPr>
            <b/>
            <sz val="9"/>
            <color indexed="81"/>
            <rFont val="Tahoma"/>
            <family val="2"/>
          </rPr>
          <t>nguyenthanhngoan:</t>
        </r>
        <r>
          <rPr>
            <sz val="9"/>
            <color indexed="81"/>
            <rFont val="Tahoma"/>
            <family val="2"/>
          </rPr>
          <t xml:space="preserve">
Theo QĐ mới (trước đây loại 2)</t>
        </r>
      </text>
    </comment>
    <comment ref="I70" authorId="0" shapeId="0" xr:uid="{00000000-0006-0000-1900-000007000000}">
      <text>
        <r>
          <rPr>
            <b/>
            <sz val="9"/>
            <color indexed="81"/>
            <rFont val="Tahoma"/>
            <family val="2"/>
          </rPr>
          <t>nguyenthanhngoan:</t>
        </r>
        <r>
          <rPr>
            <sz val="9"/>
            <color indexed="81"/>
            <rFont val="Tahoma"/>
            <family val="2"/>
          </rPr>
          <t xml:space="preserve">
Theo QĐ mới (trước đây loại 2)</t>
        </r>
      </text>
    </comment>
    <comment ref="I71" authorId="0" shapeId="0" xr:uid="{00000000-0006-0000-1900-000008000000}">
      <text>
        <r>
          <rPr>
            <b/>
            <sz val="9"/>
            <color indexed="81"/>
            <rFont val="Tahoma"/>
            <family val="2"/>
          </rPr>
          <t>nguyenthanhngoan:</t>
        </r>
        <r>
          <rPr>
            <sz val="9"/>
            <color indexed="81"/>
            <rFont val="Tahoma"/>
            <family val="2"/>
          </rPr>
          <t xml:space="preserve">
Theo QĐ mới (trước đây loại 2)</t>
        </r>
      </text>
    </comment>
    <comment ref="J94" authorId="0" shapeId="0" xr:uid="{00000000-0006-0000-1900-000009000000}">
      <text>
        <r>
          <rPr>
            <b/>
            <sz val="9"/>
            <color indexed="81"/>
            <rFont val="Tahoma"/>
            <family val="2"/>
          </rPr>
          <t>nguyenthanhngoan:</t>
        </r>
        <r>
          <rPr>
            <sz val="9"/>
            <color indexed="81"/>
            <rFont val="Tahoma"/>
            <family val="2"/>
          </rPr>
          <t xml:space="preserve">
Theo QĐ 2123/QĐ-UBND ngày 7/11/2017 (trước đây loại 3)</t>
        </r>
      </text>
    </comment>
    <comment ref="I102" authorId="0" shapeId="0" xr:uid="{00000000-0006-0000-1900-00000A000000}">
      <text>
        <r>
          <rPr>
            <b/>
            <sz val="9"/>
            <color indexed="81"/>
            <rFont val="Tahoma"/>
            <family val="2"/>
          </rPr>
          <t>nguyenthanhngoan:</t>
        </r>
        <r>
          <rPr>
            <sz val="9"/>
            <color indexed="81"/>
            <rFont val="Tahoma"/>
            <family val="2"/>
          </rPr>
          <t xml:space="preserve">
Theo QĐ 2123/QĐ-UBND ngày 7/77/2017 (trước đây loại 2)
</t>
        </r>
      </text>
    </comment>
    <comment ref="I105" authorId="0" shapeId="0" xr:uid="{00000000-0006-0000-1900-00000B000000}">
      <text>
        <r>
          <rPr>
            <b/>
            <sz val="9"/>
            <color indexed="81"/>
            <rFont val="Tahoma"/>
            <family val="2"/>
          </rPr>
          <t>nguyenthanhngoan:</t>
        </r>
        <r>
          <rPr>
            <sz val="9"/>
            <color indexed="81"/>
            <rFont val="Tahoma"/>
            <family val="2"/>
          </rPr>
          <t xml:space="preserve">
Theo QĐ 2123/QĐ-UBND ngày 7/77/2017 (trước đây loại 2)
</t>
        </r>
      </text>
    </comment>
    <comment ref="I106" authorId="0" shapeId="0" xr:uid="{00000000-0006-0000-1900-00000C000000}">
      <text>
        <r>
          <rPr>
            <b/>
            <sz val="9"/>
            <color indexed="81"/>
            <rFont val="Tahoma"/>
            <family val="2"/>
          </rPr>
          <t>nguyenthanhngoan:</t>
        </r>
        <r>
          <rPr>
            <sz val="9"/>
            <color indexed="81"/>
            <rFont val="Tahoma"/>
            <family val="2"/>
          </rPr>
          <t xml:space="preserve">
Theo QĐ 2123/QĐ-UBND ngày 7/77/2017 (trước đây loại 2)
</t>
        </r>
      </text>
    </comment>
    <comment ref="I115" authorId="0" shapeId="0" xr:uid="{00000000-0006-0000-1900-00000D000000}">
      <text>
        <r>
          <rPr>
            <b/>
            <sz val="9"/>
            <color indexed="81"/>
            <rFont val="Tahoma"/>
            <family val="2"/>
          </rPr>
          <t>nguyenthanhngoan:</t>
        </r>
        <r>
          <rPr>
            <sz val="9"/>
            <color indexed="81"/>
            <rFont val="Tahoma"/>
            <family val="2"/>
          </rPr>
          <t xml:space="preserve">
Theo QĐ 2123/QĐ-UBND ngày 7/77/2017 (trước đây loại 2)
</t>
        </r>
      </text>
    </comment>
    <comment ref="I116" authorId="0" shapeId="0" xr:uid="{00000000-0006-0000-1900-00000E000000}">
      <text>
        <r>
          <rPr>
            <b/>
            <sz val="9"/>
            <color indexed="81"/>
            <rFont val="Tahoma"/>
            <family val="2"/>
          </rPr>
          <t>nguyenthanhngoan:</t>
        </r>
        <r>
          <rPr>
            <sz val="9"/>
            <color indexed="81"/>
            <rFont val="Tahoma"/>
            <family val="2"/>
          </rPr>
          <t xml:space="preserve">
Theo QĐ 2123/QĐ-UBND ngày 7/77/2017 (trước đây loại 2)
</t>
        </r>
      </text>
    </comment>
    <comment ref="I117" authorId="0" shapeId="0" xr:uid="{00000000-0006-0000-1900-00000F000000}">
      <text>
        <r>
          <rPr>
            <b/>
            <sz val="9"/>
            <color indexed="81"/>
            <rFont val="Tahoma"/>
            <family val="2"/>
          </rPr>
          <t>nguyenthanhngoan:</t>
        </r>
        <r>
          <rPr>
            <sz val="9"/>
            <color indexed="81"/>
            <rFont val="Tahoma"/>
            <family val="2"/>
          </rPr>
          <t xml:space="preserve">
Theo QĐ 2123/QĐ-UBND ngày 7/77/2017 (trước đây loại 2)
</t>
        </r>
      </text>
    </comment>
    <comment ref="I118" authorId="0" shapeId="0" xr:uid="{00000000-0006-0000-1900-000010000000}">
      <text>
        <r>
          <rPr>
            <b/>
            <sz val="9"/>
            <color indexed="81"/>
            <rFont val="Tahoma"/>
            <family val="2"/>
          </rPr>
          <t>nguyenthanhngoan:</t>
        </r>
        <r>
          <rPr>
            <sz val="9"/>
            <color indexed="81"/>
            <rFont val="Tahoma"/>
            <family val="2"/>
          </rPr>
          <t xml:space="preserve">
Theo QĐ 2123/QĐ-UBND ngày 7/77/2017 (trước đây loại 2)
</t>
        </r>
      </text>
    </comment>
    <comment ref="J120" authorId="0" shapeId="0" xr:uid="{00000000-0006-0000-1900-000011000000}">
      <text>
        <r>
          <rPr>
            <b/>
            <sz val="9"/>
            <color indexed="81"/>
            <rFont val="Tahoma"/>
            <family val="2"/>
          </rPr>
          <t>nguyenthanhngoan:</t>
        </r>
        <r>
          <rPr>
            <sz val="9"/>
            <color indexed="81"/>
            <rFont val="Tahoma"/>
            <family val="2"/>
          </rPr>
          <t xml:space="preserve">
Theo QĐ 2123/QĐ-UBND ngày 7/11/2017 (trước đây loại 3)</t>
        </r>
      </text>
    </comment>
    <comment ref="J121" authorId="0" shapeId="0" xr:uid="{00000000-0006-0000-1900-000012000000}">
      <text>
        <r>
          <rPr>
            <b/>
            <sz val="9"/>
            <color indexed="81"/>
            <rFont val="Tahoma"/>
            <family val="2"/>
          </rPr>
          <t>nguyenthanhngoan:</t>
        </r>
        <r>
          <rPr>
            <sz val="9"/>
            <color indexed="81"/>
            <rFont val="Tahoma"/>
            <family val="2"/>
          </rPr>
          <t xml:space="preserve">
Theo QĐ 2123/QĐ-UBND ngày 7/11/2017 (trước đây loại 3)</t>
        </r>
      </text>
    </comment>
    <comment ref="I122" authorId="0" shapeId="0" xr:uid="{00000000-0006-0000-1900-000013000000}">
      <text>
        <r>
          <rPr>
            <b/>
            <sz val="9"/>
            <color indexed="81"/>
            <rFont val="Tahoma"/>
            <family val="2"/>
          </rPr>
          <t>nguyenthanhngoan:</t>
        </r>
        <r>
          <rPr>
            <sz val="9"/>
            <color indexed="81"/>
            <rFont val="Tahoma"/>
            <family val="2"/>
          </rPr>
          <t xml:space="preserve">
Theo QĐ 2123/QĐ-UBND ngày 7/77/2017 (trước đây loại 2)
</t>
        </r>
      </text>
    </comment>
  </commentList>
</comments>
</file>

<file path=xl/sharedStrings.xml><?xml version="1.0" encoding="utf-8"?>
<sst xmlns="http://schemas.openxmlformats.org/spreadsheetml/2006/main" count="8402" uniqueCount="3506">
  <si>
    <t>ỦY BAN NHÂN DÂN</t>
  </si>
  <si>
    <t>(Ban hành kèm theo Thông tư số 46/2019/TT-BTC ngày 23 tháng 7 năm 2019 cỉa Bộ Tài chính)</t>
  </si>
  <si>
    <t>Đơn vị: triệu đồng</t>
  </si>
  <si>
    <t>STT</t>
  </si>
  <si>
    <t>Nội dung</t>
  </si>
  <si>
    <t>A</t>
  </si>
  <si>
    <t>a</t>
  </si>
  <si>
    <t>b</t>
  </si>
  <si>
    <t>Nguồn huy động từ các đơn vị chưa tự đảm bảo chi thường xuyên:</t>
  </si>
  <si>
    <t>+ Học phí</t>
  </si>
  <si>
    <t>+ Viện phí</t>
  </si>
  <si>
    <t>+ Nguồn thu khác</t>
  </si>
  <si>
    <t>B</t>
  </si>
  <si>
    <t>I</t>
  </si>
  <si>
    <t>III</t>
  </si>
  <si>
    <t>Quỹ tiền lương, phụ cấp tăng thêm đối với cán bộ công chức khu vực hành chính, sự nghiệp</t>
  </si>
  <si>
    <t>Trong đó: nhu cầu tăng thêm đối với các đơn vị sự nghiệp tự đảm bảo (5)</t>
  </si>
  <si>
    <t>Hoạt động phí tăng thêm đối với đại biểu hội đồng nhân dân các cấp</t>
  </si>
  <si>
    <t>IV</t>
  </si>
  <si>
    <t>Nhu cầu thực hiện một số loại phụ cấp, trợ cấp theo quy định:</t>
  </si>
  <si>
    <t>Nguồn thực hiện cải cách tiền lương còn dư</t>
  </si>
  <si>
    <t>Ghi chú:</t>
  </si>
  <si>
    <t>Trà Vinh, ngày 15 tháng 06 năm 2020</t>
  </si>
  <si>
    <t>PHÒNG QUẢN LÝ NGÂN SÁCH</t>
  </si>
  <si>
    <t>SỞ TÀI CHÍNH TỈNH TRÀ VINH</t>
  </si>
  <si>
    <t>BIỂU  XÁC ĐỊNH THU NSĐP, 70% TĂNG THU NSĐP NĂM 2019</t>
  </si>
  <si>
    <t>ĐỂ THỰC HIỆN CẢI CÁCH TIỀN LƯƠNG NĂM 2019 CỦA TỈNH TRÀ VINH</t>
  </si>
  <si>
    <t>ĐVT: triệu đồng</t>
  </si>
  <si>
    <t>NỘI DUNG</t>
  </si>
  <si>
    <t>NSĐP</t>
  </si>
  <si>
    <t>NS Tỉnh</t>
  </si>
  <si>
    <t>NS huyện</t>
  </si>
  <si>
    <t>Huyện Càng Long</t>
  </si>
  <si>
    <t>Huyện Cầu Kè</t>
  </si>
  <si>
    <t>Huyện Cầu Ngang</t>
  </si>
  <si>
    <t>Huyện Châu Thành</t>
  </si>
  <si>
    <t>Huyện Duyên Hải</t>
  </si>
  <si>
    <t>Huyện Tiểu Cần</t>
  </si>
  <si>
    <t>Huyện Trà Cú</t>
  </si>
  <si>
    <t>Thị xã Duyên Hải</t>
  </si>
  <si>
    <t>TP Trà Vinh</t>
  </si>
  <si>
    <t>1=2+3</t>
  </si>
  <si>
    <t>3=4+…+12</t>
  </si>
  <si>
    <t>Dự toán thu ngân sách địa phương được hưởng năm 2019</t>
  </si>
  <si>
    <t>Trong đó:</t>
  </si>
  <si>
    <t>Thu tiền sử dụng đất</t>
  </si>
  <si>
    <t>Thu từ hoạt động xổ số kiến thiết</t>
  </si>
  <si>
    <t>Phí bảo vệ môi trường đối với khai thác khoáng sản</t>
  </si>
  <si>
    <t>Cục thuế không lập DT chi tiết</t>
  </si>
  <si>
    <t>Thu từ quỹ đất công ích, thu hoa lợi, công sản tại xã</t>
  </si>
  <si>
    <t>Thu từ tiền bán, cho thuê nhà ở thuộc sở hữu nhà nước</t>
  </si>
  <si>
    <t>Thực hiện thu NSĐP năm 2019 (không kể thu chuyển giao ngân sách các cấp)</t>
  </si>
  <si>
    <t>Không tính chi chuyển giao</t>
  </si>
  <si>
    <t>Tổng số các khoản không tính cân đối thu NSĐP</t>
  </si>
  <si>
    <t>Thu hồi các khoản chi năm trước (TM 4902)</t>
  </si>
  <si>
    <t>BTC bỏ ra</t>
  </si>
  <si>
    <t>Thu hỗ trợ khi nhà nước thu hồi theo quy định của Luật Đất đai và Nghị định số 47/2014/NĐ-CP</t>
  </si>
  <si>
    <t>,</t>
  </si>
  <si>
    <t>Thu viện trợ (TM5051 đến TM5249)</t>
  </si>
  <si>
    <t>Các khoản huy động đóng góp (TM4451-4549)+M4850</t>
  </si>
  <si>
    <t>Thu chuyển nguồn năm trước  (TK 7411 -TM 0911 - 0918)</t>
  </si>
  <si>
    <t>Thu kết dư ngân sách (TK 7911) ĐP</t>
  </si>
  <si>
    <t>Thu kết dư ngân sách (TK 7911) ĐP đề nghị</t>
  </si>
  <si>
    <t>Chờ BTC thẩm định</t>
  </si>
  <si>
    <t>Thu kết dư BTC thẩm định</t>
  </si>
  <si>
    <t>II</t>
  </si>
  <si>
    <t>Thu cân đối NSĐP còn lại (II = B-I)</t>
  </si>
  <si>
    <t>Thu tiền sử dụng đất (TM1401 - 1499)</t>
  </si>
  <si>
    <t>Thu từ hoạt động xổ số kiến thiết (TM 1057)</t>
  </si>
  <si>
    <t>C</t>
  </si>
  <si>
    <t>Tăng/giảm thu NSĐP thực hiện so với dự toán (II-A)</t>
  </si>
  <si>
    <t>D</t>
  </si>
  <si>
    <t>Tăng/giảm thu NSĐP không kể thu tiền sư dụng đất, XSKT</t>
  </si>
  <si>
    <t>E</t>
  </si>
  <si>
    <t>Các khoản tăng thu được loại trừ</t>
  </si>
  <si>
    <t>Tăng thu tiền bán, cho thuê nhà ở thuộc SHNN</t>
  </si>
  <si>
    <t>Tăng thu phí BVMT đối vứi khoáng sản</t>
  </si>
  <si>
    <t>Tăng thu từ quỹ đất công ích, thu hoa lợi, công sản tại xã</t>
  </si>
  <si>
    <t>f</t>
  </si>
  <si>
    <t>Tăng thu NSĐP năm 2019 dành để tính nguồn thực hiện CCTL năm 2020 (chuyên nguồn tăng thu)</t>
  </si>
  <si>
    <t>Lập phương án sử dụng số tăng thu trình UBND báo cáo TT HĐND quyết định cho chuyển nguồn sang năm sau theo khoản 2 Điều 59 Luật NSNN; bao gồm:</t>
  </si>
  <si>
    <t>Tăng thu XSKT (tỉnh)</t>
  </si>
  <si>
    <t>Tăng thu tiền sử dụng đất</t>
  </si>
  <si>
    <t>Lập phương án Trình chuyển nguồn 60% (loại trừ 10% trích lập BDĐC; 30% n Quỹ PTdđất)</t>
  </si>
  <si>
    <t>Lập phương án trình chuyển nguồn 30 % tăng thu còn lại hoặc đề xuâts chi cho chính sách ASXH</t>
  </si>
  <si>
    <t>TỈNH TRÀ VINH</t>
  </si>
  <si>
    <t>KINH PHÍ GIẢM CHI DO  TINH GIẢN BIÊN CHẾ THEO NGHỊ ĐỊNH 108 NĂM 2019 (HUYỆN)</t>
  </si>
  <si>
    <t>Đơn vị tính: ngàn đồng</t>
  </si>
  <si>
    <t>TT</t>
  </si>
  <si>
    <t>Đơn vị</t>
  </si>
  <si>
    <t>Ngày tháng năm sinh</t>
  </si>
  <si>
    <t>Trình độ đào tạo</t>
  </si>
  <si>
    <t>Chức danh chuyên môn đang đảm nhiệm</t>
  </si>
  <si>
    <t>Tiền lương theo ngạch, bậc, chức danh, chức vụ hiện hưởng</t>
  </si>
  <si>
    <t>Phụ cấp chức vụ (nếu có)</t>
  </si>
  <si>
    <t>Phụ cấp thâm niên nghề (nếu có)</t>
  </si>
  <si>
    <t>Phụ cấp thâm niên vượt khung (nếu có)</t>
  </si>
  <si>
    <t>Hệ số chênh lệch bảo lưu (nếu có)</t>
  </si>
  <si>
    <t>Lương ngạch, bậc trước liền kề</t>
  </si>
  <si>
    <t>Tiền lương tháng hiện hưởng (1000 đồng)</t>
  </si>
  <si>
    <t>Tiền lương tháng để tính trợ cấp nghỉ hưu trước tuổi, do đóng BHXH (1000 đồng)</t>
  </si>
  <si>
    <t>Số năm đóng BHXH theo sổ BHXH</t>
  </si>
  <si>
    <t>Tuổi khi giải quyết tinh giản biên chế</t>
  </si>
  <si>
    <t>Thời điểm tinh giản biên chế</t>
  </si>
  <si>
    <t>Số lượng tinh giản</t>
  </si>
  <si>
    <t>Được hưởng chính sách</t>
  </si>
  <si>
    <t>Tổng kinh phí để thực hiện chế độ</t>
  </si>
  <si>
    <t>Bao gồm</t>
  </si>
  <si>
    <t xml:space="preserve">Số tháng còn lại </t>
  </si>
  <si>
    <t>Số kinh phí các tháng còn lại tại đơn vị</t>
  </si>
  <si>
    <t xml:space="preserve">Kinh phí giảm chi do thực hiện tinh giản biên chế </t>
  </si>
  <si>
    <t>Hệ số lương</t>
  </si>
  <si>
    <t>Thời điểm hưởng</t>
  </si>
  <si>
    <t>Hệ số</t>
  </si>
  <si>
    <t>Mức phụ cấp</t>
  </si>
  <si>
    <t>Tổng số</t>
  </si>
  <si>
    <t>Số năm làm công việc nặng nhọc, độc hại hoặc có PCKV hệ số 0,7 trở lên</t>
  </si>
  <si>
    <t>Nghỉ hưu trước tuổi</t>
  </si>
  <si>
    <t>Chuyển sang làm việc ở các cơ sở không sử dụng kinh phí thường xuyên từ NSNN</t>
  </si>
  <si>
    <t>Thôi việc ngay</t>
  </si>
  <si>
    <t>Thôi việc sau khi đi học nghề</t>
  </si>
  <si>
    <t>Đơn vị chi</t>
  </si>
  <si>
    <t>Ngân sách nhà nước cấp</t>
  </si>
  <si>
    <t>Các khoản thanh toán cá nhân</t>
  </si>
  <si>
    <t>Định mức hoạt động thường xuyên</t>
  </si>
  <si>
    <t>TỔNG CỘNG:</t>
  </si>
  <si>
    <t>1</t>
  </si>
  <si>
    <t>Trần Thị Diệu</t>
  </si>
  <si>
    <t>20/7/1968</t>
  </si>
  <si>
    <t>Đại học</t>
  </si>
  <si>
    <t>Công chức Văn phòng Thị ủy và HĐND - UBND thị xã Duyên Hải</t>
  </si>
  <si>
    <t>4,65</t>
  </si>
  <si>
    <t>01/9/2017</t>
  </si>
  <si>
    <t>0,2</t>
  </si>
  <si>
    <t>01/2010</t>
  </si>
  <si>
    <t>3,99
4,32</t>
  </si>
  <si>
    <t>01/12/2012
01/9/2014</t>
  </si>
  <si>
    <t>34 năm 4 tháng</t>
  </si>
  <si>
    <t>50 tuổi 5 tháng 12 ngày</t>
  </si>
  <si>
    <t>01/01/2019</t>
  </si>
  <si>
    <t>2</t>
  </si>
  <si>
    <t>Lê Minh Thương</t>
  </si>
  <si>
    <t>15/10/1961</t>
  </si>
  <si>
    <t>Đại học Chính trị</t>
  </si>
  <si>
    <t>Chuyên viên Cơ quan Tổ chức - Nội vụ thị xã</t>
  </si>
  <si>
    <t>4,32</t>
  </si>
  <si>
    <t>01/02/2018</t>
  </si>
  <si>
    <t>01/01/2014</t>
  </si>
  <si>
    <t>3,66
3,99
4,32</t>
  </si>
  <si>
    <t>01/01/2014
01/02/2015
01/02/2018</t>
  </si>
  <si>
    <t>23 năm</t>
  </si>
  <si>
    <t>57 tuổi 02 tháng 16 ngày</t>
  </si>
  <si>
    <t>3</t>
  </si>
  <si>
    <t>Nguyễn Minh Quý</t>
  </si>
  <si>
    <t>01/01/1962</t>
  </si>
  <si>
    <t>Đại học Kinh tế Luật</t>
  </si>
  <si>
    <t>Chủ tịch Hội Chữ thập đỏ</t>
  </si>
  <si>
    <t>01/8/2015</t>
  </si>
  <si>
    <t>0,3</t>
  </si>
  <si>
    <t>01/3/2014</t>
  </si>
  <si>
    <t>4,32
4,65</t>
  </si>
  <si>
    <t>01/3/2014
01/8/2015</t>
  </si>
  <si>
    <t>35 năm 10 tháng</t>
  </si>
  <si>
    <t>57 tuổi 02 tháng</t>
  </si>
  <si>
    <t>01/3/2019</t>
  </si>
  <si>
    <t>4</t>
  </si>
  <si>
    <t xml:space="preserve">Trần Văn Vân </t>
  </si>
  <si>
    <t>Trung cấp Sư phạm Tiểu học</t>
  </si>
  <si>
    <t>Giáo viên Trường Tiểu học Hồ Đức Thắng</t>
  </si>
  <si>
    <t>4,06+11%</t>
  </si>
  <si>
    <t>01/4/2019</t>
  </si>
  <si>
    <t>11%</t>
  </si>
  <si>
    <t>4,06+8%
4,06+9%
4,06+10%
4,06+11%</t>
  </si>
  <si>
    <t>01/10/2015
01/10/2016
01/10/2017
01/4/2019</t>
  </si>
  <si>
    <t>37 năm 3 tháng</t>
  </si>
  <si>
    <t>55 tuổi 11 tháng 7 ngày</t>
  </si>
  <si>
    <t>01/12/2019</t>
  </si>
  <si>
    <t>5</t>
  </si>
  <si>
    <t>Võ Đức Minh</t>
  </si>
  <si>
    <t>23/01/1962</t>
  </si>
  <si>
    <t>Đại học Sư phạm Ngữ văn</t>
  </si>
  <si>
    <t>Giám đốc Trung tâm Giáo dục nghề nghiệp - Giáo dục thường xuyên thị xã Duyên Hải</t>
  </si>
  <si>
    <t>4,98+16%</t>
  </si>
  <si>
    <t>01/10/2018</t>
  </si>
  <si>
    <t>0.4</t>
  </si>
  <si>
    <t>01/7/2011 đến nay</t>
  </si>
  <si>
    <t>16%</t>
  </si>
  <si>
    <t>4,98+12%
4,98+13%
4,98+14%
4,98+15%</t>
  </si>
  <si>
    <t>01/10/2014
01/10/2015
01/10/2016
01/10/2017</t>
  </si>
  <si>
    <t>38  năm 
3 tháng</t>
  </si>
  <si>
    <t>57 tuổi 
10 tháng 08 ngày</t>
  </si>
  <si>
    <t>6</t>
  </si>
  <si>
    <t>Trần Văn Nước</t>
  </si>
  <si>
    <t>Trung cấp y sỹ đa khoa</t>
  </si>
  <si>
    <t>Phó Trưởng phòng 
Phòng Y tế</t>
  </si>
  <si>
    <t>4,06+14%</t>
  </si>
  <si>
    <t>01/10/2004
đến nay</t>
  </si>
  <si>
    <t>14%</t>
  </si>
  <si>
    <t xml:space="preserve">
4,06+10%
4,06+11%
4,06+12%
4,06+13%
</t>
  </si>
  <si>
    <t xml:space="preserve">
01/01/2015
01/01/2016
01/01/2017
01/01/2018
</t>
  </si>
  <si>
    <t>38 năm 
02 tháng</t>
  </si>
  <si>
    <t>55 tuổi
 02 tháng 04 ngày</t>
  </si>
  <si>
    <t>Huyện ủy Châu Thành</t>
  </si>
  <si>
    <t>7</t>
  </si>
  <si>
    <t>Lê Thị Giàu</t>
  </si>
  <si>
    <t>13/9/1970</t>
  </si>
  <si>
    <t xml:space="preserve">Nhân viên phục vụ Văn phòng huyện ủy và HĐND-UBND huyện </t>
  </si>
  <si>
    <t>1,36</t>
  </si>
  <si>
    <t>01/5/2018</t>
  </si>
  <si>
    <t>1,18</t>
  </si>
  <si>
    <t>01/5/2016</t>
  </si>
  <si>
    <t>4 năm 8 tháng</t>
  </si>
  <si>
    <t>48 tuổi 3 tháng 18 ngày</t>
  </si>
  <si>
    <t>8</t>
  </si>
  <si>
    <t>Đoàn Thị Kim Loan</t>
  </si>
  <si>
    <t>21/9/1968</t>
  </si>
  <si>
    <t>1,00</t>
  </si>
  <si>
    <t>01/10/2017</t>
  </si>
  <si>
    <t>01 năm 3 tháng</t>
  </si>
  <si>
    <t>50 tuổi 3 tháng 10 ngày</t>
  </si>
  <si>
    <t>9</t>
  </si>
  <si>
    <t xml:space="preserve">Nguyễn Hoàng Hoanh </t>
  </si>
  <si>
    <t xml:space="preserve">Nhân viên bảo vệ Văn phòng huyện ủy và HĐND-UBND huyện </t>
  </si>
  <si>
    <t>1,68</t>
  </si>
  <si>
    <t>01/9/2018</t>
  </si>
  <si>
    <t>1,50</t>
  </si>
  <si>
    <t>01/9/2016</t>
  </si>
  <si>
    <t>02 năm 5 tháng</t>
  </si>
  <si>
    <t>47 tuổi</t>
  </si>
  <si>
    <t>10</t>
  </si>
  <si>
    <t>Trần Văn Giang</t>
  </si>
  <si>
    <t>06/5/1961</t>
  </si>
  <si>
    <t>UVTV Huyện ủy, Trưởng Ban Dân vận Huyện ủy Châu Thành</t>
  </si>
  <si>
    <t>6,1</t>
  </si>
  <si>
    <t>01/11/2017</t>
  </si>
  <si>
    <t>0,6</t>
  </si>
  <si>
    <t>01/8/2011</t>
  </si>
  <si>
    <t>5,76
6,1</t>
  </si>
  <si>
    <t>01/11/2014
01/11/2017</t>
  </si>
  <si>
    <t>40 năm</t>
  </si>
  <si>
    <t xml:space="preserve">57 tuổi 10 tháng 26 ngày </t>
  </si>
  <si>
    <t>11</t>
  </si>
  <si>
    <t>Võ Văn Lâm</t>
  </si>
  <si>
    <t>Cử nhân Giáo dục tiểu học</t>
  </si>
  <si>
    <t>Giáo viên Trường Tiểu học Hòa Thuận A</t>
  </si>
  <si>
    <t>4,98+9%</t>
  </si>
  <si>
    <t>01/3/2013
 đến nay</t>
  </si>
  <si>
    <t>9%</t>
  </si>
  <si>
    <t>4,98+5%
4,98+6%
4,98+7%
4,98+8%</t>
  </si>
  <si>
    <t>01/01/2015
01/01/2016
01/01/2017
01/01/2018</t>
  </si>
  <si>
    <t>36 năm 10 tháng</t>
  </si>
  <si>
    <t>56 tuổi 3 tháng 9 ngày</t>
  </si>
  <si>
    <t>01/7/2019</t>
  </si>
  <si>
    <t>12</t>
  </si>
  <si>
    <t>Nguyễn Thị Bích Liên</t>
  </si>
  <si>
    <t>03/12/1967</t>
  </si>
  <si>
    <t>Cao đẳng Sư phạm Giáo dục tiểu học</t>
  </si>
  <si>
    <t>Giáo viên Trường Tiểu học Thanh Mỹ B</t>
  </si>
  <si>
    <t>4,06</t>
  </si>
  <si>
    <t>01/4/2018</t>
  </si>
  <si>
    <t>01/4/2017</t>
  </si>
  <si>
    <t>3,66
3,86</t>
  </si>
  <si>
    <t>01/10/2013
01/10/2015</t>
  </si>
  <si>
    <t>24 năm</t>
  </si>
  <si>
    <t>51 tuổi 10 tháng 28 ngày</t>
  </si>
  <si>
    <t>01/11/2019</t>
  </si>
  <si>
    <t>13</t>
  </si>
  <si>
    <t>Sơn Sây Ha</t>
  </si>
  <si>
    <t>27/5/1970</t>
  </si>
  <si>
    <t>Cao cấp chính trị</t>
  </si>
  <si>
    <t>Viên chức Trung tâm Bồi dưỡng chính trị huyện Châu Thành</t>
  </si>
  <si>
    <t>24 năm 7 tháng</t>
  </si>
  <si>
    <t>49 tuổi 6 tháng 04 ngày</t>
  </si>
  <si>
    <t>14</t>
  </si>
  <si>
    <t>Võ Thanh Trân</t>
  </si>
  <si>
    <t>01/01/1963</t>
  </si>
  <si>
    <t>Trung cấp Chính trị</t>
  </si>
  <si>
    <t>Công chức UBNT Tổ quốc VN huyện Châu Thành</t>
  </si>
  <si>
    <t>25 năm 11 tháng</t>
  </si>
  <si>
    <t>56 tuổi 11 tháng</t>
  </si>
  <si>
    <t>15</t>
  </si>
  <si>
    <t>Bùi Văn Tưởng</t>
  </si>
  <si>
    <t>05/4/1964</t>
  </si>
  <si>
    <t>Công chức Văn phòng cấp ủy và Hội đồng nhân dân - Ủy ban nhân dân huyện Châu Thành</t>
  </si>
  <si>
    <t>4,98+7%</t>
  </si>
  <si>
    <t>01/01/2014 đến 31/8/2016</t>
  </si>
  <si>
    <t>4,98
4,98+5%
4,98+6%</t>
  </si>
  <si>
    <t>01/01/2014
01/01/2017
01/01/2018</t>
  </si>
  <si>
    <t>35 năm 02 tháng</t>
  </si>
  <si>
    <t>55 tuổi 7 tháng 26 ngày</t>
  </si>
  <si>
    <t>16</t>
  </si>
  <si>
    <t>Trương Hoàng Minh</t>
  </si>
  <si>
    <t>Trung cấp Pháp lý</t>
  </si>
  <si>
    <t>Phó Chủ tịch HĐND</t>
  </si>
  <si>
    <t>2,26</t>
  </si>
  <si>
    <t>1,86
2,06</t>
  </si>
  <si>
    <t>01/11/2015
01/11/2017</t>
  </si>
  <si>
    <t>09 năm 4 tháng</t>
  </si>
  <si>
    <t>52 tuổi 11 tháng 11 ngày</t>
  </si>
  <si>
    <t>17</t>
  </si>
  <si>
    <t>Dương Ngọc Thảo</t>
  </si>
  <si>
    <t>02/12/1969</t>
  </si>
  <si>
    <t>Trung cấp quản lý hành chính về trật tự xã hội</t>
  </si>
  <si>
    <t>Công chức Tư pháp - Hộ tịch</t>
  </si>
  <si>
    <t>2,86</t>
  </si>
  <si>
    <t>2,46
2,66</t>
  </si>
  <si>
    <t>01/02/2014
01/02/2016</t>
  </si>
  <si>
    <t>11 năm 10 tháng</t>
  </si>
  <si>
    <t>49 tuổi 11 tháng 29 ngày</t>
  </si>
  <si>
    <t>18</t>
  </si>
  <si>
    <t>Nguyễn Văn Thạnh</t>
  </si>
  <si>
    <t>07/7/1966</t>
  </si>
  <si>
    <t>Trung cấp An ninh</t>
  </si>
  <si>
    <t>Công chức Trưởng Công an xã</t>
  </si>
  <si>
    <t>01/9/2019</t>
  </si>
  <si>
    <t>01/9/2015
01/9/2017</t>
  </si>
  <si>
    <t>13 năm 11 tháng</t>
  </si>
  <si>
    <t>53 tuổi 4 tháng 13 ngày</t>
  </si>
  <si>
    <t>Thành phố Trà Vinh</t>
  </si>
  <si>
    <t>19</t>
  </si>
  <si>
    <t>Lê Thị Mộng Trúc</t>
  </si>
  <si>
    <t>26/12/1966</t>
  </si>
  <si>
    <t>Đại học Văn thư - Lưu trữ</t>
  </si>
  <si>
    <t>Phó Trưởng Cơ quan Tổ chức - Nội vụ</t>
  </si>
  <si>
    <t>01/03/2018</t>
  </si>
  <si>
    <t>01/02/2016 đến nay</t>
  </si>
  <si>
    <t>4,65
4,98
5,08
5,42</t>
  </si>
  <si>
    <t>01/01/2014
01/03/2015
01/12/2017
01/03/2018</t>
  </si>
  <si>
    <t xml:space="preserve">33 năm 05 tháng </t>
  </si>
  <si>
    <t>52 tuổi 06 ngày</t>
  </si>
  <si>
    <t>20</t>
  </si>
  <si>
    <t>Nguyễn Thị Tố Trâm</t>
  </si>
  <si>
    <t>10/7/1967</t>
  </si>
  <si>
    <t>Trung cấp Kế toán</t>
  </si>
  <si>
    <t>Công chức Văn phòng HĐND và UBND</t>
  </si>
  <si>
    <t>3,66</t>
  </si>
  <si>
    <t>01/11/2018</t>
  </si>
  <si>
    <t>3,06
3,26
3,46
3,66</t>
  </si>
  <si>
    <t>01/01/2014
01/11/2014
01/11/2016
01/11/2018</t>
  </si>
  <si>
    <t xml:space="preserve">24 năm 02 tháng </t>
  </si>
  <si>
    <t>51 tuổi 05 tháng 22 ngày</t>
  </si>
  <si>
    <t>21</t>
  </si>
  <si>
    <t>Nguyễn Thị Bé Xuân</t>
  </si>
  <si>
    <t>01/8/1969</t>
  </si>
  <si>
    <t>Cao đẳng Sư phạm Mầm non</t>
  </si>
  <si>
    <t>Giáo viên  Trường Mẫu giáo Măng Non</t>
  </si>
  <si>
    <t>3,96</t>
  </si>
  <si>
    <t>01/10/2016</t>
  </si>
  <si>
    <t>01/6/2019</t>
  </si>
  <si>
    <t>3,65</t>
  </si>
  <si>
    <t>01/9/2014</t>
  </si>
  <si>
    <t>23 năm 10 tháng</t>
  </si>
  <si>
    <t>50 tuổi 01 tháng</t>
  </si>
  <si>
    <t>22</t>
  </si>
  <si>
    <t>Nghị Công Minh</t>
  </si>
  <si>
    <t>01/01/1975</t>
  </si>
  <si>
    <t>Nhân viên bảo vệ Trường Tiểu học Kiên Thị Nhẫn</t>
  </si>
  <si>
    <t>1,86</t>
  </si>
  <si>
    <t>1,50
1,68</t>
  </si>
  <si>
    <t>01/11/2014
01/11/2016</t>
  </si>
  <si>
    <t>05 năm 01 tháng</t>
  </si>
  <si>
    <t>44 tuổi 11 tháng</t>
  </si>
  <si>
    <t>23</t>
  </si>
  <si>
    <t>Từ Ái Xén</t>
  </si>
  <si>
    <t>10/5/1961</t>
  </si>
  <si>
    <t>Bác sĩ Đa khoa</t>
  </si>
  <si>
    <t>Trưởng phòng Y tế huyện</t>
  </si>
  <si>
    <t>01/01/2018</t>
  </si>
  <si>
    <t>01/01/2014 đến nay</t>
  </si>
  <si>
    <t>4,32
4,65
4,98</t>
  </si>
  <si>
    <t>01/01/2014
01/01/2015
01/01/2018</t>
  </si>
  <si>
    <t>34 năm 06 tháng</t>
  </si>
  <si>
    <t>57 tuổi 7 tháng 21 ngày</t>
  </si>
  <si>
    <t>24</t>
  </si>
  <si>
    <t>Trần Văn Thuần</t>
  </si>
  <si>
    <t>16/4/1962</t>
  </si>
  <si>
    <t>Trung học Sư phạm 9+3</t>
  </si>
  <si>
    <t>Giáo viên dạy lớp Trường Tiểu học Mỹ Long Bắc A</t>
  </si>
  <si>
    <t>4,06+5%</t>
  </si>
  <si>
    <t>3,86
4,06
4,06+5%
4,06+6%</t>
  </si>
  <si>
    <t>01/01/2014
01/10/2015
01/10/2017
01/10/2018</t>
  </si>
  <si>
    <t>23 năm
 3 tháng</t>
  </si>
  <si>
    <t>56 tuổi
8 tháng
15 ngày</t>
  </si>
  <si>
    <t>25</t>
  </si>
  <si>
    <t>Trần Hữu Bình</t>
  </si>
  <si>
    <t>10/08/1963</t>
  </si>
  <si>
    <t>Trung học Sư phạm 12+2</t>
  </si>
  <si>
    <t>Nhân viên Thủ quỹ Trường Tiểu học Trường Thọ A</t>
  </si>
  <si>
    <t>4,06+10%</t>
  </si>
  <si>
    <t>4,06+6%
4,06+7%
4,06+8%
4,06+9%
4,06+10%
4,06+11%</t>
  </si>
  <si>
    <t>01/01/2014
01/10/2014
01/10/2015
01/10/2016
01/10/2017
01/10/2018</t>
  </si>
  <si>
    <t>36 năm 04 tháng</t>
  </si>
  <si>
    <t>55 tuổi 04 tháng 22 ngày</t>
  </si>
  <si>
    <t>26</t>
  </si>
  <si>
    <t>Kim Ân</t>
  </si>
  <si>
    <t>21/11/1961</t>
  </si>
  <si>
    <t>Giáo viên dạy lớp Trường Tiểu học Kim Hòa A</t>
  </si>
  <si>
    <t>39 năm 05 tháng</t>
  </si>
  <si>
    <t>57 tuổi 01 tháng 11 ngày</t>
  </si>
  <si>
    <t>27</t>
  </si>
  <si>
    <t>Huỳnh Văn Ích</t>
  </si>
  <si>
    <t>16/10/1961</t>
  </si>
  <si>
    <t>Giáo viên dạy lớp Trường Tiểu học Mỹ Long Nam A</t>
  </si>
  <si>
    <t>4,06+13%</t>
  </si>
  <si>
    <t>19%</t>
  </si>
  <si>
    <t>4,06+9%
4,06+10%
4,06+11%
4,06+12%
4,06+13%
4,06+14%</t>
  </si>
  <si>
    <t>01/01/2014
01/04/2014
01/04/2015
01/04/2016
01/04/2017
01/04/2018</t>
  </si>
  <si>
    <t>35 năm 04 tháng</t>
  </si>
  <si>
    <t>57 tuổi 02 tháng 15 ngày</t>
  </si>
  <si>
    <t>28</t>
  </si>
  <si>
    <t>Lê Thị Kim Anh</t>
  </si>
  <si>
    <t>09/11/1968</t>
  </si>
  <si>
    <t>Giáo viên dạy lớp Trường Tiểu học Mỹ Long Bắc B</t>
  </si>
  <si>
    <t>4,06+7%</t>
  </si>
  <si>
    <t>30%</t>
  </si>
  <si>
    <t>01/3/2017</t>
  </si>
  <si>
    <t>4,06 
4,06+5%
4,06+6%
4,06+7%
4,06+8%</t>
  </si>
  <si>
    <t>01/01/2014
01/10/2015
01/10/2016
01/10/2017
01/10/2018</t>
  </si>
  <si>
    <t>33 năm 04 tháng</t>
  </si>
  <si>
    <t>50 tuổi 01 tháng 22 ngày</t>
  </si>
  <si>
    <t>29</t>
  </si>
  <si>
    <t>Thạch Sa Ly</t>
  </si>
  <si>
    <t>22/07/1962</t>
  </si>
  <si>
    <t>Cử nhân Tiểu học</t>
  </si>
  <si>
    <t xml:space="preserve">Phó Hiệu Trưởng Trường Tiểu học Thạnh Hòa Sơn A </t>
  </si>
  <si>
    <t xml:space="preserve"> 01/06/2017</t>
  </si>
  <si>
    <t>4,06+6%
4,06+7%
4,06+8%
4,06+9%
 4,06+10% 
4,06+11%</t>
  </si>
  <si>
    <t>01/01/2014
01/10/2014
01/10/2015
01/10/2016 
01/10/2017
01/10/2018</t>
  </si>
  <si>
    <t xml:space="preserve">37 năm
01 tháng </t>
  </si>
  <si>
    <t>56 tuổi 5 tháng 09 ngày</t>
  </si>
  <si>
    <t>30</t>
  </si>
  <si>
    <t>Thạch Ngọc</t>
  </si>
  <si>
    <t>Giáo Viên dạy lớp Trường Tiểu học Thạnh Hòa Sơn A</t>
  </si>
  <si>
    <t xml:space="preserve"> 01/6/2017</t>
  </si>
  <si>
    <t xml:space="preserve">
4,06+6%
4,06+7%
4,06+8%
4,06+9% 
4,06+10% 
4,06+11%
</t>
  </si>
  <si>
    <t xml:space="preserve">57 tuổi 
</t>
  </si>
  <si>
    <t>31</t>
  </si>
  <si>
    <t>Trầm Hữu Hạnh</t>
  </si>
  <si>
    <t>14/4/1962</t>
  </si>
  <si>
    <t>Giáo viên dạy lớp Trường Tiểu học Hiệp Mỹ A</t>
  </si>
  <si>
    <t>4,06+9%</t>
  </si>
  <si>
    <t>4,06+5%
4,06+6%
4,06+7%
4,06+8%
4,06+9%
4,06+10%</t>
  </si>
  <si>
    <t>36 năm 4 tháng</t>
  </si>
  <si>
    <t>56 tuổi 8 tháng 17 ngày</t>
  </si>
  <si>
    <t>32</t>
  </si>
  <si>
    <t>Huỳnh Thị Kim Bào</t>
  </si>
  <si>
    <t>12/01/1969</t>
  </si>
  <si>
    <t>01/3/2014
01/10/2015
01/10/2017
01/10/2018</t>
  </si>
  <si>
    <t>26 năm
 5 tháng</t>
  </si>
  <si>
    <t>50 tuổi 01 tháng 19 ngày</t>
  </si>
  <si>
    <t>33</t>
  </si>
  <si>
    <t>Bùi Thị Đạm</t>
  </si>
  <si>
    <t>26/01/1969</t>
  </si>
  <si>
    <t xml:space="preserve">
4,06
4,06+5%
4,06+6%
4,06+7%
4,06+8%
</t>
  </si>
  <si>
    <t>01/3/2014
01/10/2015
01/10/2016
01/10/2017
01/10/2018</t>
  </si>
  <si>
    <t>30 năm
 5 tháng</t>
  </si>
  <si>
    <t>50 tuổi 01 tháng 05 ngày</t>
  </si>
  <si>
    <t>34</t>
  </si>
  <si>
    <t>Mai Văn Ly</t>
  </si>
  <si>
    <t>01/01/1964</t>
  </si>
  <si>
    <t>12/12</t>
  </si>
  <si>
    <t>Nhân viên Bảo vệ Trường THCS Mỹ Long Bắc</t>
  </si>
  <si>
    <t>2,98+8%</t>
  </si>
  <si>
    <t>2,98
2,98+5%
2,98+6%
2,98+7%
2,98+8%
2,98+9%</t>
  </si>
  <si>
    <t>01/3/2014
01/11/2014
01/11/2015
01/11/2016
01/11/2017
01/11/2018</t>
  </si>
  <si>
    <t>21 năm 4 tháng</t>
  </si>
  <si>
    <t>55 tuổi 02 tháng</t>
  </si>
  <si>
    <t>35</t>
  </si>
  <si>
    <t>Huỳnh Cương</t>
  </si>
  <si>
    <t>06/6/1961</t>
  </si>
  <si>
    <t>Cử nhân Luật</t>
  </si>
  <si>
    <t>Chuyên viên Cơ quan Tổ chức - Nội vụ huyện</t>
  </si>
  <si>
    <t>4,98+12%</t>
  </si>
  <si>
    <t>01/5/2014 đến nay</t>
  </si>
  <si>
    <t>12%</t>
  </si>
  <si>
    <t>4,98+8%
4,98+9%
4,98+10%
4,98+11%
4,98+12%
4,98+13%</t>
  </si>
  <si>
    <t>01/5/2014
01/4/2015
01/4/2016
01/4/2017
01/4/2018
01/4/2019</t>
  </si>
  <si>
    <t>38 năm 01 tháng</t>
  </si>
  <si>
    <t>57 tuổi 10 tháng 25 ngày</t>
  </si>
  <si>
    <t>01/5/2019</t>
  </si>
  <si>
    <t>36</t>
  </si>
  <si>
    <t>Thạch Thị Ly Phương</t>
  </si>
  <si>
    <t>07/9/1966</t>
  </si>
  <si>
    <t>Cao đẳng Sư phạm Văn</t>
  </si>
  <si>
    <t>Giáo viên dạy lớp Trường THCS Mỹ Hòa</t>
  </si>
  <si>
    <t>4,27</t>
  </si>
  <si>
    <t>01/09/2017</t>
  </si>
  <si>
    <t>3,65
3,96
4,27</t>
  </si>
  <si>
    <t>01/6/2014
01/10/2014
01/10/2017</t>
  </si>
  <si>
    <t>23 năm 9 tháng</t>
  </si>
  <si>
    <t>52 tuổi 8 tháng 24 ngày</t>
  </si>
  <si>
    <t>37</t>
  </si>
  <si>
    <t>Thạch Thị Phát</t>
  </si>
  <si>
    <t>29/10/1966</t>
  </si>
  <si>
    <t>Cao đẳng Sư phạm Toán</t>
  </si>
  <si>
    <t>Giáo viên dạy lớp Trường THCS thị trấn Cầu Ngang</t>
  </si>
  <si>
    <t>01/09/2015</t>
  </si>
  <si>
    <t>4,58
4,89
4,89+5%</t>
  </si>
  <si>
    <t>01/6/2014
01/09/2015
01/09/2018</t>
  </si>
  <si>
    <t>31 năm 09 tháng</t>
  </si>
  <si>
    <t>52 tuổi 7 tháng 02 ngày</t>
  </si>
  <si>
    <t>38</t>
  </si>
  <si>
    <t>Lê Thị Mãnh</t>
  </si>
  <si>
    <t>Cao đẳng
 Sư phạm Tiểu học</t>
  </si>
  <si>
    <t>Giáo viên Trường Tiểu học Hiệp Mỹ Đông</t>
  </si>
  <si>
    <t>4,89</t>
  </si>
  <si>
    <t>01/4/2013 đến  nay</t>
  </si>
  <si>
    <t>4,27
4,58</t>
  </si>
  <si>
    <t>01/10/2012
'01/10/2015</t>
  </si>
  <si>
    <t>32 năm 6 tháng</t>
  </si>
  <si>
    <t>52 tuổi
 11 ngày</t>
  </si>
  <si>
    <t>39</t>
  </si>
  <si>
    <t>Thạch Sa Lít</t>
  </si>
  <si>
    <t>Chuẩn
 hóa 9+3</t>
  </si>
  <si>
    <t>Giáo viên Trường Tiểu học Thạnh Hòa Sơn B</t>
  </si>
  <si>
    <t>4,06+15%</t>
  </si>
  <si>
    <t>01/3/2018</t>
  </si>
  <si>
    <t>4,06+10%
4,06+11%
4,06+12%
4,06+13%
4,06+14%</t>
  </si>
  <si>
    <t>01/10/2013
01/10/2014
01/10/2015
01/10/2016
01/10/2017</t>
  </si>
  <si>
    <t>38 năm 11 tháng</t>
  </si>
  <si>
    <t>57 tuổi 
9 ngày</t>
  </si>
  <si>
    <t>01/8/2019</t>
  </si>
  <si>
    <t>40</t>
  </si>
  <si>
    <t>Thạch Thị Sốc Kha</t>
  </si>
  <si>
    <t>Trung cấp
 chuyên nghiệp</t>
  </si>
  <si>
    <t>Giáo viên Trường Tiểu học Nhị Trường B</t>
  </si>
  <si>
    <t>3,86</t>
  </si>
  <si>
    <t>3,46
3,66</t>
  </si>
  <si>
    <t>01/9/2013
01/9/2015</t>
  </si>
  <si>
    <t>21 năm 11 tháng</t>
  </si>
  <si>
    <t>50 tuổi
 9 tháng 6 ngày</t>
  </si>
  <si>
    <t>41</t>
  </si>
  <si>
    <t>Trần Thị Kim Khoa</t>
  </si>
  <si>
    <t>Trung cấp Sư phạm 12+2</t>
  </si>
  <si>
    <t>Giáo viên Trường Tiểu học Long Sơn B</t>
  </si>
  <si>
    <t>4,06+8%</t>
  </si>
  <si>
    <t>4,06
4,06+5%
4,0+6%
4,06+7%
4,06+8%</t>
  </si>
  <si>
    <t>01/10/2013
'01/10/2015
'01/10/2016
'01/10/2017
'01/10/2018</t>
  </si>
  <si>
    <t>31 năm 11 tháng</t>
  </si>
  <si>
    <t>50 tuổi 
01 tháng 23 ngày</t>
  </si>
  <si>
    <t>42</t>
  </si>
  <si>
    <t>Nguyễn Kim Truyền</t>
  </si>
  <si>
    <t>Trung cấp Sư phạm 9+3</t>
  </si>
  <si>
    <t>Giáo viên Trường Tiểu học Vinh Kim C</t>
  </si>
  <si>
    <t>0.2</t>
  </si>
  <si>
    <t>01/8/2013 đến nay</t>
  </si>
  <si>
    <t>34%</t>
  </si>
  <si>
    <t xml:space="preserve">4,06+6%
4,06+7%
4,06+8%
4,06+9%
</t>
  </si>
  <si>
    <t>36 năm</t>
  </si>
  <si>
    <t>57 tuổi 
01 tháng 24 ngày</t>
  </si>
  <si>
    <t>43</t>
  </si>
  <si>
    <t>Lục Thị Mười</t>
  </si>
  <si>
    <t>Cao đẳng 
Sư phạm Tiểu học</t>
  </si>
  <si>
    <t>Giáo viên Trường Tiểu học Hiệp Hòa C</t>
  </si>
  <si>
    <t>01/9/2015 đến 31/8/2017</t>
  </si>
  <si>
    <t>4,06
4,06+5%
4,06+6%
4,06+7%</t>
  </si>
  <si>
    <t>01/11/2013
'01/11/2015
'01/11/2016
'01/11/2017</t>
  </si>
  <si>
    <t>32 năm</t>
  </si>
  <si>
    <t>50 tuổi 
3 tháng</t>
  </si>
  <si>
    <t>44</t>
  </si>
  <si>
    <t>Đỗ Thị Hồng Diễm</t>
  </si>
  <si>
    <t>Giáo viên Trường Tiểu học Long Sơn C</t>
  </si>
  <si>
    <t>01/8/2018</t>
  </si>
  <si>
    <t>50 tuổi 
01 tháng 06 ngày</t>
  </si>
  <si>
    <t>01/10/2019</t>
  </si>
  <si>
    <t>45</t>
  </si>
  <si>
    <t>Nguyễn Thị Lệ Thủy</t>
  </si>
  <si>
    <t>Trung cấp
 Sư phạm 12+2</t>
  </si>
  <si>
    <t>Giáo viên Trường Tiểu học Hiệp Mỹ Tây</t>
  </si>
  <si>
    <t>4,06+6%</t>
  </si>
  <si>
    <t>3,86
4,06
4,06+5%</t>
  </si>
  <si>
    <t>01/10/2013
01/10/2015
01/10/2017</t>
  </si>
  <si>
    <t>27 năm</t>
  </si>
  <si>
    <t>50 tuổi
 01 tháng 16 ngày</t>
  </si>
  <si>
    <t>46</t>
  </si>
  <si>
    <t>Cao Quang Hùng</t>
  </si>
  <si>
    <t>Cao đẳng Âm nhạc</t>
  </si>
  <si>
    <t>Giáo viên Trường Tiểu học Vinh Kim A</t>
  </si>
  <si>
    <t>01/9/2013
01/9/2016</t>
  </si>
  <si>
    <t>34 năm 02 tháng</t>
  </si>
  <si>
    <t>56 tuổi 
22 ngày</t>
  </si>
  <si>
    <t>47</t>
  </si>
  <si>
    <t xml:space="preserve"> Huỳnh Sang</t>
  </si>
  <si>
    <t>Trung cấp 
Sư phạm 12+2</t>
  </si>
  <si>
    <t>Giáo viên Trường Tiểu học Nhị Trường A</t>
  </si>
  <si>
    <t>4,06+5%
4,06+6%
4,06+7%
4,06+8%</t>
  </si>
  <si>
    <t>01/9/2014
01/9/2015
01/9/2016
01/9/2017</t>
  </si>
  <si>
    <t>55 tuổi 01 tháng 25 ngày</t>
  </si>
  <si>
    <t>48</t>
  </si>
  <si>
    <t>Nguyễn Thị Ánh Ngọc</t>
  </si>
  <si>
    <t>Giáo viên Trường Tiểu học Vinh Kim B</t>
  </si>
  <si>
    <t>32 năm 01 tháng</t>
  </si>
  <si>
    <t>51 tuổi 3 ngày</t>
  </si>
  <si>
    <t>49</t>
  </si>
  <si>
    <t>Nguyễn Thị Bích Phượng</t>
  </si>
  <si>
    <t>Cao đẳng Sư phạm Tiểu học</t>
  </si>
  <si>
    <t>01/10/2014
'01/10/2016
'01/10/2018</t>
  </si>
  <si>
    <t>26 năm 11 tháng</t>
  </si>
  <si>
    <t>50 tuổi
 4 tháng 17 ngày</t>
  </si>
  <si>
    <t>50</t>
  </si>
  <si>
    <t>Nguyễn Thị Hương</t>
  </si>
  <si>
    <t>Cao đẳng Sư phạm tiểu học</t>
  </si>
  <si>
    <t>Giáo viên Trường Tiểu học Kim Hòa A</t>
  </si>
  <si>
    <t>20%</t>
  </si>
  <si>
    <t>01/10/2014</t>
  </si>
  <si>
    <t>21 năm
 02 tháng</t>
  </si>
  <si>
    <t>50 tuổi 
02 tháng 12 ngày</t>
  </si>
  <si>
    <t>51</t>
  </si>
  <si>
    <t>Hà Thị Kim Hương</t>
  </si>
  <si>
    <t>4,06+5%
4,06+6%
4,06+7%
4,06+8%
4,06+9%</t>
  </si>
  <si>
    <t>01/9/2014
'01/9/2015
01/9/2016
01/9/2017
01/9/2018</t>
  </si>
  <si>
    <t>32 năm 3 tháng</t>
  </si>
  <si>
    <t>51 tuổi
 01 tháng 12 ngày</t>
  </si>
  <si>
    <t>52</t>
  </si>
  <si>
    <t>Lê Thanh Triều</t>
  </si>
  <si>
    <t>Giáo viên Trường Tiểu học Hiệp Mỹ Tây B</t>
  </si>
  <si>
    <t>4,06+12%</t>
  </si>
  <si>
    <t>01/10/211 đến 31/8/2017</t>
  </si>
  <si>
    <t>4,06+7%
4,06+8%
4,06+9%
4,06+10%
4,06+11%</t>
  </si>
  <si>
    <t>01/10/2014
01/10/2015
01/10/2016
01/10/2017
01/10/2018</t>
  </si>
  <si>
    <t>39 năm 3 tháng</t>
  </si>
  <si>
    <t>56 tuổi 
01 tháng 15 ngày</t>
  </si>
  <si>
    <t>53</t>
  </si>
  <si>
    <t>Nguyễn Minh Đức</t>
  </si>
  <si>
    <t>4,89+5%</t>
  </si>
  <si>
    <t>4,58
4,89</t>
  </si>
  <si>
    <t>01/9/2012
'01/10/2015</t>
  </si>
  <si>
    <t>55 tuổi 01 tháng 16 ngày</t>
  </si>
  <si>
    <t>54</t>
  </si>
  <si>
    <t>Dương Thành Công</t>
  </si>
  <si>
    <t>Đại học Sư pham Toán</t>
  </si>
  <si>
    <t>Giáo viên Trường THCS Vinh Kim</t>
  </si>
  <si>
    <t>01/10/2013
'01/10/2016
01/10/2017</t>
  </si>
  <si>
    <t>35 năm</t>
  </si>
  <si>
    <t>55 tuổi 
01 tháng 18 ngày</t>
  </si>
  <si>
    <t>55</t>
  </si>
  <si>
    <t>Thạch Phu Minh</t>
  </si>
  <si>
    <t>Cao đẳng Sư phạm Sử - Chính trị</t>
  </si>
  <si>
    <t>Giáo viên Trường THCS Nhị Trường</t>
  </si>
  <si>
    <t xml:space="preserve">4,58
</t>
  </si>
  <si>
    <t xml:space="preserve">01/3/2014
</t>
  </si>
  <si>
    <t>30 năm 3 tháng</t>
  </si>
  <si>
    <t>55 tuổi 
01 tháng</t>
  </si>
  <si>
    <t>56</t>
  </si>
  <si>
    <t>Giáo viên Trường THCS Thuận Hòa</t>
  </si>
  <si>
    <t>4,89+6%</t>
  </si>
  <si>
    <t>01/9/2012
01/9/2015
01/9/2018</t>
  </si>
  <si>
    <t>50 tuổi 11 tháng 27 ngày</t>
  </si>
  <si>
    <t>57</t>
  </si>
  <si>
    <t>Nguyễn Kim Phượng</t>
  </si>
  <si>
    <t>01/3/1968</t>
  </si>
  <si>
    <t>Giáo viên Trường THCS Thị trấn Cầu Ngang</t>
  </si>
  <si>
    <t>01/9/2013
'01/9/2016</t>
  </si>
  <si>
    <t>30 năm 02 tháng</t>
  </si>
  <si>
    <t>51 tuổi
 8 tháng</t>
  </si>
  <si>
    <t>58</t>
  </si>
  <si>
    <t>Võ Thị Phương Nga</t>
  </si>
  <si>
    <t>01/01/1969</t>
  </si>
  <si>
    <t>Giáo viên Trường THCS Long Sơn</t>
  </si>
  <si>
    <t>01/02/2019</t>
  </si>
  <si>
    <t>01/01/2012
01/01/2015</t>
  </si>
  <si>
    <t>28 năm</t>
  </si>
  <si>
    <t>50 tuổi 
11 tháng</t>
  </si>
  <si>
    <t>59</t>
  </si>
  <si>
    <t>Thạch Thiên</t>
  </si>
  <si>
    <t>Nhân viên Thư viện - Thiết bị
Trường Tiểu học Nhị Trường A</t>
  </si>
  <si>
    <t>01/11/203
01/11/2014
01/11/2015
01/11/2016
01/11/2017</t>
  </si>
  <si>
    <t>29 năm
10 tháng</t>
  </si>
  <si>
    <t>51 tuổi
 4 tháng</t>
  </si>
  <si>
    <t>60</t>
  </si>
  <si>
    <t>Phạm Thị Rảng</t>
  </si>
  <si>
    <t>Cử nhân Sư phạm Tiểu học</t>
  </si>
  <si>
    <t>Giáo viên Trường Tiểu học Mỹ Long Nam B</t>
  </si>
  <si>
    <t>3,66
3,86
4,06</t>
  </si>
  <si>
    <t>01/10/2012
01/10/2014
01/10/2016</t>
  </si>
  <si>
    <t>25 năm
5 tháng</t>
  </si>
  <si>
    <t>49 tuổi
7 tháng 
10 ngày</t>
  </si>
  <si>
    <t>61</t>
  </si>
  <si>
    <t>Cao Minh Hạnh</t>
  </si>
  <si>
    <t>4,06
4,06+5%
4,06+6%
4,06+7%
4,06+8%</t>
  </si>
  <si>
    <t>01/9/2012
01/9/2014
01/9/2015
01/9/2016
01/9/2017</t>
  </si>
  <si>
    <t>31 năm 9 tháng</t>
  </si>
  <si>
    <t>50 tuổi 
10 tháng 13 ngày</t>
  </si>
  <si>
    <t>62</t>
  </si>
  <si>
    <t>Ngô Thị Hà</t>
  </si>
  <si>
    <t>19/10/1967</t>
  </si>
  <si>
    <t>Trung cấp mầm non</t>
  </si>
  <si>
    <t>Giáo viên Trường Mẫu giáo Kim Hòa</t>
  </si>
  <si>
    <t>01/7/2018</t>
  </si>
  <si>
    <t>29 năm 9 tháng</t>
  </si>
  <si>
    <t>51 tuổi 11 tháng 12 ngày</t>
  </si>
  <si>
    <t>63</t>
  </si>
  <si>
    <t>Thạch Lê Thanh</t>
  </si>
  <si>
    <t>17/12/1963</t>
  </si>
  <si>
    <t>Trung cấp chuyên nghiệp</t>
  </si>
  <si>
    <t>8%</t>
  </si>
  <si>
    <t>01/10/2013
01/10/2015
01/10/2016
01/10/2017</t>
  </si>
  <si>
    <t>26 năm 10 tháng</t>
  </si>
  <si>
    <t>55 tuổi 8 tháng 14 ngày</t>
  </si>
  <si>
    <t>64</t>
  </si>
  <si>
    <t xml:space="preserve">Thạch Huỳnh </t>
  </si>
  <si>
    <t>08/7/1964</t>
  </si>
  <si>
    <t xml:space="preserve">
4,06+5%
4,06+6%
4,06+7%
4,06+8%</t>
  </si>
  <si>
    <t xml:space="preserve">
01/10/2014
01/10/2015
01/10/2016
01/10/2017</t>
  </si>
  <si>
    <t>34 năm</t>
  </si>
  <si>
    <t>55 tuổi 01 tháng 23 ngày</t>
  </si>
  <si>
    <t>65</t>
  </si>
  <si>
    <t>Dương Quang Tôn</t>
  </si>
  <si>
    <t>01/01/1970</t>
  </si>
  <si>
    <t>Cử nhân 
Giáo dục tiểu học</t>
  </si>
  <si>
    <t>Nhân viên Y tế - Thủ quỹ Trường Tiểu học thị trấn Mỹ Long</t>
  </si>
  <si>
    <t>01/12/2018</t>
  </si>
  <si>
    <t>01/7/2012
 đến 01/7/2018</t>
  </si>
  <si>
    <t>01/12/2015</t>
  </si>
  <si>
    <t>49 tuổi 11 tháng</t>
  </si>
  <si>
    <t>66</t>
  </si>
  <si>
    <t>Nguyễn Văn Tân</t>
  </si>
  <si>
    <t>03/8/1966</t>
  </si>
  <si>
    <t>Trung cấp 
Sư phạm thể dục</t>
  </si>
  <si>
    <t xml:space="preserve">Nhân viên y tế Trường THCS Nhị Trường </t>
  </si>
  <si>
    <t>01/9/2014
01/9/2015
01/9/2016
01/9/2017
01/9/2018</t>
  </si>
  <si>
    <t>53 tuổi 3 tháng 28 ngày</t>
  </si>
  <si>
    <t>67</t>
  </si>
  <si>
    <t>Trương Thị Thanh Lan</t>
  </si>
  <si>
    <t>Cử nhân 
mầm non</t>
  </si>
  <si>
    <t xml:space="preserve">Giáo viên Trường 
Mẫu giáo Nhị Trường
</t>
  </si>
  <si>
    <t>4.06+13%</t>
  </si>
  <si>
    <t>0,20</t>
  </si>
  <si>
    <t>01/10/2012 đến 
31/8/2015</t>
  </si>
  <si>
    <t>32%</t>
  </si>
  <si>
    <t xml:space="preserve">4,06+9%
4,06+10%
4,06+11%
4,06+12%
4,06+13%
</t>
  </si>
  <si>
    <t xml:space="preserve">01/10/2014
01/10/2015
01/10/2016
01/10/2017
01/10/2018
</t>
  </si>
  <si>
    <t>52 tuổi 02 tháng 6 ngày</t>
  </si>
  <si>
    <t>68</t>
  </si>
  <si>
    <t>Trần Thị Ngọc Dung</t>
  </si>
  <si>
    <t>01/5/1967</t>
  </si>
  <si>
    <t>Cử nhân giáo dục tiểu học</t>
  </si>
  <si>
    <t>Giáo viên Trường Tiểu học Hiệp Hòa B</t>
  </si>
  <si>
    <t>4,98+6%</t>
  </si>
  <si>
    <t>01/12/2014 đến 
01/11/2019</t>
  </si>
  <si>
    <t>4,65
4,98
4,98+5%</t>
  </si>
  <si>
    <t>01/10/2012
'01/9/2015
01/9/2018</t>
  </si>
  <si>
    <t>52 tuổi 7 tháng</t>
  </si>
  <si>
    <t>69</t>
  </si>
  <si>
    <t>Thạch Minh Trí</t>
  </si>
  <si>
    <t>01/12/2014
đến 01/8/2016</t>
  </si>
  <si>
    <t xml:space="preserve">4,06+8%
4,06+9%
4,06+10%
4,06+11%
</t>
  </si>
  <si>
    <t>35 năm 3 tháng</t>
  </si>
  <si>
    <t>70</t>
  </si>
  <si>
    <t>Trần Thị Lòng</t>
  </si>
  <si>
    <t>Giáo viên Trường Tiểu học Hiệp Mỹ Tây A</t>
  </si>
  <si>
    <t>24 năm 01 tháng</t>
  </si>
  <si>
    <t>52 tuổi 9 tháng 11 ngày</t>
  </si>
  <si>
    <t>71</t>
  </si>
  <si>
    <t>Đỗ Thị Hạnh</t>
  </si>
  <si>
    <t>07/10/1968</t>
  </si>
  <si>
    <t>27 năm 02 tháng</t>
  </si>
  <si>
    <t>51 tuổi 01 tháng 24 ngày</t>
  </si>
  <si>
    <t>72</t>
  </si>
  <si>
    <t>Trầm Song Hiệp</t>
  </si>
  <si>
    <t>Cao đẳng 
Sư phạm thể dục</t>
  </si>
  <si>
    <t>Giáo viên Trường THCS Hiệp Mỹ Đông</t>
  </si>
  <si>
    <t>01/4/2013
01/4/2016</t>
  </si>
  <si>
    <t>38 năm 3 tháng</t>
  </si>
  <si>
    <t>55 tuổi 6 tháng 21 ngày</t>
  </si>
  <si>
    <t>73</t>
  </si>
  <si>
    <t>Trần Kim Huyên</t>
  </si>
  <si>
    <t xml:space="preserve">Giáo viên Trường Tiểu học Trường Thọ A </t>
  </si>
  <si>
    <t>4,06+6%
4,06+7%
4,06+8%
4,06+9%
4,06+10%</t>
  </si>
  <si>
    <t>29 năm 3 tháng</t>
  </si>
  <si>
    <t>50 tuổi 7 tháng 5 ngày</t>
  </si>
  <si>
    <t>74</t>
  </si>
  <si>
    <t>Thạch Rồng</t>
  </si>
  <si>
    <t>Giáo viên Trường Tiểu học Trường Thọ B</t>
  </si>
  <si>
    <t>55 tuổi 01 tháng 11 ngày</t>
  </si>
  <si>
    <t>75</t>
  </si>
  <si>
    <t>Nguyễn Thành Phúc</t>
  </si>
  <si>
    <t>09/5/1963</t>
  </si>
  <si>
    <t xml:space="preserve">Giáo viên Trường 
Tiểu học
Vinh Kim B
</t>
  </si>
  <si>
    <t>01/10/2012
01/10/2015</t>
  </si>
  <si>
    <t>39 năm 4 tháng</t>
  </si>
  <si>
    <t>56 tuổi 6 tháng 22 ngày</t>
  </si>
  <si>
    <t>76</t>
  </si>
  <si>
    <t>Trần Ngọc Hiến</t>
  </si>
  <si>
    <t>Cao đẳng
 Sư phạm văn</t>
  </si>
  <si>
    <t xml:space="preserve">01/11/2013
01/11/2016 </t>
  </si>
  <si>
    <t>27 năm 01 tháng</t>
  </si>
  <si>
    <t>56 tuổi 11 tháng 9 ngày</t>
  </si>
  <si>
    <t>77</t>
  </si>
  <si>
    <t>Lê Thanh Tâm</t>
  </si>
  <si>
    <t>Cao đẳng
 Sư phạm Sinh - Hóa</t>
  </si>
  <si>
    <t>Giáo viên Trường THCS Nguyễn Văn Cống</t>
  </si>
  <si>
    <t>4,89+16%</t>
  </si>
  <si>
    <t>4,89+11%
4,89+12%
4,89+13%
4,89+14%
4,89+15%</t>
  </si>
  <si>
    <t>01/12/2014
01/10/2015
01/10/2016
01/10/2017
01/10/2018</t>
  </si>
  <si>
    <t>57 tuổi 01 tháng 16 ngày</t>
  </si>
  <si>
    <t>78</t>
  </si>
  <si>
    <t>Thạch Thị Ngọc Lan</t>
  </si>
  <si>
    <t>Trung cấp
 sư phạm 12+2</t>
  </si>
  <si>
    <t>Giáo viên Trường Tiểu học - THCS Thuận Hòa</t>
  </si>
  <si>
    <t>01/10/2013
01/10/2015
01/10/2017
01/10/2018</t>
  </si>
  <si>
    <t>51 tuổi 01 tháng 12 ngày</t>
  </si>
  <si>
    <t>79</t>
  </si>
  <si>
    <t>Sơn Thị Ngọc Dung</t>
  </si>
  <si>
    <t>09/10/1969</t>
  </si>
  <si>
    <t>Trung cấp 
Sư phạm 9+3</t>
  </si>
  <si>
    <t xml:space="preserve">01/10/2013
01/10/2015
01/10/2016
01/10/2017
01/10/2018 </t>
  </si>
  <si>
    <t>31 năm</t>
  </si>
  <si>
    <t>80</t>
  </si>
  <si>
    <t>Võ Thanh Hòa</t>
  </si>
  <si>
    <t>50 tuổi 9 tháng 9 ngày</t>
  </si>
  <si>
    <t>81</t>
  </si>
  <si>
    <t>Khiêu Văn Sáng</t>
  </si>
  <si>
    <t>Cao đẳng
 Sư phạm Hóa Sinh</t>
  </si>
  <si>
    <t>Giáo viên Trường THCS Thị trấn Mỹ Long</t>
  </si>
  <si>
    <t>4,89+13%</t>
  </si>
  <si>
    <t>4,06+9%
4,06+10%
4,06+11%
4,06+12%</t>
  </si>
  <si>
    <t>36 năm 3 tháng</t>
  </si>
  <si>
    <t>56 tuổi 13 ngày</t>
  </si>
  <si>
    <t>82</t>
  </si>
  <si>
    <t>Kim Thị Ngọc Anh</t>
  </si>
  <si>
    <t>Cao đẳng
 Sư phạm tiểu học</t>
  </si>
  <si>
    <t>Giáo viên Trường Tiểu học Thạnh Hòa Sơn A</t>
  </si>
  <si>
    <t>34 năm 3 tháng</t>
  </si>
  <si>
    <t>51 tuổi 11 tháng 19 ngày</t>
  </si>
  <si>
    <t>83</t>
  </si>
  <si>
    <t>Nguyễn Thị Mỹ Lan</t>
  </si>
  <si>
    <t>Trung cấp
 Sư phạm 9+3</t>
  </si>
  <si>
    <t xml:space="preserve">Giáo viên Trường Tiểu học Mỹ Long Bắc </t>
  </si>
  <si>
    <t>50 tuổi 01 tháng 21 ngày</t>
  </si>
  <si>
    <t>84</t>
  </si>
  <si>
    <t>Trương Minh Sơn</t>
  </si>
  <si>
    <t>Nhân viên Bảo vệ Trường Tiểu học Hiệp Hòa B</t>
  </si>
  <si>
    <t>2,98+10%</t>
  </si>
  <si>
    <t xml:space="preserve">2,98+6%
2,98+7%
2,98+8%
2,98+9% </t>
  </si>
  <si>
    <t>01/9/2015
01/9/2016
01/9/2017
01/9/2018</t>
  </si>
  <si>
    <t>22 năm</t>
  </si>
  <si>
    <t>57 tuổi
 07 ngày</t>
  </si>
  <si>
    <t>85</t>
  </si>
  <si>
    <t>Lâm Tấn Lợi</t>
  </si>
  <si>
    <t>06/10/1964</t>
  </si>
  <si>
    <t>Nhân viên Bảo vệ Trường Tiểu học Mỹ Long Bắc</t>
  </si>
  <si>
    <t>2,98+9%</t>
  </si>
  <si>
    <t>2,98+5%
2,98+6%
2,98+7%
2,98+8%</t>
  </si>
  <si>
    <t>01/12/2014
01/10/2015
01/10/2016
01/10/2017</t>
  </si>
  <si>
    <t>21 năm 3 tháng</t>
  </si>
  <si>
    <t>55 tuổi
 01 tháng 25 ngày</t>
  </si>
  <si>
    <t>86</t>
  </si>
  <si>
    <t>Lê Tuấn Anh</t>
  </si>
  <si>
    <t>09/2/1980</t>
  </si>
  <si>
    <t>Lái xe</t>
  </si>
  <si>
    <t>Lái xe Văn phòng Huyện ủy</t>
  </si>
  <si>
    <t>10 năm 6 tháng</t>
  </si>
  <si>
    <t>38 tuổi 9 tháng 19 ngày</t>
  </si>
  <si>
    <t>01/07/2019</t>
  </si>
  <si>
    <t>87</t>
  </si>
  <si>
    <t>Dương Văn Minh</t>
  </si>
  <si>
    <t>14/7/1963</t>
  </si>
  <si>
    <t>Trung cấp 
chính trị</t>
  </si>
  <si>
    <t>Công chức
 Tư pháp - Hộ tịch 
xã Kim Hòa</t>
  </si>
  <si>
    <t>3,26</t>
  </si>
  <si>
    <t>01/5/2017</t>
  </si>
  <si>
    <t>01/11/2012
- 01/6/2016</t>
  </si>
  <si>
    <t>2,86
3,06
3,26</t>
  </si>
  <si>
    <t>01/5/2013
01/5/2015
01/5/2017</t>
  </si>
  <si>
    <t>32 năm 7 tháng</t>
  </si>
  <si>
    <t>55 tuổi 11 tháng 17 ngày</t>
  </si>
  <si>
    <t>V</t>
  </si>
  <si>
    <t>88</t>
  </si>
  <si>
    <t>Thạch Ngọc Giàu</t>
  </si>
  <si>
    <t>15/8/1962</t>
  </si>
  <si>
    <t>Trung cấp Chính trị - hành chính</t>
  </si>
  <si>
    <t>Chủ tịch Hội Nông dân xã Đôn Châu</t>
  </si>
  <si>
    <t>01/7/2017</t>
  </si>
  <si>
    <t>0,25
0,15</t>
  </si>
  <si>
    <t>01/01/2014
01/7/2018</t>
  </si>
  <si>
    <t>01/11/2012
01/01/2015
01/01/2017</t>
  </si>
  <si>
    <t xml:space="preserve">18 năm 06 tháng </t>
  </si>
  <si>
    <t>56 tuổi 6 tháng 16 ngày</t>
  </si>
  <si>
    <t>89</t>
  </si>
  <si>
    <t>Phạm Anh Chuyển</t>
  </si>
  <si>
    <t>18/5/1964</t>
  </si>
  <si>
    <t>Cao cấp lý luận chính trị</t>
  </si>
  <si>
    <t>Phó Trưởng ban Tuyên giáo Huyện ủy</t>
  </si>
  <si>
    <t>4,98</t>
  </si>
  <si>
    <t>01/11/2013</t>
  </si>
  <si>
    <t>55 tuổi 01 tháng 13 ngày</t>
  </si>
  <si>
    <t>90</t>
  </si>
  <si>
    <t>Thạch Long</t>
  </si>
  <si>
    <t>Nhân viên bảo vệ Trường Tiểu học Ngũ Lạc A</t>
  </si>
  <si>
    <t>2,04</t>
  </si>
  <si>
    <t>1,68
1,86</t>
  </si>
  <si>
    <t>01/3/2014
01/3/2016</t>
  </si>
  <si>
    <t>11 năm
 6 tháng</t>
  </si>
  <si>
    <t>57 tuổi
 6 tháng</t>
  </si>
  <si>
    <t>91</t>
  </si>
  <si>
    <t>Dương Ngọc Chung</t>
  </si>
  <si>
    <t>Nhân viên bảo vệ Trường Tiểu học Ngũ Lạc B</t>
  </si>
  <si>
    <t>10 năm 
6 tháng</t>
  </si>
  <si>
    <t>57 tuổi 
6 tháng</t>
  </si>
  <si>
    <t>92</t>
  </si>
  <si>
    <t>Nguyễn Thị Thanh Loan</t>
  </si>
  <si>
    <t>Đại học
 Kế toán</t>
  </si>
  <si>
    <t>Nhân viên kế toán Trường Tiểu học Đông Hải A</t>
  </si>
  <si>
    <t>2,67</t>
  </si>
  <si>
    <t>2,34</t>
  </si>
  <si>
    <t>01/9/20015</t>
  </si>
  <si>
    <t>4 năm 
10 tháng</t>
  </si>
  <si>
    <t>30 tuổi
 5 tháng 02 ngày</t>
  </si>
  <si>
    <t>93</t>
  </si>
  <si>
    <t>Vưu Quốc Hiền</t>
  </si>
  <si>
    <t>Nhân viên bảo vệ Trường Tiểu học Đông Hải A</t>
  </si>
  <si>
    <t>01/3/2014
'01/3/2016</t>
  </si>
  <si>
    <t>7 năm 
4 tháng</t>
  </si>
  <si>
    <t>30 tuổi
 25 ngày</t>
  </si>
  <si>
    <t>94</t>
  </si>
  <si>
    <t>Phan Văn Non</t>
  </si>
  <si>
    <t>01/01/1979</t>
  </si>
  <si>
    <t>6/12</t>
  </si>
  <si>
    <t>Nhân viên bảo vệ Trường Tiểu học Đông Hải B</t>
  </si>
  <si>
    <t xml:space="preserve">11 năm
 6 tháng </t>
  </si>
  <si>
    <t>40 tuổi
 6 tháng</t>
  </si>
  <si>
    <t>95</t>
  </si>
  <si>
    <t>Nguyễn Thanh Dũng</t>
  </si>
  <si>
    <t>Đại học Kinh tế Nông nghiệp</t>
  </si>
  <si>
    <t>Phó Chủ tịch Hội Chữ thập đỏ</t>
  </si>
  <si>
    <t>0,15
0,20</t>
  </si>
  <si>
    <t>01/4/2014
01/11/2017</t>
  </si>
  <si>
    <t>6%</t>
  </si>
  <si>
    <t>4,98
4,98+5%
4,98+6%
4,98+7%</t>
  </si>
  <si>
    <t>01/4/2014
01/3/2017
01/3/2018
01/3/2019</t>
  </si>
  <si>
    <t>31 năm 04 tháng</t>
  </si>
  <si>
    <t>56 tuổi 06 tháng 16 ngày</t>
  </si>
  <si>
    <t>VI</t>
  </si>
  <si>
    <t>96</t>
  </si>
  <si>
    <t>Nguyễn Văn Hảo</t>
  </si>
  <si>
    <t>22/10/1961</t>
  </si>
  <si>
    <t>Giáo viên dạy lớp Trường Tiểu học Huyền Hội A</t>
  </si>
  <si>
    <t>36%</t>
  </si>
  <si>
    <t>38 năm 08 tháng</t>
  </si>
  <si>
    <t>57 tuổi 07 tháng 09 ngày</t>
  </si>
  <si>
    <t>97</t>
  </si>
  <si>
    <t>Nguyễn Thị Lệ Dung</t>
  </si>
  <si>
    <t>25/4/1968</t>
  </si>
  <si>
    <t>Cử nhân Mầm non</t>
  </si>
  <si>
    <t>Giáo viên dạy lớp Trường Mẫu giáo Tuổi Ngọc</t>
  </si>
  <si>
    <t xml:space="preserve"> 01/8/2017</t>
  </si>
  <si>
    <t>01/5/2014
01/01/2015
01/01/2016
01/01/2017
01/01/2018</t>
  </si>
  <si>
    <t>31 năm 06 tháng</t>
  </si>
  <si>
    <t>51 tuổi 05 ngày</t>
  </si>
  <si>
    <t>98</t>
  </si>
  <si>
    <t>Nguyễn Thị Điệp</t>
  </si>
  <si>
    <t>24/4/1968</t>
  </si>
  <si>
    <t>Trung học sư phạm Mầm non</t>
  </si>
  <si>
    <t>Giáo viên dạy lớp Trường Mẫu giáo Tuổi Ngọc</t>
  </si>
  <si>
    <t>30/4/2014
01/10/2015
01/10/2016
01/10/2017
01/10/2018</t>
  </si>
  <si>
    <t>31 năm 08 tháng</t>
  </si>
  <si>
    <t>51 tuổi 06 ngày</t>
  </si>
  <si>
    <t>99</t>
  </si>
  <si>
    <t>Phạm Thị Kim Em</t>
  </si>
  <si>
    <t>20/11/1968</t>
  </si>
  <si>
    <t>Cao đẳng sư phạm Toán</t>
  </si>
  <si>
    <t>Giáo viên dạy lớp Trường THCS Nhị Long</t>
  </si>
  <si>
    <t>01/10/2015</t>
  </si>
  <si>
    <t xml:space="preserve"> 01/10/2017</t>
  </si>
  <si>
    <t>3,96
4,27</t>
  </si>
  <si>
    <t>01/02/2014
01/10/2015</t>
  </si>
  <si>
    <t>24 năm 04 tháng</t>
  </si>
  <si>
    <t>50 tuổi 02 tháng 11 ngày</t>
  </si>
  <si>
    <t>100</t>
  </si>
  <si>
    <t>Nguyễn Thị Chi</t>
  </si>
  <si>
    <t>20/12/1967</t>
  </si>
  <si>
    <t>Giáo viên dạy lớp Trường Mẫu giáo Sơn Ca</t>
  </si>
  <si>
    <t>3,99</t>
  </si>
  <si>
    <t xml:space="preserve"> 01/7/2017</t>
  </si>
  <si>
    <t>3,66
3,99</t>
  </si>
  <si>
    <t>23 năm 04 tháng</t>
  </si>
  <si>
    <t>51 tuổi 01 tháng 11 ngày</t>
  </si>
  <si>
    <t>101</t>
  </si>
  <si>
    <t>Nguyễn Hữu Việt</t>
  </si>
  <si>
    <t>19/9/1962</t>
  </si>
  <si>
    <t>Giáo viên dạy lớp Trường Tiểu học Tân Bình B</t>
  </si>
  <si>
    <t>4,06+10%
4,06+11%
4,06+12%
4,06+13%
4,06+14%
4,06+15%</t>
  </si>
  <si>
    <t>01/02/2014
01/01/2015
01/01/2016
01/01/2017
01/01/2018
01/01/2019</t>
  </si>
  <si>
    <t>38 năm 05 tháng</t>
  </si>
  <si>
    <t>56 tuổi 04 tháng 12 ngày</t>
  </si>
  <si>
    <t>102</t>
  </si>
  <si>
    <t>Thạch Usa</t>
  </si>
  <si>
    <t>09/6/1961</t>
  </si>
  <si>
    <t>Cử nhân Giáo dục Tiểu học</t>
  </si>
  <si>
    <t>Giáo viên dạy lớp Trường Tiểu học Phương Thạnh A</t>
  </si>
  <si>
    <t>01/6/2014
01/10/2014
01/10/2015
01/10/2016
01/10/2017
01/10/2018</t>
  </si>
  <si>
    <t>36 năm 08 tháng</t>
  </si>
  <si>
    <t>57 tuổi 11 tháng 22 ngày</t>
  </si>
  <si>
    <t>103</t>
  </si>
  <si>
    <t xml:space="preserve">Hồ Phúc Minh </t>
  </si>
  <si>
    <t>28/02/1963</t>
  </si>
  <si>
    <t>Cử nhân
 Giáo dục tiểu học</t>
  </si>
  <si>
    <t>Giáo viên Trường Tiểu học Tân An A</t>
  </si>
  <si>
    <t>4,06+7%
4,06+8%
4,06+9%
4,06+10%</t>
  </si>
  <si>
    <t>01/10/2014
01/01/2015
01/01/2016
01/01/2017</t>
  </si>
  <si>
    <t>39 năm</t>
  </si>
  <si>
    <t>56 tuổi 7 tháng 3 ngày</t>
  </si>
  <si>
    <t>104</t>
  </si>
  <si>
    <t>Nguyễn Văn Khiêm</t>
  </si>
  <si>
    <t>Cao đẳng Sư phạm</t>
  </si>
  <si>
    <t>Giáo viên Trường THCS Huyền Hội</t>
  </si>
  <si>
    <t>01/10/2014
01/10/2015</t>
  </si>
  <si>
    <t>33 năm 9 tháng</t>
  </si>
  <si>
    <t>55 tuổi 9 tháng 8 ngày</t>
  </si>
  <si>
    <t>105</t>
  </si>
  <si>
    <t>Đoàn Văn Thông</t>
  </si>
  <si>
    <t>05/01/1963</t>
  </si>
  <si>
    <t>Hiệu trưởngTrường Tiểu học thị trấn Càng Long C</t>
  </si>
  <si>
    <t>4,06+6%
4,06+7%
4,06+8%
4,06+9%</t>
  </si>
  <si>
    <t>01/12/2014
01/12/2015
01/12/2016
01/12/2017</t>
  </si>
  <si>
    <t>28 năm 9 tháng</t>
  </si>
  <si>
    <t>56 tuổi 6 tháng 26 ngày</t>
  </si>
  <si>
    <t>106</t>
  </si>
  <si>
    <t xml:space="preserve"> Đoàn Văn Thiểu</t>
  </si>
  <si>
    <t>Đại học Sư phạm</t>
  </si>
  <si>
    <t>Giáo viên Trường Tiểu học Mỹ Cẩm A</t>
  </si>
  <si>
    <t>0.2
0.15</t>
  </si>
  <si>
    <t>01/01/2013
01/9/2018</t>
  </si>
  <si>
    <t xml:space="preserve">
31%</t>
  </si>
  <si>
    <t xml:space="preserve">
01/6/2019</t>
  </si>
  <si>
    <t xml:space="preserve">
3,99
4,32
</t>
  </si>
  <si>
    <t xml:space="preserve">01/01/2013
01/01/2016
</t>
  </si>
  <si>
    <t>55 tuổi 02 tháng 14 ngày</t>
  </si>
  <si>
    <t>107</t>
  </si>
  <si>
    <t>Lê  Quốc Văn</t>
  </si>
  <si>
    <t xml:space="preserve"> 12/4/1963</t>
  </si>
  <si>
    <t>Trung cấp Sư phạm</t>
  </si>
  <si>
    <t>Giáo viên Trường Tiểu học Mỹ Cẩm B</t>
  </si>
  <si>
    <t>01/6/2015</t>
  </si>
  <si>
    <t xml:space="preserve">
33%</t>
  </si>
  <si>
    <t xml:space="preserve">
01/5/2018</t>
  </si>
  <si>
    <t xml:space="preserve">
14%</t>
  </si>
  <si>
    <t xml:space="preserve">
01/10/2018</t>
  </si>
  <si>
    <t>4,06+10%
4,06+11%
4,06+12%
4,06+13%</t>
  </si>
  <si>
    <t>35 năm 2 tháng</t>
  </si>
  <si>
    <t>56 tuổi 5 tháng 19 ngày</t>
  </si>
  <si>
    <t>108</t>
  </si>
  <si>
    <t>Nguyễn Thành Ngôn</t>
  </si>
  <si>
    <t>Đại học Sư phạm Tiếng Anh</t>
  </si>
  <si>
    <t>Giáo viên Trường THCS Nhị Long</t>
  </si>
  <si>
    <t xml:space="preserve">
28%</t>
  </si>
  <si>
    <t xml:space="preserve">
01/9/2018</t>
  </si>
  <si>
    <t xml:space="preserve">
7%</t>
  </si>
  <si>
    <t xml:space="preserve">
4.98
4.98+5%
4.98+6%
</t>
  </si>
  <si>
    <t xml:space="preserve">
01/10/2013
01/10/2016
01/10/2017
</t>
  </si>
  <si>
    <t>31 năm 01 tháng</t>
  </si>
  <si>
    <t>55 tuổi 11 tháng 10 ngày</t>
  </si>
  <si>
    <t>109</t>
  </si>
  <si>
    <t>Lý Công Uẩn</t>
  </si>
  <si>
    <t>01/02/1962</t>
  </si>
  <si>
    <t>Cao đẳng Sư phạm Mỹ thuật</t>
  </si>
  <si>
    <t>Giáo viên Trường Tiểu học Nhị Long</t>
  </si>
  <si>
    <t>4,89+8%</t>
  </si>
  <si>
    <t xml:space="preserve">
35%</t>
  </si>
  <si>
    <t xml:space="preserve">
01/06/2018</t>
  </si>
  <si>
    <t xml:space="preserve">
8%</t>
  </si>
  <si>
    <t xml:space="preserve">
01/01/2019</t>
  </si>
  <si>
    <t xml:space="preserve">4,89
4,89+5%
4,89+6%
4,89+7%
</t>
  </si>
  <si>
    <t xml:space="preserve">01/01/2013
01/01/2016
01/01/2017
01/01/2018
</t>
  </si>
  <si>
    <t>37 năm 01 tháng</t>
  </si>
  <si>
    <t>57 tuổi 8 tháng</t>
  </si>
  <si>
    <t>110</t>
  </si>
  <si>
    <t>Nguyễn Thị Hồng</t>
  </si>
  <si>
    <t>07/5/1968</t>
  </si>
  <si>
    <t>Sư phạm 9+3</t>
  </si>
  <si>
    <t>Giáo viên Trường Tiểu học Tân Bình B</t>
  </si>
  <si>
    <t>01/01/2013</t>
  </si>
  <si>
    <t xml:space="preserve">
32%
</t>
  </si>
  <si>
    <t xml:space="preserve">
01/07/2018</t>
  </si>
  <si>
    <t xml:space="preserve">
9%</t>
  </si>
  <si>
    <t xml:space="preserve">
01/09/2018</t>
  </si>
  <si>
    <t xml:space="preserve">
4,06+5%
4,06+6%
4,06+7%
4,06+8%
</t>
  </si>
  <si>
    <t xml:space="preserve">
01/09/2014
01/09/2015
01/09/2016
01/09/2017
</t>
  </si>
  <si>
    <t>51 tuổi 04 tháng 23 ngày</t>
  </si>
  <si>
    <t>111</t>
  </si>
  <si>
    <t>Phạm Thị Gọn</t>
  </si>
  <si>
    <t>09/7/1968</t>
  </si>
  <si>
    <t>Giáo viên Trường THCS B An Trường</t>
  </si>
  <si>
    <t xml:space="preserve">
 30%</t>
  </si>
  <si>
    <t xml:space="preserve">
01/08/2018</t>
  </si>
  <si>
    <t xml:space="preserve">4,65
</t>
  </si>
  <si>
    <t xml:space="preserve">01/7/2014
</t>
  </si>
  <si>
    <t>51 tuổi 
02 tháng 22 ngày</t>
  </si>
  <si>
    <t>112</t>
  </si>
  <si>
    <t>Lê Quốc Hùng</t>
  </si>
  <si>
    <t>01/11/1962</t>
  </si>
  <si>
    <t>Giáo viên Trường Tiểu học Tân Bình A</t>
  </si>
  <si>
    <t xml:space="preserve">4,06+5%
 4,06+6%
4,06+7%
4,06+8%
</t>
  </si>
  <si>
    <t xml:space="preserve">01/10/2014
01/10/2015
01/10/2016
01/10/2017
</t>
  </si>
  <si>
    <t>34 năm 10 tháng</t>
  </si>
  <si>
    <t>56 tuổi 
11 tháng</t>
  </si>
  <si>
    <t>113</t>
  </si>
  <si>
    <t>Nguyễn  Ngọc Phương</t>
  </si>
  <si>
    <t>Giáo viên Trường Tiểu học Huyền Hội B</t>
  </si>
  <si>
    <t>01/10/2004 đến nay</t>
  </si>
  <si>
    <t xml:space="preserve">
34%</t>
  </si>
  <si>
    <t xml:space="preserve">4,32
4,65
</t>
  </si>
  <si>
    <t xml:space="preserve">01/10/2012
01/10/2015
</t>
  </si>
  <si>
    <t>10.724</t>
  </si>
  <si>
    <t>55 tuổi 
9 tháng 9 ngày</t>
  </si>
  <si>
    <t>114</t>
  </si>
  <si>
    <t>Lê Thị Mỹ Phương</t>
  </si>
  <si>
    <t>07/9/1967</t>
  </si>
  <si>
    <t>Cử nhân Giáo dục mầm non</t>
  </si>
  <si>
    <t>Giáo viên Trường Mẫu giáo Hoa Sen</t>
  </si>
  <si>
    <t xml:space="preserve">
0,5</t>
  </si>
  <si>
    <t xml:space="preserve">
01/10/2012 đến 30/10/2012</t>
  </si>
  <si>
    <t xml:space="preserve">
19%</t>
  </si>
  <si>
    <t xml:space="preserve">2,26
3,46
3,66
</t>
  </si>
  <si>
    <t xml:space="preserve">01/11/2012
01/11/2014
01/11/2016
</t>
  </si>
  <si>
    <t>20 năm 11 tháng</t>
  </si>
  <si>
    <t>52 tuổi 
23 ngày</t>
  </si>
  <si>
    <t>115</t>
  </si>
  <si>
    <t>Nguyễn Thị Út</t>
  </si>
  <si>
    <t>05/02/1968</t>
  </si>
  <si>
    <t xml:space="preserve">4,27
4,58
</t>
  </si>
  <si>
    <t>32 năm 9 tháng</t>
  </si>
  <si>
    <t>51 tuổi 
7 tháng 26 ngày</t>
  </si>
  <si>
    <t>116</t>
  </si>
  <si>
    <t>Nguyễn Thị Kim Phụng</t>
  </si>
  <si>
    <t>Giáo viên Trưởng Tiểu học Tân An A</t>
  </si>
  <si>
    <t xml:space="preserve">
25%</t>
  </si>
  <si>
    <t xml:space="preserve">
01/6/2018</t>
  </si>
  <si>
    <t>3,86
4,06
4,06 +5%
4,06+6%</t>
  </si>
  <si>
    <t>01/10/2013
01/10/2015
01/01/2017
01/01/2018</t>
  </si>
  <si>
    <t>51 tuổi
 22 ngày</t>
  </si>
  <si>
    <t>117</t>
  </si>
  <si>
    <t>Hồ Thị Dung</t>
  </si>
  <si>
    <t>08/11/1966</t>
  </si>
  <si>
    <t>Giáo viên Trường Tiểu học B An Trường</t>
  </si>
  <si>
    <t xml:space="preserve">
01/8/2018</t>
  </si>
  <si>
    <t xml:space="preserve">
10%</t>
  </si>
  <si>
    <t>4.06+6%
 4.06+7%
'4.06+8%
'4.06+9%</t>
  </si>
  <si>
    <t>6.513</t>
  </si>
  <si>
    <t>36 năm 7 tháng</t>
  </si>
  <si>
    <t>52 tuổi
 10 tháng 23 ngày</t>
  </si>
  <si>
    <t>118</t>
  </si>
  <si>
    <t>Nguyễn Thị Mỹ Dung</t>
  </si>
  <si>
    <t>Giáo viên Trường Tiểu học Nhị Long Phú</t>
  </si>
  <si>
    <t>4,06 +8%</t>
  </si>
  <si>
    <t>0.2
0.15
0.18
0.15</t>
  </si>
  <si>
    <t>01/01/2013
01/10/2016
01/10/2018
01/11/2018</t>
  </si>
  <si>
    <t xml:space="preserve">
01/11/2018</t>
  </si>
  <si>
    <t xml:space="preserve">4,06
4,06+5%
4,06+6%
4,06+7%
</t>
  </si>
  <si>
    <t xml:space="preserve">01/10/2013
01/10/2015
01/10/2016
01/10/2017
</t>
  </si>
  <si>
    <t>32 năm 8 tháng</t>
  </si>
  <si>
    <t>52 tuổi 
3 tháng 15 ngày</t>
  </si>
  <si>
    <t>119</t>
  </si>
  <si>
    <t>Đoàn Thị Phượng</t>
  </si>
  <si>
    <t>32 năm 10 tháng</t>
  </si>
  <si>
    <t>50 tuổi 
5 tháng 21 ngày</t>
  </si>
  <si>
    <t>120</t>
  </si>
  <si>
    <t>Thạch Hoa</t>
  </si>
  <si>
    <t>Cử nhân Mỹ Thuật</t>
  </si>
  <si>
    <t>Giáo viên Trường Tiểu học Phương Thạnh A</t>
  </si>
  <si>
    <t>01/6/2018</t>
  </si>
  <si>
    <t>01/7/2014</t>
  </si>
  <si>
    <t>30 năm 11 tháng</t>
  </si>
  <si>
    <t>56 tuổi 5 tháng 02 ngày</t>
  </si>
  <si>
    <t>121</t>
  </si>
  <si>
    <t>Nguyễn Văn Ba</t>
  </si>
  <si>
    <t>06/02/1963</t>
  </si>
  <si>
    <t>Trung học Sư phạm</t>
  </si>
  <si>
    <t>Giáo viên Trường Tiểu học An Trường D</t>
  </si>
  <si>
    <t>37 năm 8 tháng</t>
  </si>
  <si>
    <t>56 tuổi 9 tháng 25 ngày</t>
  </si>
  <si>
    <t>122</t>
  </si>
  <si>
    <t>Nguyễn Thanh Tùng</t>
  </si>
  <si>
    <t>Giáo viên Trường Tiểu học thị trấn Càng Long A</t>
  </si>
  <si>
    <t xml:space="preserve">
01/3/2019</t>
  </si>
  <si>
    <t xml:space="preserve">
12%</t>
  </si>
  <si>
    <t xml:space="preserve">4,06 +8%
4,06 +9%
4,06+10%
4,06+11%
</t>
  </si>
  <si>
    <t>37 năm 03 tháng</t>
  </si>
  <si>
    <t>56 tuổi 10 tháng 29 ngày</t>
  </si>
  <si>
    <t>123</t>
  </si>
  <si>
    <t>Lê Thành Phúc</t>
  </si>
  <si>
    <t>Giáo viên Trường THCS Tân An</t>
  </si>
  <si>
    <t>4,89+7%</t>
  </si>
  <si>
    <t xml:space="preserve">
34%
</t>
  </si>
  <si>
    <t xml:space="preserve">
01/08/2018
</t>
  </si>
  <si>
    <t xml:space="preserve">
7%
</t>
  </si>
  <si>
    <t xml:space="preserve">
01/11/2018
</t>
  </si>
  <si>
    <t xml:space="preserve">
4,89
4,89+5%
4,89+6%
</t>
  </si>
  <si>
    <t xml:space="preserve">
01/11/2013
01/11/2016
01/11/2017
</t>
  </si>
  <si>
    <t>37 năm 04 tháng</t>
  </si>
  <si>
    <t>56  tuổi 4 tháng 12 ngày</t>
  </si>
  <si>
    <t>124</t>
  </si>
  <si>
    <t>02/4/1968</t>
  </si>
  <si>
    <t>4,58</t>
  </si>
  <si>
    <t xml:space="preserve">
29%</t>
  </si>
  <si>
    <t xml:space="preserve">
4,27
</t>
  </si>
  <si>
    <t xml:space="preserve">
01/7/2014
</t>
  </si>
  <si>
    <t>32 năm 02 tháng</t>
  </si>
  <si>
    <t>51 tuổi 7 tháng 29 ngày</t>
  </si>
  <si>
    <t>125</t>
  </si>
  <si>
    <t>Lê Thanh Nga</t>
  </si>
  <si>
    <t xml:space="preserve">
32%</t>
  </si>
  <si>
    <t xml:space="preserve">
01/08/2019</t>
  </si>
  <si>
    <t xml:space="preserve">4,06
4,06 +5%
4,06+6%
4,06+7%
</t>
  </si>
  <si>
    <t>33 năm 02 tháng</t>
  </si>
  <si>
    <t>52 tuổi 11 tháng 19 ngày</t>
  </si>
  <si>
    <t>126</t>
  </si>
  <si>
    <t>Nguyễn Thị Ngọc Huệ</t>
  </si>
  <si>
    <t>Giáo viên Trường Tiểu học Đỗ Văn Nại</t>
  </si>
  <si>
    <t xml:space="preserve">
4,06+6%
4,06+7%
4,06+8%
4,06+9%
</t>
  </si>
  <si>
    <t xml:space="preserve">
01/10/2014
01/10/2015
01/10/2016
01/10/2017
</t>
  </si>
  <si>
    <t>32 năm 4 tháng</t>
  </si>
  <si>
    <t>51 tuổi 01 tháng 16 ngày</t>
  </si>
  <si>
    <t>127</t>
  </si>
  <si>
    <t>Nguyễn Văn Dũ</t>
  </si>
  <si>
    <t>01/11/2013 
đến 01/8/2018</t>
  </si>
  <si>
    <t xml:space="preserve">
01/12/2018</t>
  </si>
  <si>
    <t xml:space="preserve">
01/12/2014
01/12/2015
01/12/2016
01/12/2017
</t>
  </si>
  <si>
    <t>55 tuổi 11 tháng</t>
  </si>
  <si>
    <t>128</t>
  </si>
  <si>
    <t>Nguyễn Thị Hằng</t>
  </si>
  <si>
    <t>02/02/1967</t>
  </si>
  <si>
    <t>Cao đẳng Giáo dục tiểu học</t>
  </si>
  <si>
    <t xml:space="preserve">
31%       </t>
  </si>
  <si>
    <t xml:space="preserve">
01/06/2018 </t>
  </si>
  <si>
    <t xml:space="preserve">
8%
</t>
  </si>
  <si>
    <t xml:space="preserve">
01/4/2019
</t>
  </si>
  <si>
    <t xml:space="preserve">4,06
4,06+5%
4,06+6%
4,06+7%
</t>
  </si>
  <si>
    <t xml:space="preserve">01/04/2014
01/04/2016
01/04/2017
01/04/2018
</t>
  </si>
  <si>
    <t>33 năm 3 tháng</t>
  </si>
  <si>
    <t>52 tuổi 9 tháng 29 ngày</t>
  </si>
  <si>
    <t>129</t>
  </si>
  <si>
    <t>Biện Văn Châu</t>
  </si>
  <si>
    <t>03/3/1963</t>
  </si>
  <si>
    <t>Trung cấp kế toán</t>
  </si>
  <si>
    <t>Kế toán, Văn thư Trường Tiểu học Phương Thạnh B</t>
  </si>
  <si>
    <t xml:space="preserve">
11%</t>
  </si>
  <si>
    <t xml:space="preserve">
01/9/2019</t>
  </si>
  <si>
    <t xml:space="preserve">4,06
4,06+7%
4,06+8%
4,06+9%
4,06+10%
</t>
  </si>
  <si>
    <t xml:space="preserve">01/9/2014
01/9/2015
01/9/2016
01/9/2017
01/9/2018
</t>
  </si>
  <si>
    <t>35 năm 11 tháng</t>
  </si>
  <si>
    <t>56 tuổi 8 tháng 28 ngày</t>
  </si>
  <si>
    <t>130</t>
  </si>
  <si>
    <t>Nguyễn Thị Ngọc Anh</t>
  </si>
  <si>
    <t>08/02/1967</t>
  </si>
  <si>
    <t>Giáo viên Trường  Tiểu học thị trấn  Càng Long A</t>
  </si>
  <si>
    <t>01/10/2012
01/01/2016</t>
  </si>
  <si>
    <t>31 năm 3 tháng</t>
  </si>
  <si>
    <t>52 tuổi 
9 tháng
 23 ngày</t>
  </si>
  <si>
    <t>131</t>
  </si>
  <si>
    <t>Ngô Thị Thu Thủy</t>
  </si>
  <si>
    <t>Giáo viên Trường THCS Bình Phú</t>
  </si>
  <si>
    <t xml:space="preserve">
01/10/2017</t>
  </si>
  <si>
    <t xml:space="preserve">
3,96
</t>
  </si>
  <si>
    <t xml:space="preserve">
01/10/2014
</t>
  </si>
  <si>
    <t>23 năm 02 tháng</t>
  </si>
  <si>
    <t>51 tuổi
 11 tháng 04 ngày</t>
  </si>
  <si>
    <t>132</t>
  </si>
  <si>
    <t>Phan Trung Đẳng</t>
  </si>
  <si>
    <t>02/3/1964</t>
  </si>
  <si>
    <t>Đại học sư phạm</t>
  </si>
  <si>
    <t>Giáo viên Trường THCS Đại Phúc</t>
  </si>
  <si>
    <t>4,98+11%</t>
  </si>
  <si>
    <t xml:space="preserve">
01/9/2019
</t>
  </si>
  <si>
    <t xml:space="preserve">
4,98+7%
4,98+8%
4,98+9%
4,98+10%
</t>
  </si>
  <si>
    <t>55 tuổi 8 tháng 29 ngày</t>
  </si>
  <si>
    <t>133</t>
  </si>
  <si>
    <t>Trần Văn Tư</t>
  </si>
  <si>
    <t>Trung học sư phạm</t>
  </si>
  <si>
    <t>Giáo viên Trường Tiểu học A An Trường A</t>
  </si>
  <si>
    <t xml:space="preserve">
38%
</t>
  </si>
  <si>
    <t xml:space="preserve">
01/07/2019</t>
  </si>
  <si>
    <t xml:space="preserve">
14%
</t>
  </si>
  <si>
    <t xml:space="preserve">01/01/2014
01/01/2015
01/01/2016
01/01/2017
01/01/2018
</t>
  </si>
  <si>
    <t>39 năm 2 tháng</t>
  </si>
  <si>
    <t>57 tuổi 01 tháng 7 ngày</t>
  </si>
  <si>
    <t>134</t>
  </si>
  <si>
    <t>Võ Văn Thông</t>
  </si>
  <si>
    <t xml:space="preserve">
38%</t>
  </si>
  <si>
    <t xml:space="preserve">
12%
</t>
  </si>
  <si>
    <t xml:space="preserve">4,06+7%
4,06+8%
4,06+9%
4,06+10%
4,06+11%
</t>
  </si>
  <si>
    <t>57 tuổi 
11 tháng</t>
  </si>
  <si>
    <t>135</t>
  </si>
  <si>
    <t>Đặng Thị Mỹ Vân</t>
  </si>
  <si>
    <t>02/10/1967</t>
  </si>
  <si>
    <t xml:space="preserve">
30%</t>
  </si>
  <si>
    <t xml:space="preserve">
8%
</t>
  </si>
  <si>
    <t>52 tuổi 
01 tháng 29 ngày</t>
  </si>
  <si>
    <t>136</t>
  </si>
  <si>
    <t>Nguyễn Thị Thanh Truyền</t>
  </si>
  <si>
    <t xml:space="preserve">
31%
       </t>
  </si>
  <si>
    <t xml:space="preserve">
01/8/2019
</t>
  </si>
  <si>
    <t>50 tuổi 
9 tháng 10 ngày</t>
  </si>
  <si>
    <t>137</t>
  </si>
  <si>
    <t>Nguyễn Thị Hồng Lạc</t>
  </si>
  <si>
    <t>05/11/1968</t>
  </si>
  <si>
    <t>Sơ cấp Y tá</t>
  </si>
  <si>
    <t xml:space="preserve">Nhân viên Y tế Trường Mẫu giáo Thiên Thanh </t>
  </si>
  <si>
    <t xml:space="preserve">
5%
</t>
  </si>
  <si>
    <t xml:space="preserve">3,86
4,06
4,06+5%
</t>
  </si>
  <si>
    <t xml:space="preserve">01/10/2014
01/10/2016
01/10/2018
</t>
  </si>
  <si>
    <t>25 năm 02 tháng</t>
  </si>
  <si>
    <t>51 tuổi
26 ngày</t>
  </si>
  <si>
    <t>138</t>
  </si>
  <si>
    <t>Nguyễn Ngọc Thư</t>
  </si>
  <si>
    <t>Giáo viên Trường THCS Thái Bình</t>
  </si>
  <si>
    <t xml:space="preserve">01/9/2012
01/9/2015
</t>
  </si>
  <si>
    <t>30 năm 03 tháng</t>
  </si>
  <si>
    <t>52 tuổi
 04 tháng 15 ngày</t>
  </si>
  <si>
    <t>139</t>
  </si>
  <si>
    <t>Đoàn Ngọc Diệu</t>
  </si>
  <si>
    <t>Cao đẳng</t>
  </si>
  <si>
    <t>Giáo viên Trường THCS An Trường A</t>
  </si>
  <si>
    <t xml:space="preserve">  
30%</t>
  </si>
  <si>
    <t xml:space="preserve"> 01/6/2019</t>
  </si>
  <si>
    <t xml:space="preserve">4,27 
 4,58 </t>
  </si>
  <si>
    <t xml:space="preserve">01/09/2012  01/09/2015  </t>
  </si>
  <si>
    <t>51 tuổi 
5 tháng 13 ngày</t>
  </si>
  <si>
    <t>140</t>
  </si>
  <si>
    <t>Thân Thị Bích Thuỷ</t>
  </si>
  <si>
    <t xml:space="preserve">
 25%</t>
  </si>
  <si>
    <t xml:space="preserve">4,27 </t>
  </si>
  <si>
    <t>27 năm 3 tháng</t>
  </si>
  <si>
    <t>50 tuổi 11 tháng  11 ngày</t>
  </si>
  <si>
    <t>141</t>
  </si>
  <si>
    <t>Nguyễn Thị Sương</t>
  </si>
  <si>
    <t>07/6/1968</t>
  </si>
  <si>
    <t>Nhân viên thư viện Trường THCS Đức Mỹ</t>
  </si>
  <si>
    <t>3,33</t>
  </si>
  <si>
    <t xml:space="preserve">2,97
3,15
</t>
  </si>
  <si>
    <t xml:space="preserve">01/10/2013
01/10/2015
</t>
  </si>
  <si>
    <t>51 tuổi
 5 tháng 
21 ngày</t>
  </si>
  <si>
    <t>142</t>
  </si>
  <si>
    <t>Nguyễn Hoàng Quân</t>
  </si>
  <si>
    <t>Cao đẳng Sư phạm Ngữ văn</t>
  </si>
  <si>
    <t>Giáo viên Trường THCS Đức Mỹ</t>
  </si>
  <si>
    <t xml:space="preserve">
27%</t>
  </si>
  <si>
    <t>01/10/2013</t>
  </si>
  <si>
    <t>55 tuổi 
5 tháng
 19 ngày</t>
  </si>
  <si>
    <t>143</t>
  </si>
  <si>
    <t>Đặng Thị Mỹ Lan</t>
  </si>
  <si>
    <t xml:space="preserve">Phó Hiệu trưởng Trường Mẫu giáo Tuổi Thơ </t>
  </si>
  <si>
    <t xml:space="preserve">
01/2/2019
</t>
  </si>
  <si>
    <t>50 tuổi 
02 tháng 20 ngày</t>
  </si>
  <si>
    <t>144</t>
  </si>
  <si>
    <t>Thạch Oai</t>
  </si>
  <si>
    <t>Nhân viên phục vụ Trường Tiểu học Phương Thạnh A</t>
  </si>
  <si>
    <t>2,98
2,98+5%
2,98+6%
2,98+7%
2,98+8%</t>
  </si>
  <si>
    <t>01/9/2013
01/9/2015
01/9/2016
01/9/2017
01/9/2018</t>
  </si>
  <si>
    <t>21 năm 02 tháng</t>
  </si>
  <si>
    <t>145</t>
  </si>
  <si>
    <t>Nguyễn Thị Bé Hai</t>
  </si>
  <si>
    <t>01/01/1966</t>
  </si>
  <si>
    <t xml:space="preserve">Nhân viên phục vụ Trường Mẫu giáo Hoa Mai </t>
  </si>
  <si>
    <t>1,0</t>
  </si>
  <si>
    <t>01 năm 7 tháng</t>
  </si>
  <si>
    <t>53 tuổi 
11 tháng</t>
  </si>
  <si>
    <t>146</t>
  </si>
  <si>
    <t>Ngô Minh Triết</t>
  </si>
  <si>
    <t xml:space="preserve">Nhân viên bảo vệ Trường Mẫu giáo Hoa Mai </t>
  </si>
  <si>
    <t>05 năm 10 tháng</t>
  </si>
  <si>
    <t>44 tuổi 7 tháng 01 ngày</t>
  </si>
  <si>
    <t>147</t>
  </si>
  <si>
    <t>Lê Ngọc Em</t>
  </si>
  <si>
    <t>01/01/1973</t>
  </si>
  <si>
    <t xml:space="preserve">Nhân viên bảo vệ Trường Mầm non Trúc Xanh </t>
  </si>
  <si>
    <t>1.86</t>
  </si>
  <si>
    <t>01/8/2017</t>
  </si>
  <si>
    <t>6 năm 3 tháng</t>
  </si>
  <si>
    <t>46 tuổi 
11 tháng</t>
  </si>
  <si>
    <t>148</t>
  </si>
  <si>
    <t xml:space="preserve"> Lê Thị Đông</t>
  </si>
  <si>
    <t>01/01/1978</t>
  </si>
  <si>
    <t>Nhân viên phục vụ Trường Mầm non Trúc Xanh</t>
  </si>
  <si>
    <t>41 tuổi
 11 tháng</t>
  </si>
  <si>
    <t>149</t>
  </si>
  <si>
    <t>Phùng Văn Nghĩa</t>
  </si>
  <si>
    <t>Nhân viên bảo vệ Trường Tiểu học Phương Thạnh A</t>
  </si>
  <si>
    <t>6 năm 02 tháng</t>
  </si>
  <si>
    <t>55 tuổi
 11 tháng</t>
  </si>
  <si>
    <t>150</t>
  </si>
  <si>
    <t>Nguyễn Hồng Thắm</t>
  </si>
  <si>
    <t>Nhân viên phục vụ Trường Tiểu học Tân Bình A</t>
  </si>
  <si>
    <t>01/20/2018</t>
  </si>
  <si>
    <t>1,0
1,18
1,36</t>
  </si>
  <si>
    <t>01/2/2014
01/2/2016
01/2/2018</t>
  </si>
  <si>
    <t>56 tuổi 
5 tháng 14 ngày</t>
  </si>
  <si>
    <t>151</t>
  </si>
  <si>
    <t>Trần Minh Trí</t>
  </si>
  <si>
    <t>19/01/1962</t>
  </si>
  <si>
    <t>Đại học Quản trị kinh doanh</t>
  </si>
  <si>
    <t>Phó Trường phòng Tài chính - Kế hoạch</t>
  </si>
  <si>
    <t>01/01/2014
01/11/2016
01/11/2017
01/11/2018</t>
  </si>
  <si>
    <t xml:space="preserve">34 năm </t>
  </si>
  <si>
    <t>56 tuổi 11 tháng 12 ngày</t>
  </si>
  <si>
    <t>152</t>
  </si>
  <si>
    <t>Võ Văn Lâu</t>
  </si>
  <si>
    <t>Đại học Báo chí</t>
  </si>
  <si>
    <t>Phó Trưởng  phòng Phòng Văn hóa và Thông tin</t>
  </si>
  <si>
    <t>4,98+8%
4,98+9%
4,98+10%
4,98+11%</t>
  </si>
  <si>
    <t>38 năm 11 thna1g</t>
  </si>
  <si>
    <t>153</t>
  </si>
  <si>
    <t>Bùi Văn Tuấn</t>
  </si>
  <si>
    <t>13/4/1964</t>
  </si>
  <si>
    <t>Đại học
hành chính</t>
  </si>
  <si>
    <t>Trường phòng Phòng Y tế</t>
  </si>
  <si>
    <t>01/02/2016</t>
  </si>
  <si>
    <t xml:space="preserve">
4.06+10%
4,06+11%
</t>
  </si>
  <si>
    <t xml:space="preserve">
01/12/2014
01/10/2015
</t>
  </si>
  <si>
    <t>35 năm 
07 tháng</t>
  </si>
  <si>
    <t>55 tuổi 7 tháng 
18 ngày</t>
  </si>
  <si>
    <t>VII</t>
  </si>
  <si>
    <t>154</t>
  </si>
  <si>
    <t>Nguyễn Hữu Chí</t>
  </si>
  <si>
    <t>15/02/1962</t>
  </si>
  <si>
    <t>Đại học Giáo dục chính trị</t>
  </si>
  <si>
    <t>Hiệu trưởng Trường THCS thị trấn Tiểu Cần</t>
  </si>
  <si>
    <t>4,98+13%</t>
  </si>
  <si>
    <t>0,35
0,55
0,45</t>
  </si>
  <si>
    <t>01/6/2014-31/8/2014
01/9/2014-31/8/2015
01/9/2015 đến nay</t>
  </si>
  <si>
    <t>13%</t>
  </si>
  <si>
    <t>4,98+9%
4,98+10%
4,98+11%
4,98+12%
4,98+13%
4,98+14%</t>
  </si>
  <si>
    <t>01/6/2014
01/9/2014
01/9/2015
01/9/2016
01/9/2017
01/9/2018</t>
  </si>
  <si>
    <t>35 năm
09 tháng</t>
  </si>
  <si>
    <t>57 tuổi 3 tháng 16 ngày</t>
  </si>
  <si>
    <t>155</t>
  </si>
  <si>
    <t>Nguyễn Văn Hòa</t>
  </si>
  <si>
    <t>25/05/1964</t>
  </si>
  <si>
    <t>Đại học 
Sư phạm Toán</t>
  </si>
  <si>
    <t>Giáo viên dạy lớp Trường THCS thị trấn Tiểu Cần</t>
  </si>
  <si>
    <t>4,98 
4,98+5%
4,98+6%
4,98+7%</t>
  </si>
  <si>
    <t>01/6/2014
01/10/2016
01/10/2017
01/10/2018</t>
  </si>
  <si>
    <t>33 năm
09 tháng</t>
  </si>
  <si>
    <t>55 tuổi 06 ngày</t>
  </si>
  <si>
    <t>156</t>
  </si>
  <si>
    <t>Hồ Kim Hương</t>
  </si>
  <si>
    <t>05/8/1968</t>
  </si>
  <si>
    <t>Cao đẳng
Sư phạm Văn</t>
  </si>
  <si>
    <t>01/03/2017</t>
  </si>
  <si>
    <t>01/6/2014
01/3/2017</t>
  </si>
  <si>
    <t>29 năm 10 tháng</t>
  </si>
  <si>
    <t>50 tuổi 9 tháng 26 ngày</t>
  </si>
  <si>
    <t>157</t>
  </si>
  <si>
    <t>Nguyễn Hiếu Nghĩa</t>
  </si>
  <si>
    <t>01/3/1962</t>
  </si>
  <si>
    <t>Đại học
Sư phạm Văn</t>
  </si>
  <si>
    <t>Giáo viên dạy lớp Trường THCS Hùng Hòa</t>
  </si>
  <si>
    <t>4,98+7%
4,98+8%
4,98+9%
4,98+10%
4,98+11%
4,98+12%</t>
  </si>
  <si>
    <t>01/3/2014
01/10/2014
01/10/2015
01/10/2016
01/10/2017
01/10/2018</t>
  </si>
  <si>
    <t>35 năm 06 tháng</t>
  </si>
  <si>
    <t>57 tuổi</t>
  </si>
  <si>
    <t>158</t>
  </si>
  <si>
    <t>Diệp Phúc</t>
  </si>
  <si>
    <t>Đại học Giáo dục Tiểu học</t>
  </si>
  <si>
    <t>Giáo viên dạy lớp Trường Tiểu học thị trấn  Tiểu Cần</t>
  </si>
  <si>
    <t>01/02/2014
01/10/2014
01/10/2015
01/10/2016
01/10/2017
01/10/2018</t>
  </si>
  <si>
    <t>159</t>
  </si>
  <si>
    <t>Phạm Thanh Hùng</t>
  </si>
  <si>
    <t>01/10/1961</t>
  </si>
  <si>
    <t>Trung học sư phạm Tiểu học 9+3</t>
  </si>
  <si>
    <t>Giáo viên dạy lớp Trường Tiểu học Hiếu Tử A</t>
  </si>
  <si>
    <t>01/01/2014 01/10/2014
01/10/2017</t>
  </si>
  <si>
    <t>23 năm 03 tháng</t>
  </si>
  <si>
    <t>57 tuổi  03 tháng</t>
  </si>
  <si>
    <t>160</t>
  </si>
  <si>
    <t>Lê Văn Thành</t>
  </si>
  <si>
    <t>01/3/1964</t>
  </si>
  <si>
    <t>Giáo viên dạy lớp Trường Tiểu học Hiếu Trung B</t>
  </si>
  <si>
    <t>01/03/2014
01/10/2014
01/10/2015
01/10/2016
01/10/2017
01/10/2018</t>
  </si>
  <si>
    <t xml:space="preserve">55 tuổi </t>
  </si>
  <si>
    <t>161</t>
  </si>
  <si>
    <t>Trần Thị Hồng Nga</t>
  </si>
  <si>
    <t>20/3/1967</t>
  </si>
  <si>
    <t>Giáo viên dạy lớp Trường Tiểu học Hùng Hòa B</t>
  </si>
  <si>
    <t>01/07/2017</t>
  </si>
  <si>
    <t>34 năm 03 tháng</t>
  </si>
  <si>
    <t>51 tuổi 9 tháng 11 ngày</t>
  </si>
  <si>
    <t>162</t>
  </si>
  <si>
    <t>Lê Như Hải</t>
  </si>
  <si>
    <t>01/11/1961</t>
  </si>
  <si>
    <t>Giáo viên dạy lớp Trường Tiểu học Tân Hùng B</t>
  </si>
  <si>
    <t>15%</t>
  </si>
  <si>
    <t>4,06+11%
4,06+12%
4,06+13%
4,06+14%
4,06+15%
4,06+16%</t>
  </si>
  <si>
    <t>39 năm 01 tháng</t>
  </si>
  <si>
    <t xml:space="preserve">57 tuổi 02 tháng </t>
  </si>
  <si>
    <t>163</t>
  </si>
  <si>
    <t>Đoàn Công Văn</t>
  </si>
  <si>
    <t>25/01/1980</t>
  </si>
  <si>
    <t>Cao đẳng
Sư phạm Toán-Lý</t>
  </si>
  <si>
    <t>3,34</t>
  </si>
  <si>
    <t>01/05/2015</t>
  </si>
  <si>
    <t>3,03
3,34</t>
  </si>
  <si>
    <t>01/01/2014
01/05/2015</t>
  </si>
  <si>
    <t>14 năm 09 tháng</t>
  </si>
  <si>
    <t>38 tuổi 11 tháng 06 ngày</t>
  </si>
  <si>
    <t>164</t>
  </si>
  <si>
    <t>Nguyễn Thanh Tuyền</t>
  </si>
  <si>
    <t>26/6/1973</t>
  </si>
  <si>
    <t>Đại học
Giáo dục Tiểu học</t>
  </si>
  <si>
    <t>Giáo viên dạy lớp Trường Tiểu học thị trấn Tiểu Cần</t>
  </si>
  <si>
    <t>01/02/2015</t>
  </si>
  <si>
    <t>01/02/2014
01/02/2015
01/08/2018</t>
  </si>
  <si>
    <t>24 năm 09 tháng</t>
  </si>
  <si>
    <t>45 tuổi  07 tháng  05 ngày</t>
  </si>
  <si>
    <t>165</t>
  </si>
  <si>
    <t>Phan Văn Lợi</t>
  </si>
  <si>
    <t>06/04/1968</t>
  </si>
  <si>
    <t>Giáo viên dạy lớp Trường Tiểu học Hùng Hòa A</t>
  </si>
  <si>
    <t>4,06
4,06+5%
4,06+6%
4,06+7%
4,06+8%
4,06+9%</t>
  </si>
  <si>
    <t>29 năm 04 tháng</t>
  </si>
  <si>
    <t>50 tuổi 08 tháng 25 ngày</t>
  </si>
  <si>
    <t>166</t>
  </si>
  <si>
    <t>Hồ Thị Thương</t>
  </si>
  <si>
    <t>06/6/1967</t>
  </si>
  <si>
    <t>Đại học Xã hội và Nhân văn</t>
  </si>
  <si>
    <t>Phó Chủ tịch Hội đồng nhân dân xã Hiếu Trung</t>
  </si>
  <si>
    <t>01/6/2017</t>
  </si>
  <si>
    <t>01/4/2016</t>
  </si>
  <si>
    <t>3,33
3,66</t>
  </si>
  <si>
    <t>01/6/2014
01/6/2017</t>
  </si>
  <si>
    <t>18 năm
 9 tháng</t>
  </si>
  <si>
    <t>52 tuồi
 25 ngày</t>
  </si>
  <si>
    <t>167</t>
  </si>
  <si>
    <t>Thạch Hồng Sơn</t>
  </si>
  <si>
    <t>Trung cấp pháp lý</t>
  </si>
  <si>
    <t>Phó Chủ tịch HĐND xã Tân Hùng, huyện Tiểu Cần</t>
  </si>
  <si>
    <t xml:space="preserve">
2,86
3,06
</t>
  </si>
  <si>
    <t xml:space="preserve">
01/02/2015
01/02/2017
</t>
  </si>
  <si>
    <t>15 năm 6 tháng</t>
  </si>
  <si>
    <t>56 tuổi 27 ngày</t>
  </si>
  <si>
    <t>168</t>
  </si>
  <si>
    <t>Lâm Thị Tuyết Lan</t>
  </si>
  <si>
    <t>Giáo viên Trường Mầm non thị trấn Tiểu Cần</t>
  </si>
  <si>
    <t>01/7/2014
01/01/2015
01/01/2016
01/01/2017</t>
  </si>
  <si>
    <t>32 năm 
11 tháng</t>
  </si>
  <si>
    <t>50 tuổi 11 tháng 11 ngày</t>
  </si>
  <si>
    <t>169</t>
  </si>
  <si>
    <t>Nguyễn Thị Xương</t>
  </si>
  <si>
    <t>30/10/1967</t>
  </si>
  <si>
    <t>Giáo viên Trường THCS thị trấn Cầu Quan</t>
  </si>
  <si>
    <t>29 năm 10
tháng</t>
  </si>
  <si>
    <t>51 tuổi
08 tháng</t>
  </si>
  <si>
    <t>170</t>
  </si>
  <si>
    <t>Lê Thị Hồng</t>
  </si>
  <si>
    <t>12/03/1969</t>
  </si>
  <si>
    <t>Cao đẳng Sư phạm Sử</t>
  </si>
  <si>
    <t xml:space="preserve">01/02/2012
01/02/2015
</t>
  </si>
  <si>
    <t>27 năm 05
tháng</t>
  </si>
  <si>
    <t>50 tuổi
03 tháng
18 ngày</t>
  </si>
  <si>
    <t>171</t>
  </si>
  <si>
    <t>Võ Thị Kim Oanh</t>
  </si>
  <si>
    <t>02/12/1966</t>
  </si>
  <si>
    <t>3,34
'3,65</t>
  </si>
  <si>
    <t>01/7/2014
'01/1/2015</t>
  </si>
  <si>
    <t>23 năm 10
tháng</t>
  </si>
  <si>
    <t>52 tuổi
06 tháng
28 ngày</t>
  </si>
  <si>
    <t>172</t>
  </si>
  <si>
    <t>Đoàn Minh Thường</t>
  </si>
  <si>
    <t>27/12/1962</t>
  </si>
  <si>
    <t>Giáo viên Trường TH Hiếu Trung A</t>
  </si>
  <si>
    <t xml:space="preserve">
4,06
4,06 + 5%
4,06 + 6%
</t>
  </si>
  <si>
    <t xml:space="preserve">
01/10/2014
01/10/2015
01/10/2016
</t>
  </si>
  <si>
    <t>56 tuổi 9 tháng 4 ngày</t>
  </si>
  <si>
    <t>173</t>
  </si>
  <si>
    <t>Trần Thị Mỹ Hằng</t>
  </si>
  <si>
    <t>27/7/1967</t>
  </si>
  <si>
    <t>Cao đẳng Sư phạm văn</t>
  </si>
  <si>
    <t>Giáo viên Trường THCS Hiếu Trung</t>
  </si>
  <si>
    <t xml:space="preserve">01/9/2014
01/9/2015
</t>
  </si>
  <si>
    <t>32 năm
1 tháng</t>
  </si>
  <si>
    <t xml:space="preserve">52 tuổi 
01 tháng
4 ngày </t>
  </si>
  <si>
    <t>174</t>
  </si>
  <si>
    <t>Sơn Phonl</t>
  </si>
  <si>
    <t>Hiệu trưởng Trường Tiểu học Hùng Hòa A</t>
  </si>
  <si>
    <t>01/01/2008 
đến nay</t>
  </si>
  <si>
    <t>4,06
4,06+5%
4,06 +6%
4,06+7%
4,06+8%
4,06+9%</t>
  </si>
  <si>
    <t>01/9/2014
01/10/2014
01/10/2015
01/10/2016
01/10/2017
01/10/2018</t>
  </si>
  <si>
    <t>36 năm 5 tháng</t>
  </si>
  <si>
    <t xml:space="preserve">57 tuổi 8 tháng </t>
  </si>
  <si>
    <t>175</t>
  </si>
  <si>
    <t>Thạch Vọng</t>
  </si>
  <si>
    <t>10/03/1962</t>
  </si>
  <si>
    <t>Giáo viên Trường Tiểu học Long Thới B</t>
  </si>
  <si>
    <t xml:space="preserve">3,86
 4,06 
4,06+5%
   </t>
  </si>
  <si>
    <t xml:space="preserve">01/7/2014
01/10/2014 01/10/2016
</t>
  </si>
  <si>
    <t>31 năm 10
tháng</t>
  </si>
  <si>
    <t>57 tuổi 3 tháng 21 ngày</t>
  </si>
  <si>
    <t>176</t>
  </si>
  <si>
    <t>Thạch Thị Lanh</t>
  </si>
  <si>
    <t>13/06/1968</t>
  </si>
  <si>
    <t xml:space="preserve">3,86
 4,06 
4,06+5%
 </t>
  </si>
  <si>
    <t xml:space="preserve">01/07/2014
01/10/2014 01/10/2016
</t>
  </si>
  <si>
    <t>30 năm 11
tháng</t>
  </si>
  <si>
    <t>51 tuổi 18 ngày</t>
  </si>
  <si>
    <t>177</t>
  </si>
  <si>
    <t>Nguyễn Thanh Duy</t>
  </si>
  <si>
    <t>11/12/1963</t>
  </si>
  <si>
    <t>Phó Hiệu trưởng Trường THCS Hiếu Tử</t>
  </si>
  <si>
    <t xml:space="preserve">
4,89
4,89+5%
</t>
  </si>
  <si>
    <t xml:space="preserve">
01/8/2014
01/4/2017
</t>
  </si>
  <si>
    <t xml:space="preserve">35 năm
11 tháng
</t>
  </si>
  <si>
    <t xml:space="preserve">55 tuổi 
7 tháng
20 ngày </t>
  </si>
  <si>
    <t>178</t>
  </si>
  <si>
    <t>Trương Văn Triều</t>
  </si>
  <si>
    <t>17/10/1975</t>
  </si>
  <si>
    <t>Giáo viên Trường Tiểu học Ngãi Hùng</t>
  </si>
  <si>
    <t>01/04/2018</t>
  </si>
  <si>
    <t xml:space="preserve">
3,99
4,32
</t>
  </si>
  <si>
    <t xml:space="preserve">
01/7/2014
01/10/2015
</t>
  </si>
  <si>
    <t xml:space="preserve">26 năm 6 tháng
</t>
  </si>
  <si>
    <t>43 tuổi 8 tháng 14 ngày</t>
  </si>
  <si>
    <t>VIII</t>
  </si>
  <si>
    <t>179</t>
  </si>
  <si>
    <t>Nguyễn Bá Trí</t>
  </si>
  <si>
    <t>07/3/1961</t>
  </si>
  <si>
    <t>Trưởng Ban Dân vận Huyện ủy Cầu Kè</t>
  </si>
  <si>
    <t>4,98 + 9%</t>
  </si>
  <si>
    <t>01/10/2011</t>
  </si>
  <si>
    <t>4,98 + 5%
4,98 + 6%
4,98 + 7%
4,98 + 8%</t>
  </si>
  <si>
    <t>01/01/2014
01/01/2015
01/01/2016
01/01/2017</t>
  </si>
  <si>
    <t>57 tuổi 9 tháng 25 ngày</t>
  </si>
  <si>
    <t>180</t>
  </si>
  <si>
    <t>Phạm Văn Việt</t>
  </si>
  <si>
    <t>Cán bộ Ủy ban Kiểm tra Huyện ủy</t>
  </si>
  <si>
    <t>3,0
3,33
3,66</t>
  </si>
  <si>
    <t>01/11/2012
01/5/2014
01/5/2017</t>
  </si>
  <si>
    <t>30 năm</t>
  </si>
  <si>
    <t>56 tuổi</t>
  </si>
  <si>
    <t>181</t>
  </si>
  <si>
    <t>Nguyễn Văn Mấy</t>
  </si>
  <si>
    <t>24/12/1962</t>
  </si>
  <si>
    <t>Cán bộ Ban Tuyên giáo Huyện ủy</t>
  </si>
  <si>
    <t>01/3/2014
01/3/2017</t>
  </si>
  <si>
    <t>56 tuổi 8 ngày</t>
  </si>
  <si>
    <t>182</t>
  </si>
  <si>
    <t>Nguyễn Văn Tráng</t>
  </si>
  <si>
    <t>01/01/1971</t>
  </si>
  <si>
    <t>Cán bộ Hội Nông dân huyện</t>
  </si>
  <si>
    <t>4,98 + 11%</t>
  </si>
  <si>
    <t>4,98 + 7%
4,98 + 8%
4,98 + 9%
4,98 + 10%</t>
  </si>
  <si>
    <t>21 năm 6 tháng</t>
  </si>
  <si>
    <t>48 tuổi</t>
  </si>
  <si>
    <t>183</t>
  </si>
  <si>
    <t>Nguyễn Thị Bình</t>
  </si>
  <si>
    <t>29/3/1966</t>
  </si>
  <si>
    <t>Cao đẳng sư phạm Mầm non</t>
  </si>
  <si>
    <t>Giáo viên dạy lớp Trường Mầm non thị trấn Cầu Kè</t>
  </si>
  <si>
    <t>01/02/2017</t>
  </si>
  <si>
    <t>01/01/2014
01/02/2014
01/02/2017</t>
  </si>
  <si>
    <t>52 tuổi 9 tháng 02 ngày</t>
  </si>
  <si>
    <t>184</t>
  </si>
  <si>
    <t>Lâm Thị Rương</t>
  </si>
  <si>
    <t>07/07/1966</t>
  </si>
  <si>
    <t>4,06+8%
4,06+9%
4,06+10%
4,06+11%
4,06+12%
4,06+13%</t>
  </si>
  <si>
    <t>01/4/2014
01/10/2014
01/10/2015
01/10/2016
01/10/2017
01/10/2018</t>
  </si>
  <si>
    <t>35 năm 7 tháng</t>
  </si>
  <si>
    <t>52 tuổi 08tháng 23 ngày</t>
  </si>
  <si>
    <t>185</t>
  </si>
  <si>
    <t>Thạch Thị Dương</t>
  </si>
  <si>
    <t>09/6/1967</t>
  </si>
  <si>
    <t>01/6/2014
01/01/2015
01/01/2016
01/01/2017
01/01/2018
01/01/2019</t>
  </si>
  <si>
    <t>34 năm 08 tháng</t>
  </si>
  <si>
    <t>51 tuổi 10 tháng 22 ngày</t>
  </si>
  <si>
    <t>186</t>
  </si>
  <si>
    <t>Thạch Thị Si</t>
  </si>
  <si>
    <t>01/10/1966</t>
  </si>
  <si>
    <t>01/4/2014
01/11/2015
01/11/2016
01/11/2017
01/11/2018</t>
  </si>
  <si>
    <t>32 năm 07 tháng</t>
  </si>
  <si>
    <t>52 tuồi 06 tháng</t>
  </si>
  <si>
    <t>187</t>
  </si>
  <si>
    <t>Nguyễn Thị Bé Tám</t>
  </si>
  <si>
    <t>14/4/1967</t>
  </si>
  <si>
    <t>Giáo viên dạy lớp Trường Mẫu giáo xã Thạnh Phú</t>
  </si>
  <si>
    <t>01/01/2014
01/10/2015
01/10/2017</t>
  </si>
  <si>
    <t>51 tuổi 08 tháng 17 ngày</t>
  </si>
  <si>
    <t>188</t>
  </si>
  <si>
    <t>Đinh Văn Sĩ</t>
  </si>
  <si>
    <t>10/11/1961</t>
  </si>
  <si>
    <t>Cao đẳng sư phạm Tiểu học</t>
  </si>
  <si>
    <t>Nhân viên Thư viện thiết bị Trường Tiểu học Tam Ngãi B</t>
  </si>
  <si>
    <t>01/01/2014
01/02/2014
01/02/2015
01/02/2016
01/02/2017
01/02/2018</t>
  </si>
  <si>
    <t>57 tuổi 01 tháng 21 ngày</t>
  </si>
  <si>
    <t>189</t>
  </si>
  <si>
    <t>Phan Nhã Đằng</t>
  </si>
  <si>
    <t>25/02/1964</t>
  </si>
  <si>
    <t>Cử nhân Kinh tế</t>
  </si>
  <si>
    <t>Nhân viên Thư viện thiết bị Trường Tiểu học  Ninh Thới B</t>
  </si>
  <si>
    <t>01/3/2014
01/4/2016</t>
  </si>
  <si>
    <t>22 năm 11 tháng</t>
  </si>
  <si>
    <t>55 tuổi 01 tháng 06 ngày</t>
  </si>
  <si>
    <t>190</t>
  </si>
  <si>
    <t>Trần Văn Sáu</t>
  </si>
  <si>
    <t>06/12/1963</t>
  </si>
  <si>
    <t>Giáo viên dạy lớp Trường Tiểu học Thông Hòa D</t>
  </si>
  <si>
    <t>01/01/2016</t>
  </si>
  <si>
    <t>4,65
4,98</t>
  </si>
  <si>
    <t>01/02/2014
01/01/2016</t>
  </si>
  <si>
    <t>35 năm 05 tháng</t>
  </si>
  <si>
    <t>55 tuồi 01 tháng 25 ngày</t>
  </si>
  <si>
    <t>191</t>
  </si>
  <si>
    <t>Lâm Thị Hưng</t>
  </si>
  <si>
    <t>01/01/1968</t>
  </si>
  <si>
    <t>Giáo viên dạy lớp Trường Tiểu học Hòa Tân B</t>
  </si>
  <si>
    <t>3,99
4,32
4,65</t>
  </si>
  <si>
    <t>01/01/2014
01/9/2014
01/9/2017</t>
  </si>
  <si>
    <t>32 năm 04 tháng</t>
  </si>
  <si>
    <t>51 Tuổi</t>
  </si>
  <si>
    <t>192</t>
  </si>
  <si>
    <t>Hồ Thị Quý</t>
  </si>
  <si>
    <t>01/01/1967</t>
  </si>
  <si>
    <t xml:space="preserve">Trung học sư phạm  </t>
  </si>
  <si>
    <t>Giáo viên dạy lớp Trường Tiểu học Thạnh Phú</t>
  </si>
  <si>
    <t>7%</t>
  </si>
  <si>
    <t>4,06
4,06+ 5%
4,06+6%
4,06+7%
4,06+8%</t>
  </si>
  <si>
    <t>52 tuổi</t>
  </si>
  <si>
    <t>193</t>
  </si>
  <si>
    <t>Nguyễn Thị Hoa Miều</t>
  </si>
  <si>
    <t>16/7/1966</t>
  </si>
  <si>
    <t>01/01/2014
01/10/2014
01/10/2017</t>
  </si>
  <si>
    <t>35 năm 01 tháng</t>
  </si>
  <si>
    <t>52 tuổi 05 tháng 14 ngày</t>
  </si>
  <si>
    <t>194</t>
  </si>
  <si>
    <t>Bùi Thị Phương Loan</t>
  </si>
  <si>
    <t>19/11/1966</t>
  </si>
  <si>
    <t>01/02/2014
01/02/2017</t>
  </si>
  <si>
    <t>52 tuồi 05 tháng 11 ngày</t>
  </si>
  <si>
    <t>195</t>
  </si>
  <si>
    <t>Nguyễn Thị Thảo</t>
  </si>
  <si>
    <t>09/9/1966</t>
  </si>
  <si>
    <t xml:space="preserve">Trung học sư phạm </t>
  </si>
  <si>
    <t>01/03/2014
01/10/2015
01/10/2016
01/10/2017
01/10/2018</t>
  </si>
  <si>
    <t>31 năm 03 tháng</t>
  </si>
  <si>
    <t>52 tuổi 05 tháng 22 ngày</t>
  </si>
  <si>
    <t>196</t>
  </si>
  <si>
    <t>Nguyễn Thị Huệ</t>
  </si>
  <si>
    <t>19/4/1967</t>
  </si>
  <si>
    <t>Cao đẳng sư phạm</t>
  </si>
  <si>
    <t>Giáo viên dạy lớp Trường Tiểu học Hòa Ân A</t>
  </si>
  <si>
    <t>01/01/2014
01/10/2015</t>
  </si>
  <si>
    <t>34 năm 04 tháng</t>
  </si>
  <si>
    <t>51 tuổi 8 tháng 12 ngày</t>
  </si>
  <si>
    <t>197</t>
  </si>
  <si>
    <t>Quách Thị Bích Thủy</t>
  </si>
  <si>
    <t>24/7/1966</t>
  </si>
  <si>
    <t>Giáo viên dạy lớp Trường Tiểu học Phong Phú B</t>
  </si>
  <si>
    <t>5%</t>
  </si>
  <si>
    <t>01/6/2014
01/01/2016
01/01/2018
01/01/2019</t>
  </si>
  <si>
    <t>25 năm 05 tháng</t>
  </si>
  <si>
    <t>52 tuồi 10 tháng 06 ngày</t>
  </si>
  <si>
    <t>198</t>
  </si>
  <si>
    <t>Thạch Khone</t>
  </si>
  <si>
    <t>10/02/1964</t>
  </si>
  <si>
    <t>Giáo viên dạy lớp Trường Tiểu học Châu Điền B</t>
  </si>
  <si>
    <t>01/3/2014
01/9/2015
01/9/2017</t>
  </si>
  <si>
    <t>23 năm 09 tháng</t>
  </si>
  <si>
    <t>55 tuổi 21 ngày</t>
  </si>
  <si>
    <t>199</t>
  </si>
  <si>
    <t>Thạch Thị Diệu</t>
  </si>
  <si>
    <t>05/12/1966</t>
  </si>
  <si>
    <t>Nhân viên Y tế Trường Tiểu học Châu Điền C</t>
  </si>
  <si>
    <t>32 năm 05 tháng</t>
  </si>
  <si>
    <t>52 tuổi 26 ngày</t>
  </si>
  <si>
    <t>200</t>
  </si>
  <si>
    <t>Nguyễn Văn Phục</t>
  </si>
  <si>
    <t>30/10/1961</t>
  </si>
  <si>
    <t>Đại học sư phạm Toán</t>
  </si>
  <si>
    <t>Giáo viên dạy lớpTtrường Trung học cơ sở Thông Hòa</t>
  </si>
  <si>
    <t>57 tuổi 7 tháng</t>
  </si>
  <si>
    <t>201</t>
  </si>
  <si>
    <t>Thạch Khêne</t>
  </si>
  <si>
    <t>Nhân viên Y tế Trường Trung học cơ sở Ninh Thới A</t>
  </si>
  <si>
    <t>01/6/2014
01/9/2014
01/9/2017</t>
  </si>
  <si>
    <t>24 năm 9 tháng</t>
  </si>
  <si>
    <t>55 tuổi 03 tháng 21 ngày</t>
  </si>
  <si>
    <t>202</t>
  </si>
  <si>
    <t>Nguyễn Đình Chiến</t>
  </si>
  <si>
    <t>15/05/1962</t>
  </si>
  <si>
    <t>Cao đẳng sư phạm Sinh</t>
  </si>
  <si>
    <t>Giáo viên dạy lớp Trường Trung học cơ sở Thông Hòa</t>
  </si>
  <si>
    <t>4,89
4,89+5%
4,89+6%
4,89+7%
4,89+8%
4,89+9%</t>
  </si>
  <si>
    <t>01/6/2014
01/10/2014
01/10/2015
01/'10/2016
01/10/2017
01/10/2018</t>
  </si>
  <si>
    <t>36 năm 01 tháng</t>
  </si>
  <si>
    <t>57 tuổi 15 ngày</t>
  </si>
  <si>
    <t>203</t>
  </si>
  <si>
    <t>Phạm Thị Diễm Thúy</t>
  </si>
  <si>
    <t>22/01/1966</t>
  </si>
  <si>
    <t>Cử nhân Giáo dục chính trị</t>
  </si>
  <si>
    <t>Giáo viên dạy lớp Trường Trung học cơ sở Phong Thạnh</t>
  </si>
  <si>
    <t>01/01/2014
01/10/2016</t>
  </si>
  <si>
    <t>52 tuổi 11 tháng 8 ngày</t>
  </si>
  <si>
    <t>204</t>
  </si>
  <si>
    <t>Phan Thị Hồng Huấn</t>
  </si>
  <si>
    <t>Cử nhân 
Kinh tế Luật</t>
  </si>
  <si>
    <t>Công chức Phòng Lao động, 
Thương binh và Xã hội</t>
  </si>
  <si>
    <t>01/01/2017</t>
  </si>
  <si>
    <t>01/1/2014</t>
  </si>
  <si>
    <t>30 năm
 6 tháng</t>
  </si>
  <si>
    <t>50 tuổi 
6 tháng 21 ngày</t>
  </si>
  <si>
    <t>205</t>
  </si>
  <si>
    <t>Trần Việt Hùng</t>
  </si>
  <si>
    <t xml:space="preserve"> Công chức Cơ quan Kiểm tra - Thanh tra</t>
  </si>
  <si>
    <t>3,46</t>
  </si>
  <si>
    <t>01/4/2014</t>
  </si>
  <si>
    <t>22 năm
 3 tháng</t>
  </si>
  <si>
    <t>50 tuổi 9 tháng 01 ngày</t>
  </si>
  <si>
    <t>206</t>
  </si>
  <si>
    <t>Hà Chí Lâm</t>
  </si>
  <si>
    <t>20/12/1961</t>
  </si>
  <si>
    <t>Đại học Luật</t>
  </si>
  <si>
    <t>Công chức Phòng Tài nguyên và Môi trường</t>
  </si>
  <si>
    <t>3,66
3,86
3,99</t>
  </si>
  <si>
    <t>1/8/2013
'01/8/2015
01/10/2016</t>
  </si>
  <si>
    <t>24 năm 3 tháng</t>
  </si>
  <si>
    <t>57 tuổi 8 tháng 11 ngày</t>
  </si>
  <si>
    <t>207</t>
  </si>
  <si>
    <t>Nguyễn Văn Lắm</t>
  </si>
  <si>
    <t>Đại học Quản lý đất đai</t>
  </si>
  <si>
    <t xml:space="preserve">Công chức Phòng Tài nguyên và Môi trường </t>
  </si>
  <si>
    <t xml:space="preserve">4,32
</t>
  </si>
  <si>
    <t xml:space="preserve">01/02/2014
</t>
  </si>
  <si>
    <t>53 tuổi 21 ngày</t>
  </si>
  <si>
    <t>208</t>
  </si>
  <si>
    <t>Lê Văn Mười</t>
  </si>
  <si>
    <t>Đại học 
Quản trị nhân lực</t>
  </si>
  <si>
    <t>Công chức Văn hóa - Xã hội, xã Ninh Thới</t>
  </si>
  <si>
    <t xml:space="preserve">
1,86
2,06
2,34</t>
  </si>
  <si>
    <t xml:space="preserve">
01/10/2012
01/10/2014
01/12/2015</t>
  </si>
  <si>
    <t>11 năm
 04 tháng</t>
  </si>
  <si>
    <t>46 tuổi 
6 tháng</t>
  </si>
  <si>
    <t>209</t>
  </si>
  <si>
    <t>Nguyễn Văn Hải</t>
  </si>
  <si>
    <t>Đại học
 Tin học</t>
  </si>
  <si>
    <t>Công chức Văn phòng - Thống kê, xã Thông Hòa</t>
  </si>
  <si>
    <t>01/8/2016</t>
  </si>
  <si>
    <t>01/8/2013
01/8/2016</t>
  </si>
  <si>
    <t>19 năm 
8 tháng</t>
  </si>
  <si>
    <t>44 tuổi 
6 tháng</t>
  </si>
  <si>
    <t>210</t>
  </si>
  <si>
    <t>Lê Thị Nhanh</t>
  </si>
  <si>
    <t>16/7/1968</t>
  </si>
  <si>
    <t>Giáo viên Trường Tiểu học thị trấn Cầu Kè</t>
  </si>
  <si>
    <t>01/9/2013</t>
  </si>
  <si>
    <t>26 năm 01 tháng</t>
  </si>
  <si>
    <t>51 tuổi 02 tháng 15 ngày</t>
  </si>
  <si>
    <t>211</t>
  </si>
  <si>
    <t>Nguyễn Thị Thanh Thảo</t>
  </si>
  <si>
    <t>Giáo viên Trường Tiểu học Hòa Ân B</t>
  </si>
  <si>
    <t>29%</t>
  </si>
  <si>
    <t>33 năm 4 tháng</t>
  </si>
  <si>
    <t>52 tuổi 11 tháng</t>
  </si>
  <si>
    <t>212</t>
  </si>
  <si>
    <t>Thạch Khéth</t>
  </si>
  <si>
    <t xml:space="preserve"> Giáo viên Trường Tiểu học Châu Điền B</t>
  </si>
  <si>
    <t>32 năm
 11 tháng</t>
  </si>
  <si>
    <t>213</t>
  </si>
  <si>
    <t>Tạ Văn Nữa</t>
  </si>
  <si>
    <t>Hiệu trưởng Trường Tiểu học Châu Điền C</t>
  </si>
  <si>
    <t>01/5/2009 
đến nay</t>
  </si>
  <si>
    <t>4,06+11%
4,06+12%
4,06+13%
4,06+14%</t>
  </si>
  <si>
    <t>57 tuổi 11 tháng</t>
  </si>
  <si>
    <t>214</t>
  </si>
  <si>
    <t>Phạm Văn Sang</t>
  </si>
  <si>
    <t>23/12/1963</t>
  </si>
  <si>
    <t>Giáo viên Trường Tiểu học Phong Phú A</t>
  </si>
  <si>
    <t xml:space="preserve">
3,86
4,06</t>
  </si>
  <si>
    <t xml:space="preserve">
01/9/2014
01/9/2016</t>
  </si>
  <si>
    <t>23 năm 3 tháng</t>
  </si>
  <si>
    <t>55 tuổi 11 tháng 8 ngày</t>
  </si>
  <si>
    <t>215</t>
  </si>
  <si>
    <t>Nguyễn Thị Phương Thảo</t>
  </si>
  <si>
    <t>Giáo viên Trường Tiểu học Phong Phú B</t>
  </si>
  <si>
    <t>01/10/2014 đến nay</t>
  </si>
  <si>
    <t xml:space="preserve">
4,06
4,06+5%
4,06+6%</t>
  </si>
  <si>
    <t xml:space="preserve">
01/10/2014
01/10/2016
01/10/2017</t>
  </si>
  <si>
    <t>51 tuổi 11 tháng</t>
  </si>
  <si>
    <t>216</t>
  </si>
  <si>
    <t>Huỳnh Văn Sáu</t>
  </si>
  <si>
    <t>29/12/1963</t>
  </si>
  <si>
    <t>Giáo viên Trường Tiểu học Phong Thạnh B</t>
  </si>
  <si>
    <t>01/12/2017</t>
  </si>
  <si>
    <t xml:space="preserve">
4,06+7%
4,06+8%
4,06+9%</t>
  </si>
  <si>
    <t xml:space="preserve">
01/10/2014
01/10/2015
01/10/2016</t>
  </si>
  <si>
    <t>37 năm
 8 tháng</t>
  </si>
  <si>
    <t>55 tuổi
 10 tháng 02 ngày</t>
  </si>
  <si>
    <t>217</t>
  </si>
  <si>
    <t>Lưu Văn Hiển</t>
  </si>
  <si>
    <t>01/7/1963</t>
  </si>
  <si>
    <t>Giáo viên Trường THCS Hòa Ân</t>
  </si>
  <si>
    <t>4,98+5%</t>
  </si>
  <si>
    <t>01/10/2011
'01/10/2014</t>
  </si>
  <si>
    <t>35 năm 
10 tháng</t>
  </si>
  <si>
    <t>218</t>
  </si>
  <si>
    <t>Thạch Thônne</t>
  </si>
  <si>
    <t>28/8/1961</t>
  </si>
  <si>
    <t>Giáo viên Trường THCS Hòa Tân</t>
  </si>
  <si>
    <t>4,98+8%</t>
  </si>
  <si>
    <t>01/10/2011
01/10/2014
01/10/2015
01/10/2016</t>
  </si>
  <si>
    <t>57 tuổi 10 tháng 3 ngày</t>
  </si>
  <si>
    <t>219</t>
  </si>
  <si>
    <t>Phan Quốc Hùng</t>
  </si>
  <si>
    <t>16/4/1964</t>
  </si>
  <si>
    <t>Hiệu trưởng Trường Tiểu học An Phú Tân B</t>
  </si>
  <si>
    <t>4,06+17%</t>
  </si>
  <si>
    <t>01/10/2015 đến nay</t>
  </si>
  <si>
    <t>4,06+13%
4,06+14%
4,06+15%
4,06+16%</t>
  </si>
  <si>
    <t>39 năm 10 tháng</t>
  </si>
  <si>
    <t>55 tuổi 3 tháng 15 ngày</t>
  </si>
  <si>
    <t>220</t>
  </si>
  <si>
    <t>Phạm Thành Liêm</t>
  </si>
  <si>
    <t>25/11/1961</t>
  </si>
  <si>
    <t xml:space="preserve">Phó Giám đốc Trung tâm Giáo dục nghề nghiệp - Giáo dục thường xuyên </t>
  </si>
  <si>
    <t>01/02/2014 đến nay</t>
  </si>
  <si>
    <t>33 năm 10 tháng</t>
  </si>
  <si>
    <t>57 tuổi 
7 tháng 6 ngày</t>
  </si>
  <si>
    <t>221</t>
  </si>
  <si>
    <t>Nguyễn Thành Tân</t>
  </si>
  <si>
    <t>Viên chức Phòng Nông nghiệp và Phát triển nông thôn</t>
  </si>
  <si>
    <t>01/12/2016</t>
  </si>
  <si>
    <t>01/12/2010</t>
  </si>
  <si>
    <t xml:space="preserve">3,66
</t>
  </si>
  <si>
    <t>01/12/2012</t>
  </si>
  <si>
    <t>222</t>
  </si>
  <si>
    <t>Tô Duy</t>
  </si>
  <si>
    <t>Đại học Sư phạm Toán</t>
  </si>
  <si>
    <t xml:space="preserve">Giáo viên Trung tâm Giáo dục nghề nghiệp - Giáo dục thường xuyên </t>
  </si>
  <si>
    <t>01/10/2014
01/9/2015</t>
  </si>
  <si>
    <t>25 năm 01 tháng</t>
  </si>
  <si>
    <t>46 tuổi
 14 ngày</t>
  </si>
  <si>
    <t>223</t>
  </si>
  <si>
    <t>Thạch Thị Na Lây</t>
  </si>
  <si>
    <t>01/01/1987</t>
  </si>
  <si>
    <t>Nhân viên phục vụ Trường Tiểu học Châu Điền B</t>
  </si>
  <si>
    <t>01/4/2015</t>
  </si>
  <si>
    <t>04 năm 3 tháng</t>
  </si>
  <si>
    <t>32 tuổi
 6 tháng</t>
  </si>
  <si>
    <t>224</t>
  </si>
  <si>
    <t>Thạch Sang</t>
  </si>
  <si>
    <t>08/8/1988</t>
  </si>
  <si>
    <t>Nhân viên bảo vệ Trường Tiểu học Châu Điền B</t>
  </si>
  <si>
    <t>01/01/2015</t>
  </si>
  <si>
    <t>04 năm
 6 tháng</t>
  </si>
  <si>
    <t>30 tuổi 
10 tháng 23 ngày</t>
  </si>
  <si>
    <t>225</t>
  </si>
  <si>
    <t>Sơn Thị Sa Phanh</t>
  </si>
  <si>
    <t>010/1/1983</t>
  </si>
  <si>
    <t>Nhân viên phục vụ Trường Tiểu học Châu Điền C</t>
  </si>
  <si>
    <t>01 năm 11 tháng</t>
  </si>
  <si>
    <t>36 tuổi
 6 tháng</t>
  </si>
  <si>
    <t>226</t>
  </si>
  <si>
    <t>Trương Phúc Tâm</t>
  </si>
  <si>
    <t>Nhân viên bảo vệ Trường Tiểu học Châu Điền C</t>
  </si>
  <si>
    <t>44 tuổi 
6 tháng 21 ngày</t>
  </si>
  <si>
    <t>227</t>
  </si>
  <si>
    <t>Nguyễn Thị Nhỏ</t>
  </si>
  <si>
    <t>Nhân viên phục vụ Trường Tiểu học An Phú Tân B</t>
  </si>
  <si>
    <t>04 năm
 3 tháng</t>
  </si>
  <si>
    <t>50 tuổi 
6 tháng</t>
  </si>
  <si>
    <t>228</t>
  </si>
  <si>
    <t>Phan Quốc Nhu</t>
  </si>
  <si>
    <t>Nhân viên bảo vệ Trường Tiểu học An Phú Tân B</t>
  </si>
  <si>
    <t>04 năm 
6 tháng</t>
  </si>
  <si>
    <t>40 tuổi
 9 tháng 27 ngày</t>
  </si>
  <si>
    <t>229</t>
  </si>
  <si>
    <t>Phạm Thị Yến Phượng</t>
  </si>
  <si>
    <t>Nhân viên phục vụ Trường Tiểu học Phong Phú C</t>
  </si>
  <si>
    <t>01/9/2015</t>
  </si>
  <si>
    <t>3 năm
 10 tháng</t>
  </si>
  <si>
    <t>24 tuổi 
8 tháng 25 ngày</t>
  </si>
  <si>
    <t>230</t>
  </si>
  <si>
    <t>Sơn Tâm</t>
  </si>
  <si>
    <t>Nhân viên bảo vệ Trường Tiểu học Phong Phú C</t>
  </si>
  <si>
    <t>37 tuổi
 10 tháng 6 ngày</t>
  </si>
  <si>
    <t>231</t>
  </si>
  <si>
    <t>Huỳnh Vĩnh Huê</t>
  </si>
  <si>
    <t>18/01/1963</t>
  </si>
  <si>
    <t>Giáo viên trường Trung học cơ sở Phong Phú</t>
  </si>
  <si>
    <t xml:space="preserve">4,98+9%
4,98+10%
4,98+11%
4,98+12%
</t>
  </si>
  <si>
    <t xml:space="preserve">01/11/2014
01/11/2015
01/11/2016
01/11/2017
</t>
  </si>
  <si>
    <t xml:space="preserve">36 năm </t>
  </si>
  <si>
    <t>56 tuổi 7 tháng 13 ngày</t>
  </si>
  <si>
    <t>232</t>
  </si>
  <si>
    <t>Trần Hữu Phước</t>
  </si>
  <si>
    <t>17/4/1964</t>
  </si>
  <si>
    <t>Giáo viên trường Tiểu học Châu Điền A</t>
  </si>
  <si>
    <t>01/7/2014
01/7/2017</t>
  </si>
  <si>
    <t xml:space="preserve">25 năm </t>
  </si>
  <si>
    <t xml:space="preserve">55 tuổi 4 tháng 14 ngày </t>
  </si>
  <si>
    <t>233</t>
  </si>
  <si>
    <t>Trần Tấn Thắng</t>
  </si>
  <si>
    <t>08/11/1963</t>
  </si>
  <si>
    <t>01/01/2013
01/01/2016</t>
  </si>
  <si>
    <t xml:space="preserve">55 tuổi 9 tháng 22 ngày </t>
  </si>
  <si>
    <t>234</t>
  </si>
  <si>
    <t>Hồ Văn Ngân</t>
  </si>
  <si>
    <t>20/5/1969</t>
  </si>
  <si>
    <t>Giáo viên Trường Tiểu học Thạnh Phú</t>
  </si>
  <si>
    <t>01/10/2014
'01/10/2015
01/10/2016
01/10/2017
01/10/2018</t>
  </si>
  <si>
    <t>33 năm</t>
  </si>
  <si>
    <t>50 tuổi 3 tháng 11 ngày</t>
  </si>
  <si>
    <t>235</t>
  </si>
  <si>
    <t>Trần Minh Phúc</t>
  </si>
  <si>
    <t>Nhân viên Y tế Trường Tiểu học Thạnh Phú</t>
  </si>
  <si>
    <t>01/01/2014'
'01/01/2016
01/01/2018
01/01/2019</t>
  </si>
  <si>
    <t xml:space="preserve">25 năm 
8 tháng </t>
  </si>
  <si>
    <t>49 tuổi 8 tháng</t>
  </si>
  <si>
    <t>236</t>
  </si>
  <si>
    <t>Trần Văn Nhỏ</t>
  </si>
  <si>
    <t>24/11/1966</t>
  </si>
  <si>
    <t>Giáo viên Trường Tiểu học Ninh Thới A</t>
  </si>
  <si>
    <t>4,06+9%
4,06+10%
4,06+11%
4,06+12%
4,06+13%</t>
  </si>
  <si>
    <t>01/01/2014
01/01/2015
01/01/2016
01/01/2017
01/01/2018</t>
  </si>
  <si>
    <t>34 năm 01 tháng</t>
  </si>
  <si>
    <t>52 tuổi 9 tháng 7 ngày</t>
  </si>
  <si>
    <t>237</t>
  </si>
  <si>
    <t>Trương Thanh Dũng</t>
  </si>
  <si>
    <t>17/11/1970</t>
  </si>
  <si>
    <t>Nhân viên Kế toán - Văn thư Trường Tiểu học An Phú Tân B</t>
  </si>
  <si>
    <t>01/02/2015
01/02/2016
01/02/2017
01/02/2018
01/02/2019</t>
  </si>
  <si>
    <t>48 tuổi 9 tháng 14 ngày</t>
  </si>
  <si>
    <t>238</t>
  </si>
  <si>
    <t>Sơn Sanh</t>
  </si>
  <si>
    <t>24/4/1970</t>
  </si>
  <si>
    <t>Cao đẳng giáo dục tiểu học</t>
  </si>
  <si>
    <t>Giáo viên Trường Tiểu học Hòa Tân A</t>
  </si>
  <si>
    <t>30 năm 10 tháng</t>
  </si>
  <si>
    <t>49 tuổi 4 tháng 7 ngày</t>
  </si>
  <si>
    <t>239</t>
  </si>
  <si>
    <t>Quách Hào Quang</t>
  </si>
  <si>
    <t>31/12/1971</t>
  </si>
  <si>
    <t>Cử nhân giáo dục chính trị</t>
  </si>
  <si>
    <t>Giáo viên Trường Trung học cơ sở Phong Thạnh</t>
  </si>
  <si>
    <t>01/8/2012
01/8/2015
01/8/2018</t>
  </si>
  <si>
    <t>25 năm 6 tháng</t>
  </si>
  <si>
    <t>47 tuổi 8 tháng 18 ngày</t>
  </si>
  <si>
    <t>240</t>
  </si>
  <si>
    <t>Thạch Nhung</t>
  </si>
  <si>
    <t>13/02/1971</t>
  </si>
  <si>
    <t>Trung học sư phạm 12+2</t>
  </si>
  <si>
    <t>Nhân viên Trường Tiểu học Phong Phú B</t>
  </si>
  <si>
    <t>01/10/2014
01/10/2016
01/10/2018</t>
  </si>
  <si>
    <t xml:space="preserve">23 năm </t>
  </si>
  <si>
    <t>48 tuổi 6 tháng 21 ngày</t>
  </si>
  <si>
    <t>241</t>
  </si>
  <si>
    <t>Trần Vũ Phong</t>
  </si>
  <si>
    <t>06/11/1972</t>
  </si>
  <si>
    <t>Giáo viên Trường Tiểu học Tam Ngãi B</t>
  </si>
  <si>
    <t>01/01/2014
01/01/2016
01/01/2018</t>
  </si>
  <si>
    <t xml:space="preserve">25 năm 8 tháng </t>
  </si>
  <si>
    <t>46 tuổi 9 tháng 25 ngày</t>
  </si>
  <si>
    <t>242</t>
  </si>
  <si>
    <t>Phan Văn Rạng</t>
  </si>
  <si>
    <t>22/12/1969</t>
  </si>
  <si>
    <t>Nhân viên Thư viện - Thiết bị Trường Tiểu học An Phú Tân A</t>
  </si>
  <si>
    <t>3,65
3,96</t>
  </si>
  <si>
    <t>01/9/2014
01/9/2017</t>
  </si>
  <si>
    <t>49 tuổi 8 tháng 9 ngày</t>
  </si>
  <si>
    <t>243</t>
  </si>
  <si>
    <t>Lâm Thiên</t>
  </si>
  <si>
    <t>02/3/1968</t>
  </si>
  <si>
    <t>Giáo viên Tiểu học chưa đạt chuẩn</t>
  </si>
  <si>
    <t>Nhân viên quản sinh</t>
  </si>
  <si>
    <t xml:space="preserve">3,86
4,06 </t>
  </si>
  <si>
    <t>01/3/2015
01/3/2017</t>
  </si>
  <si>
    <t>51 tuổi 5 tháng 29 ngày</t>
  </si>
  <si>
    <t>244</t>
  </si>
  <si>
    <t>Trần Thanh Phong</t>
  </si>
  <si>
    <t>19/8/1981</t>
  </si>
  <si>
    <t>Đại học Sư phạm Sử</t>
  </si>
  <si>
    <t>Nhân viên Thư viện - Thiết bị Trường Tiểu học An Phú Tân B</t>
  </si>
  <si>
    <t>3,00
3,33</t>
  </si>
  <si>
    <t>01/11/2011
01/11/2014</t>
  </si>
  <si>
    <t>14 năm 11 tháng</t>
  </si>
  <si>
    <t>38 tuổi 01 tháng 11 ngày</t>
  </si>
  <si>
    <t>245</t>
  </si>
  <si>
    <t>Nguyễn Quốc Cường</t>
  </si>
  <si>
    <t>30/8/1983</t>
  </si>
  <si>
    <t>Đại học sư phạm Sinh</t>
  </si>
  <si>
    <t>Nhân viên Thư viện - Thiết bị
Trường Tiểu học Thạnh Phú</t>
  </si>
  <si>
    <t>3,03</t>
  </si>
  <si>
    <t>01/5/2014</t>
  </si>
  <si>
    <t>36 tuổi 01 tháng</t>
  </si>
  <si>
    <t>246</t>
  </si>
  <si>
    <t>Trần Văn Phủ</t>
  </si>
  <si>
    <t>Phó Chủ tịch Hội chữ Thập đỏ huyện Cầu Kè</t>
  </si>
  <si>
    <t>01/12/2011 đến nay</t>
  </si>
  <si>
    <t>01/10/2013
01/10/2016</t>
  </si>
  <si>
    <t>32 năm 11 tháng</t>
  </si>
  <si>
    <t>247</t>
  </si>
  <si>
    <t>Pham Thanh Di</t>
  </si>
  <si>
    <t>01/01/1982</t>
  </si>
  <si>
    <t xml:space="preserve">Đại học
</t>
  </si>
  <si>
    <t>Công chức Ban Tuyên giáo huyện ủy</t>
  </si>
  <si>
    <t>17 năm 4 tháng</t>
  </si>
  <si>
    <t>37 tuổi 6 tháng</t>
  </si>
  <si>
    <t>248</t>
  </si>
  <si>
    <t>Phan Hoàng Tâm</t>
  </si>
  <si>
    <t>10/9/1965</t>
  </si>
  <si>
    <t>Công chức cơ quan Kiểm tra - Thanh tra</t>
  </si>
  <si>
    <t>15 năm 1 tháng</t>
  </si>
  <si>
    <t>53 tuổi 9 tháng 21 ngày</t>
  </si>
  <si>
    <t>249</t>
  </si>
  <si>
    <t>Trần Văn Hưởng</t>
  </si>
  <si>
    <t>22/7/1976</t>
  </si>
  <si>
    <t>Cán bộ Hội Nông dân</t>
  </si>
  <si>
    <t>42 tuổi 11 tháng 9 ngày</t>
  </si>
  <si>
    <t>250</t>
  </si>
  <si>
    <t>08/8/1963</t>
  </si>
  <si>
    <t>Đại học
 Luật</t>
  </si>
  <si>
    <t>Chuyên viên Cơ quan Tổ chức - Nội vụ</t>
  </si>
  <si>
    <t>37 năm 07 tháng</t>
  </si>
  <si>
    <t>55 tuổi 4 tháng 23 này</t>
  </si>
  <si>
    <t>251</t>
  </si>
  <si>
    <t>Lương Lương Minh</t>
  </si>
  <si>
    <t>06/3/1964</t>
  </si>
  <si>
    <t>Đại học 
sư phạm
Toán</t>
  </si>
  <si>
    <t>Phó Trưởng phòng Giáo dục và Đào tạo</t>
  </si>
  <si>
    <t>01/5/2014
01/10/2016</t>
  </si>
  <si>
    <t>30 năm 07 tháng</t>
  </si>
  <si>
    <t>IX</t>
  </si>
  <si>
    <t>252</t>
  </si>
  <si>
    <t>Tô Thị Đầm</t>
  </si>
  <si>
    <t>Giáo viên Trường TH Tân Hiệp A</t>
  </si>
  <si>
    <t>01/6/2014
01/9/2014
'01/9/2016</t>
  </si>
  <si>
    <t>52 tuổi 10 tháng 25 ngày</t>
  </si>
  <si>
    <t>253</t>
  </si>
  <si>
    <t>Thạch Thuông</t>
  </si>
  <si>
    <t>Trung cấp sư phạm</t>
  </si>
  <si>
    <t>Giáo viên Trường TH Phước Hưng B</t>
  </si>
  <si>
    <t>01/6/2014
01/9/2015
01/9/2016
01/9/2017</t>
  </si>
  <si>
    <t>31 năm 8 tháng</t>
  </si>
  <si>
    <t>55 tuổi 10 tháng 19 ngày</t>
  </si>
  <si>
    <t>254</t>
  </si>
  <si>
    <t>Trần Thị Ngọc Hương</t>
  </si>
  <si>
    <t>Giáo viên Trường TH Lưu Nghiệp Anh</t>
  </si>
  <si>
    <t>1/5/2014
01/10/2015</t>
  </si>
  <si>
    <t>31 năm 7 tháng</t>
  </si>
  <si>
    <t>51 tuổi 5 tháng</t>
  </si>
  <si>
    <t>255</t>
  </si>
  <si>
    <t>Dương Thị Mỹ Lệ</t>
  </si>
  <si>
    <t>01/12/1966</t>
  </si>
  <si>
    <t>Giáo viên Trường TH Hàm Tân</t>
  </si>
  <si>
    <t>01/10/2014
'01/10/2015
'01/10/2016
'01/10/2017</t>
  </si>
  <si>
    <t xml:space="preserve">33 năm 02 tháng </t>
  </si>
  <si>
    <t>256</t>
  </si>
  <si>
    <t>Trần Văn Đát</t>
  </si>
  <si>
    <t>Đại học quản trị kinh doanh</t>
  </si>
  <si>
    <t>Phó Trưởng phòng Phòng Kinh Tế và Hạ tầng</t>
  </si>
  <si>
    <t>4,98+14%</t>
  </si>
  <si>
    <t>01/8/2000
 đến nay</t>
  </si>
  <si>
    <t>4,98+9%
4,98+10%
4,98+11%
4,98+12%
4,98+13%</t>
  </si>
  <si>
    <t>01/9/2013
01/9/2014
01/9/2015
01/9/2016
01/9/2017</t>
  </si>
  <si>
    <t>40 năm
 3 tháng</t>
  </si>
  <si>
    <t>57 tuổi 
7 tháng 21 ngày</t>
  </si>
  <si>
    <t>257</t>
  </si>
  <si>
    <t>Huỳnh Quốc Khang</t>
  </si>
  <si>
    <t>Cao đẳng 
Sư phạm</t>
  </si>
  <si>
    <t>Giáo viênTrường Tiểu học Phước Hưng B</t>
  </si>
  <si>
    <t>4,89
4,89+5%
4,89+6%
4,89+7%</t>
  </si>
  <si>
    <t>01/9/2012
01/5/2015
01/9/2016
01/9/2017</t>
  </si>
  <si>
    <t>36 năm
 3 tháng</t>
  </si>
  <si>
    <t>55 tuổi 
01 tháng 26 ngày</t>
  </si>
  <si>
    <t>258</t>
  </si>
  <si>
    <t>Thạch MinhTuyền</t>
  </si>
  <si>
    <t>Trung học 
Sư phạm</t>
  </si>
  <si>
    <t>Giáo viênTrường Tiểu học Tập Sơn</t>
  </si>
  <si>
    <r>
      <t xml:space="preserve">
4,06+6</t>
    </r>
    <r>
      <rPr>
        <strike/>
        <sz val="12"/>
        <color theme="1"/>
        <rFont val="Times New Roman"/>
        <family val="1"/>
      </rPr>
      <t xml:space="preserve">%
</t>
    </r>
    <r>
      <rPr>
        <sz val="12"/>
        <color theme="1"/>
        <rFont val="Times New Roman"/>
        <family val="1"/>
      </rPr>
      <t>4,06+7%
4,06+8%
4,06+9%</t>
    </r>
  </si>
  <si>
    <t xml:space="preserve">
01/10/2015
01/10/2016
01/10/2017
01/10/2018</t>
  </si>
  <si>
    <t>34 năm 
3 tháng</t>
  </si>
  <si>
    <t>55 tuổi 01 tháng 18 ngày</t>
  </si>
  <si>
    <t>259</t>
  </si>
  <si>
    <t>Dương Trang Đài</t>
  </si>
  <si>
    <t>Cao đẳng
 Sư phạm</t>
  </si>
  <si>
    <t>Giáo viên Trường Tiểu học Phước Hưng B</t>
  </si>
  <si>
    <t>32 năm
 02 tháng</t>
  </si>
  <si>
    <t>51 tuổi 11 tháng 25 ngày</t>
  </si>
  <si>
    <t>260</t>
  </si>
  <si>
    <t>Diệp Thanh Thúy</t>
  </si>
  <si>
    <t>Giáo viên Trường Tiểu học Lưu Nghiệp Anh A</t>
  </si>
  <si>
    <t>01/9/2014
01/9/2015
01/6/2016
01/9/2017</t>
  </si>
  <si>
    <t>32 năm
 9 tháng</t>
  </si>
  <si>
    <t>50 tuổi 
5 tháng 16 ngày</t>
  </si>
  <si>
    <t>261</t>
  </si>
  <si>
    <t>Trầm Bình Lành</t>
  </si>
  <si>
    <t>Trung học
 Sư phạm</t>
  </si>
  <si>
    <t>Giáo viên Trường Tiểu học Thanh Sơn</t>
  </si>
  <si>
    <t>32 năm 
9 tháng</t>
  </si>
  <si>
    <t>55 tuổi 01 tháng 24 ngày</t>
  </si>
  <si>
    <t>262</t>
  </si>
  <si>
    <t>Từ Thị Lệ Thủy</t>
  </si>
  <si>
    <t>Đại học
 Sư phạm</t>
  </si>
  <si>
    <t>Giáo viên Trường Tiểu học Phước Hưng A</t>
  </si>
  <si>
    <t>01/10/2012 
đến nay</t>
  </si>
  <si>
    <t>32 năm
 01 tháng</t>
  </si>
  <si>
    <t>52 tuổi 
3 tháng 18 ngày</t>
  </si>
  <si>
    <t>263</t>
  </si>
  <si>
    <t>Trần Ngọc Hoài</t>
  </si>
  <si>
    <t>Giáo viên Trường Tiểu học Kim Sơn</t>
  </si>
  <si>
    <t>01/10/2013
01/10/2015
01/10/2016
01/10/2017
01/10/2018</t>
  </si>
  <si>
    <t>31 năm
 4 tháng</t>
  </si>
  <si>
    <t>55 tuổi
 10 tháng 16 ngày</t>
  </si>
  <si>
    <t>264</t>
  </si>
  <si>
    <t>Trương Thị Lệ Hằng</t>
  </si>
  <si>
    <t xml:space="preserve">01/9/2019
</t>
  </si>
  <si>
    <t>30 năm 
10 tháng</t>
  </si>
  <si>
    <t>51 tuổi
 29 ngày</t>
  </si>
  <si>
    <t>265</t>
  </si>
  <si>
    <t>Lâm Văn Nam</t>
  </si>
  <si>
    <t>4,09+9%</t>
  </si>
  <si>
    <t>33 năm 
7 tháng</t>
  </si>
  <si>
    <t>55 tuổi
 4 tháng 23 ngày</t>
  </si>
  <si>
    <t>266</t>
  </si>
  <si>
    <t>Kim Đen</t>
  </si>
  <si>
    <t>Giáo viên Trường Tiểu học Tân Sơn</t>
  </si>
  <si>
    <t xml:space="preserve">
4,06+6%
4,06+7%
4,06+8%
4,06+9%
4,06+10%</t>
  </si>
  <si>
    <t>38 năm 10 tháng</t>
  </si>
  <si>
    <t>55 tuổi 01 tháng 12 ngày</t>
  </si>
  <si>
    <t>Biểu số 4b</t>
  </si>
  <si>
    <t>SỞ Y TẾ TRÀ VINH</t>
  </si>
  <si>
    <t>TỔNG HỢP NHU CẦU, NGUỒN THỰC HIỆN NGHỊ ĐỊNH SỐ 38/2019/NĐ-CP THEO LĨNH VỰC NĂM 2019</t>
  </si>
  <si>
    <t>Đơn vị tính: triệu đồng</t>
  </si>
  <si>
    <t>CHỈ TIÊU</t>
  </si>
  <si>
    <t>NHU CẦU
KINH PHÍ THỰC HIỆN CCTL 2019</t>
  </si>
  <si>
    <t>NGUỒN TỪ TIẾT KIỆM 10% CHI THƯỜNG XUYÊN VÀ NGUỒN THU
 ĐỂ LẠI ĐƠN VỊ</t>
  </si>
  <si>
    <t>TỔNG SỐ</t>
  </si>
  <si>
    <t>TIẾT KIỆM 10% CHI THƯỜNG XUYÊN</t>
  </si>
  <si>
    <t>NGUỒN THU TỪ ĐƠN VỊ HÀNH CHÍNH, SỰ NGHIỆP</t>
  </si>
  <si>
    <t xml:space="preserve">Số kinh phí còn lại tại đơn vị khi thực hiện nhu cầu tăng lương </t>
  </si>
  <si>
    <t xml:space="preserve">Số kinh phí Ngân sách cấp cho đơn vị khi thực hiện nhu cầu tăng lương </t>
  </si>
  <si>
    <t>TIẾT KIỆM CHI HOẠT ĐỘNG THEO NGHỊ QUYẾT 18,19</t>
  </si>
  <si>
    <t>HỌC PHÍ</t>
  </si>
  <si>
    <t>VIỆN PHÍ (Nguồn CCTL năm trước chuyển sang + dự kiến trích trong năm 2019)</t>
  </si>
  <si>
    <t>KHÁC (Nguồn CCTL năm trước chuyển sang + dự kiến trích trong năm 2019)</t>
  </si>
  <si>
    <t>2=3+…+7</t>
  </si>
  <si>
    <t>7=2-1</t>
  </si>
  <si>
    <t>8=1-2</t>
  </si>
  <si>
    <t>CẤP TỈNH</t>
  </si>
  <si>
    <t>Sự nghiệp y tế</t>
  </si>
  <si>
    <t>01</t>
  </si>
  <si>
    <t>Văn Phòng Sở</t>
  </si>
  <si>
    <t>02</t>
  </si>
  <si>
    <t>Chi Cục An Toàn Vệ sinh Thực Phẩm</t>
  </si>
  <si>
    <t>03</t>
  </si>
  <si>
    <t>Chi Cục DS-KHHGĐ</t>
  </si>
  <si>
    <t>04</t>
  </si>
  <si>
    <t>Trung Tâm Kiểm Soát Bệnh Tật</t>
  </si>
  <si>
    <t>05</t>
  </si>
  <si>
    <t>Trung Tâm Pháp Y</t>
  </si>
  <si>
    <t>06</t>
  </si>
  <si>
    <t>Trung Tâm Kiểm Nghiệm</t>
  </si>
  <si>
    <t>07</t>
  </si>
  <si>
    <t>Trung Tâm GĐYK</t>
  </si>
  <si>
    <t>08</t>
  </si>
  <si>
    <t>Bệnh viện  Y Dược Cổ Truyền</t>
  </si>
  <si>
    <t>09</t>
  </si>
  <si>
    <t>Bệnh viện Sản Nhi</t>
  </si>
  <si>
    <t>Bệnh viện Lao Phổi</t>
  </si>
  <si>
    <t>BVĐK KV huyện Cầu Ngang</t>
  </si>
  <si>
    <t>BVĐK KV huyện Tiểu Cần</t>
  </si>
  <si>
    <t>Trung Tâm Y tế Thị Xã Duyên Hải</t>
  </si>
  <si>
    <t>Trung Tâm Y tế huyện Trà Cú</t>
  </si>
  <si>
    <t>Trung Tâm Y tế huyện Càng Long</t>
  </si>
  <si>
    <t>Trung Tâm Y tế huyện Châu Thành</t>
  </si>
  <si>
    <t>Trung Tâm Y tế huyện Tiểu Cần</t>
  </si>
  <si>
    <t>Trung Tâm Y tế huyện Cầu Kè</t>
  </si>
  <si>
    <t>Trung Tâm Y tế huyện Cầu Ngang</t>
  </si>
  <si>
    <t>Trung Tâm Y tế huyện Duyên Hải</t>
  </si>
  <si>
    <t>Trung Tâm Y tế Thành Phố</t>
  </si>
  <si>
    <t>Trạm Y tế  Thị Xã Duyên Hải</t>
  </si>
  <si>
    <t>Trạm Y tế huyện Trà Cú</t>
  </si>
  <si>
    <t>Trạm Y tế huyện Càng Long</t>
  </si>
  <si>
    <t>Trạm Y tế huyện Châu Thành</t>
  </si>
  <si>
    <t>Trạm Y tế huyện Tiểu Cần</t>
  </si>
  <si>
    <t>Trạm Y tế huyện Cầu Kè</t>
  </si>
  <si>
    <t>Trạm Y tế huyện Cầu Ngang</t>
  </si>
  <si>
    <t>Trạm Y tế huyện Duyên Hải</t>
  </si>
  <si>
    <t>Trạm Y tế Thành Phố</t>
  </si>
  <si>
    <t>Phòng Khám huyện Châu Thành</t>
  </si>
  <si>
    <t>Bệnh viện ĐK Tỉnh Trà Vinh</t>
  </si>
  <si>
    <t>PHÒNG TÀI CHÍNH-HCSN</t>
  </si>
  <si>
    <t>KINH PHÍ THỰC HIỆN NĐ 108 - NĐ 113</t>
  </si>
  <si>
    <t>Đơn vị: 1.000đ.</t>
  </si>
  <si>
    <t>Kinh phí của đơn vị</t>
  </si>
  <si>
    <t>NSNN cấp</t>
  </si>
  <si>
    <t>Ngân sách cấp lương</t>
  </si>
  <si>
    <t>Bổ sung trong năm 2019</t>
  </si>
  <si>
    <t>Số kinh phí tạm ứng trong năm 2019</t>
  </si>
  <si>
    <t>Số đã bổ sung hoàn tạm ứng trong năm 2019</t>
  </si>
  <si>
    <t>Số tạm ứng chưa hoàn</t>
  </si>
  <si>
    <t>Sở, ngành tỉnh</t>
  </si>
  <si>
    <t>Tỉnh Đoàn Trà Vinh</t>
  </si>
  <si>
    <t>Sở Nội vụ</t>
  </si>
  <si>
    <t>Sở Giáo dục và Đào tạo</t>
  </si>
  <si>
    <t>Sở Y tế</t>
  </si>
  <si>
    <t>Đài Phát thanh và Truyền hình</t>
  </si>
  <si>
    <t>Ban Quản lý dự án đầu tư xây dựng các công trình dân dụng và công nghiệp</t>
  </si>
  <si>
    <t>Trung tâm Dạy nghề thuộc Hội Liên hiệp Phụ nữ tỉnh</t>
  </si>
  <si>
    <t>Hội Liên hiệp Phụ nữ</t>
  </si>
  <si>
    <t>Đảng ủy Khối cơ quan và Doanh nghiệp tỉnh (VP TU)</t>
  </si>
  <si>
    <t>Ủy ban Mặt trận Tổ quốc VN tỉnh TV</t>
  </si>
  <si>
    <t>Ban Dân tộc</t>
  </si>
  <si>
    <t>Sở Tài nguyên và Môi trường</t>
  </si>
  <si>
    <t>Sở Xây dựng</t>
  </si>
  <si>
    <t>Sở Lao động, Thương binh và Xã hội</t>
  </si>
  <si>
    <t>Sở Nông nghiệp và Phát triển
 nông thôn</t>
  </si>
  <si>
    <t>Sở Thông tin và Truyền thông</t>
  </si>
  <si>
    <t>Sở Kế hoạch và đầu tư</t>
  </si>
  <si>
    <t>Trung tâm Bảo trợ xã hội trực thuộc Sở Lao động, Thương binh và Xã hội</t>
  </si>
  <si>
    <t>Trường Cao đẳng nghề Trà Vinh</t>
  </si>
  <si>
    <t>Sở Khoa học và Công nghệ</t>
  </si>
  <si>
    <t>Cấp huyện</t>
  </si>
  <si>
    <t>Thị ủy Duyên Hải</t>
  </si>
  <si>
    <t>Biểu số 01</t>
  </si>
  <si>
    <t>BÁO CÁO PHẦN NSNN GiẢM CHI DO THỰC HIỆN NGHỊ QUYẾT SỐ 18, 19</t>
  </si>
  <si>
    <t>Đơn vị: Triệu đồng.</t>
  </si>
  <si>
    <t>Giai đoạn
 2017-2020</t>
  </si>
  <si>
    <t>Dự kiến giai đoạn 2021-2025</t>
  </si>
  <si>
    <t>Năm 2017</t>
  </si>
  <si>
    <t>Năm 2018</t>
  </si>
  <si>
    <t>Năm 2019</t>
  </si>
  <si>
    <t>Năm 2020</t>
  </si>
  <si>
    <t>TỔNG SỐ NSNN GIẢM CHI DO THỰC HIỆN NGHỊ QUYẾT SỐ 18, 19, TRONG ĐÓ:</t>
  </si>
  <si>
    <t>Từ việc tinh giản biên chế, tổ chức lại bộ máy</t>
  </si>
  <si>
    <t>Từ việc sát nhập các đầu mối, cơ quan, đơn vị</t>
  </si>
  <si>
    <t>Từ việc thay đổi cơ chế tự chủ của đơn vị sự nghiệp</t>
  </si>
  <si>
    <t>- Đơn vị tự đảm bảo 1 phần chi thường xuyên, NSNN đảm bảo toàn bộ hoạt động chi thường xuyên</t>
  </si>
  <si>
    <t>- Đơn vị tư đạm bảo chi thường xuyên</t>
  </si>
  <si>
    <t>Từ việc sát nhập các huyện, xã không đủ điều kiện tiêu chuẩn</t>
  </si>
  <si>
    <t>KẾT QUẢ SỬ DỤNG PHẦN NSNN GIẢM CHI DO THỰC HIỆN NGHỊ QUYẾT SỐ 18, 19</t>
  </si>
  <si>
    <t>Bổ sung vào nguồn cải cách tiền lương để thực hiện chi trả tiền lương tăng thêm do tăng mức lương cơ sở</t>
  </si>
  <si>
    <t>Bổ sung vào nguồn chi trả các chính sách an sinh xã hội do địa phương ban hành và tăng chi cho nhiệm vụ tăng cường cơ sở vật chất</t>
  </si>
  <si>
    <t>BÁO CÁO PHẦN NSNN GIẢM CHI DO THỰC HIỆN NGHỊ QUYẾT SỐ 18, 19</t>
  </si>
  <si>
    <t>Đv: Triệu đồng</t>
  </si>
  <si>
    <t>Giai đoạn 2017-2020</t>
  </si>
  <si>
    <t>Trường Đại học</t>
  </si>
  <si>
    <t>Trường Cao đẳng y  tế</t>
  </si>
  <si>
    <t>Trung tâm dịch vụ giải quyết việc làm</t>
  </si>
  <si>
    <t>Trung tâm Giống</t>
  </si>
  <si>
    <t>Phòng Công chứng</t>
  </si>
  <si>
    <t>Ban Quản lý cảng cá</t>
  </si>
  <si>
    <t>Bổ sung vào nuồn cải cách tiền lương để thực hiện chi trả tiền lương tăng thêm do tăng mức lương cơ sở</t>
  </si>
  <si>
    <t>Trà Vinh, ngày  15 tháng 06 năm 2020</t>
  </si>
  <si>
    <t>KINH PHÍ GIẢM CHI DO TGBC NĂM 2019 - CẤP TỈNH</t>
  </si>
  <si>
    <t>ĐVT: 1.000 đ</t>
  </si>
  <si>
    <t>Tên đơn vị</t>
  </si>
  <si>
    <t>Họ tên đối tượng tinh giản biên chế</t>
  </si>
  <si>
    <t>Tổng kinh phí thực hiện tinh giản biên chế</t>
  </si>
  <si>
    <t>Kinh phí ngân sách cấp để chi trả kinh phí tinh giản</t>
  </si>
  <si>
    <t>Kinh phí cơ quan chi trả để tinh giản biên chế</t>
  </si>
  <si>
    <t>Số tháng còn lại</t>
  </si>
  <si>
    <t>Ghi chú</t>
  </si>
  <si>
    <t>SỞ NGÀNH TỈNH</t>
  </si>
  <si>
    <t>HỆ ĐẢNG</t>
  </si>
  <si>
    <t>I.</t>
  </si>
  <si>
    <t>Khối hành chính</t>
  </si>
  <si>
    <t>1. Tỉnh Đoàn Trà Vinh</t>
  </si>
  <si>
    <t>Võ Ngọc Phương Trâm</t>
  </si>
  <si>
    <t xml:space="preserve"> 2. Hội Liên hiệp Phụ nữ</t>
  </si>
  <si>
    <t>Võ Thị Lấn</t>
  </si>
  <si>
    <t>3. Đảng ủy Khối cơ quan và Doanh nghiệp tỉnh (VP TU)</t>
  </si>
  <si>
    <t>Nguyễn Minh Lớn</t>
  </si>
  <si>
    <t>Đặng Phong Thuận</t>
  </si>
  <si>
    <t>Cao Thành Phước</t>
  </si>
  <si>
    <t>4. Ủy ban Mặt trận Tổ quốc VN tỉnh TV</t>
  </si>
  <si>
    <t>Sơn Lem</t>
  </si>
  <si>
    <t>Số kinh phí còn lại đơn vị
 đã sử dụng chi trả đối tượng tinh giản 28,786 trđ</t>
  </si>
  <si>
    <t>Huỳnh Kim Hòa</t>
  </si>
  <si>
    <t>HỆ NHÀ NƯỚC</t>
  </si>
  <si>
    <t>1. Sở Nội vụ</t>
  </si>
  <si>
    <t>Lê Văn Hùng</t>
  </si>
  <si>
    <t>2. Sở Xây dựng</t>
  </si>
  <si>
    <t>Trần Quyết Chiến</t>
  </si>
  <si>
    <t>3. Sở Lao động, Thương binh và Xã hội</t>
  </si>
  <si>
    <t>Đoàn Thanh Tùng</t>
  </si>
  <si>
    <t>4. Sở Nông nghiệp và Phát triển nông thôn</t>
  </si>
  <si>
    <t>Lê Phú Hậu</t>
  </si>
  <si>
    <t>Đặng Thị Kim Hơn</t>
  </si>
  <si>
    <t>5. Sở Giáo dục và Đào tạo</t>
  </si>
  <si>
    <t>Sơn Ngọc Nhơn</t>
  </si>
  <si>
    <t>6. Sở Thông tin và Truyền thông</t>
  </si>
  <si>
    <t>Nguyễn Minh Trí</t>
  </si>
  <si>
    <t>7. Sở Kế hoạch và đầu tư</t>
  </si>
  <si>
    <t>Trần Thị Kim Oanh</t>
  </si>
  <si>
    <t>8. Ban Dân tộc</t>
  </si>
  <si>
    <t>Kiên Bông</t>
  </si>
  <si>
    <t>9. Sờ Tài nguyên và Môi trường</t>
  </si>
  <si>
    <t>Đặng Thành Đức</t>
  </si>
  <si>
    <t>4. Chi cục Dân số - KHHGD</t>
  </si>
  <si>
    <t>Huỳnh Văn Thặng</t>
  </si>
  <si>
    <t xml:space="preserve">Số kinh phí còn lại đơn vị
 đã sử dụng chi trả đối tượng tinh giản 23.373 ngàn đồng </t>
  </si>
  <si>
    <t>II.</t>
  </si>
  <si>
    <t>Khối sự nghiệp</t>
  </si>
  <si>
    <t>1. Sở Giáo dục và Đào tạo</t>
  </si>
  <si>
    <t xml:space="preserve"> Thạch Sết</t>
  </si>
  <si>
    <t>Phần kinh phí còn lại của các biên chế tinh giản này được dùng để chi nâng bậc lương thường xuyên cho viên chức các Trường, Ngân sách không cấp bổ sung</t>
  </si>
  <si>
    <t>Tô Quang Vựng</t>
  </si>
  <si>
    <t>Âu Quang Các</t>
  </si>
  <si>
    <t>Đoàn Thị Thơ</t>
  </si>
  <si>
    <t>Nguyễn Văn Phiên</t>
  </si>
  <si>
    <t>Thạch Ninh</t>
  </si>
  <si>
    <t>01/7/1019</t>
  </si>
  <si>
    <t>Nguyễn Thị Huỳnh Ánh</t>
  </si>
  <si>
    <t>01/11/1019</t>
  </si>
  <si>
    <t>Huỳnh Thị Cẩm Nhung</t>
  </si>
  <si>
    <t>Kim Thành Sang</t>
  </si>
  <si>
    <t>Lê Hồng Châu</t>
  </si>
  <si>
    <t>Trần Thanh Nhàn</t>
  </si>
  <si>
    <t>Phạm Thị Nữ</t>
  </si>
  <si>
    <t>Trần Minh Châu</t>
  </si>
  <si>
    <t>Viên Hồng Trường</t>
  </si>
  <si>
    <t>Huỳnh Hữu Đức</t>
  </si>
  <si>
    <t>Võ Ngọc Thảo</t>
  </si>
  <si>
    <t>2. Sở Y tế</t>
  </si>
  <si>
    <t>Huỳnh Thị Nhàn</t>
  </si>
  <si>
    <t>Do nghỉ đầu năm nên khi tổng hợp dự toán 2019 ko giao lương cho biên chế này</t>
  </si>
  <si>
    <t>Bạch Hồng Thàng</t>
  </si>
  <si>
    <t>Nguyễn Thị Bích Ngọc</t>
  </si>
  <si>
    <t xml:space="preserve"> - Trạm Y tế P4 đã bổ sung vị trí thay thế được đối tượng tinh giản
 - Do nghỉ đầu năm nên khi tổng hợp dự toán 2019 ko giao lương cho biên chế này</t>
  </si>
  <si>
    <t>Ngô Thị Bế</t>
  </si>
  <si>
    <t>Biên chế này thuộc Bệnh viện nên tính theo định mức giường bệnh nên không giao lương và hoạt động</t>
  </si>
  <si>
    <t>Lâm Ngọc Tài</t>
  </si>
  <si>
    <t>Lê Trung Liệt</t>
  </si>
  <si>
    <t>Nguyễn Văn Tỏ</t>
  </si>
  <si>
    <t>Trần Văn Hải</t>
  </si>
  <si>
    <t>Trần Thị Nhị</t>
  </si>
  <si>
    <t>3. Đài Phát thanh và Truyền hình</t>
  </si>
  <si>
    <t>Trần Văn Bình</t>
  </si>
  <si>
    <t>4. Ban Quản lý dự án đầu tư xây dựng các công trình dân dụng và công nghiệp</t>
  </si>
  <si>
    <t>Đơn vị tự đảm bảo toàn bộ chi phí nên ngân sách không cấp lương cho đơn vị</t>
  </si>
  <si>
    <t>Nguyễn Văn Hai</t>
  </si>
  <si>
    <t>Nguyễn Thanh Thảo</t>
  </si>
  <si>
    <t>Nguyễn Văn Dũng</t>
  </si>
  <si>
    <t>5. Trung tâm Dạy nghề thuộc Hội Liên hiệp Phụ nữ tỉnh</t>
  </si>
  <si>
    <t>Trương Thị Bạch Lan</t>
  </si>
  <si>
    <t>Đơn vị đã có Quyết định giải thể nên không giao dự toán năm 2019 cho đơn vị</t>
  </si>
  <si>
    <t>6. Trung tâm Bảo trợ xã hội trực thuộc
 Sở Lao động, Thương binh và Xã hội</t>
  </si>
  <si>
    <t>Lê Thị Phượng</t>
  </si>
  <si>
    <t>Đoàn Thị Bạch Tuyết</t>
  </si>
  <si>
    <t>8. Trường Cao đẳng nghề Trà Vinh</t>
  </si>
  <si>
    <t>Kim Sô Phol</t>
  </si>
  <si>
    <t>9. Sở Nông nghiệp và Phát triển nông thôn</t>
  </si>
  <si>
    <t>Trần Thị Diệu Hiền</t>
  </si>
  <si>
    <t xml:space="preserve"> 01/08/2019</t>
  </si>
  <si>
    <t>Đoàn Thị Nhung</t>
  </si>
  <si>
    <t xml:space="preserve"> 01/8/2019</t>
  </si>
  <si>
    <t>Dư Quốc Thái</t>
  </si>
  <si>
    <t>Thạch Thị Oanh Thúy</t>
  </si>
  <si>
    <t>Võ Hồng Vĩnh</t>
  </si>
  <si>
    <t>Thạch Khánh Tâm</t>
  </si>
  <si>
    <t>Lương Văn Hân</t>
  </si>
  <si>
    <t>Huỳnh Thị Trúc Duyên</t>
  </si>
  <si>
    <t>Huỳnh Thị Huyền Châu</t>
  </si>
  <si>
    <t>Nguyễn Văn Kiệt</t>
  </si>
  <si>
    <t>Võ Thị Lài</t>
  </si>
  <si>
    <t>Diệp Văn Tân</t>
  </si>
  <si>
    <t>Đặng Văn Vui</t>
  </si>
  <si>
    <t>Nguyễn Ngọc Thùy</t>
  </si>
  <si>
    <t>Nguyễn Thúy Oanh</t>
  </si>
  <si>
    <t>Đặng Tấn Truyền</t>
  </si>
  <si>
    <t>Trần Văn Hoàng</t>
  </si>
  <si>
    <t>Huỳnh Văn Nhỏ</t>
  </si>
  <si>
    <t>10. Sở Khoa học và Công nghệ</t>
  </si>
  <si>
    <t>Tôn Thanh Phương</t>
  </si>
  <si>
    <t>Tổng cộng</t>
  </si>
  <si>
    <t>CHI TỪ NGUỒN CẢI CÁCH TIỀN LƯƠNG NĂM 2019</t>
  </si>
  <si>
    <t>Số tiền</t>
  </si>
  <si>
    <t>Kinh phí thực hiện hỗ trợ cho đối tượng thôi việc theo Nghị quyết số 71/2018/NQ-HĐND ngày 11/7/2018 của Hội đồng nhân dân tỉnh</t>
  </si>
  <si>
    <t>Sở Xây dựng</t>
  </si>
  <si>
    <t>Kinh phí chi trả các khoản thanh toán các nhân, định mức hoạt động thường xuyên và mua sắm máy vi tính phục vụ hoạt động của Trung TÂm Dạy nghề và Hỗ trợ nông dan tỉnh trực thuộc Hội Nông dân</t>
  </si>
  <si>
    <t>Hội Nông dân</t>
  </si>
  <si>
    <t>Kinh phí chi trả bảo hiểm thất nghiệp cho 03 viên chức
thuộc đối tượng được đóng bảo hiểm thất nghiệp từ ngày 01/01/2015 đến ngày 31/12/2018</t>
  </si>
  <si>
    <t>Kinh phí do tuyển dụng thêm 04 chỉ tiêu lao động hợp đồng theo Nghị định số 68/2000/NĐ-CP</t>
  </si>
  <si>
    <t>Sở Lao động, thương
binh và xã hội</t>
  </si>
  <si>
    <t>Kinh phí hỗ trợ chi trả trợ cấp thôi việc 
theo Nghị quyết số 71/2018/NQ-HĐND ngày 11/7/2018 và Nghị quyết số 84/2019/NQ-HĐND của Hội đồng nhân dân tỉnh</t>
  </si>
  <si>
    <t>Kinh phí hỗ trợ chi trả trợ cấp thôi việc theo Nghị quyết số 71/2018/NQ-HĐND ngày 11/7/2018 và Nghị quyết số 84/2019/NQ-HĐND của Hội đồng nhân dân tỉnh</t>
  </si>
  <si>
    <t>Sở Lao động, thương
binh và xã hội (TT Bảo trợ xã hội)</t>
  </si>
  <si>
    <t>Sở Lao động, thương
binh và xã hội (Chi cục phòng chống tệ nạn xã hội)</t>
  </si>
  <si>
    <t>Văn phòng HĐND</t>
  </si>
  <si>
    <t>Sở Kế hoạch và Đầu tư</t>
  </si>
  <si>
    <t>Sở Tư pháp</t>
  </si>
  <si>
    <t>Sở Y tế (Chi cục an toàn vệ sinh thực phẩm)</t>
  </si>
  <si>
    <t>Kinh phí chi trả tiền lương do nâng bậc lương cho cán bộ, 
công chức</t>
  </si>
  <si>
    <t>Ban quản lý khu kinh tế</t>
  </si>
  <si>
    <t>Sở NN&amp;PTNT</t>
  </si>
  <si>
    <t>Sở Lao động, thương
binh và xã hội (VP Sở)</t>
  </si>
  <si>
    <t>Kinh phí chi trả tiềm trợ cấp thôi việc cho công chức Phòng
Công chứng số 1</t>
  </si>
  <si>
    <t>Kinh phí  thôi việc theo nguyện vọng theo Nghị quyết số 71/2018/NQ-HĐND ngày 11/7/2018 của Hội đồng nhân dân tỉnh</t>
  </si>
  <si>
    <t>Kinh phí chi phụ cấp đại biểu HĐND theo Nghị quyết số 
1206/2016/NQ-UBTVQH13 ngày 13/5/2016 của Ban Thường vụ Quốc hội</t>
  </si>
  <si>
    <t>ĐVT: Triệu đồng</t>
  </si>
  <si>
    <t xml:space="preserve">Sự nghiệp giáo dục - đào tạo </t>
  </si>
  <si>
    <t>- Giáo dục:</t>
  </si>
  <si>
    <t>- Đào tạo</t>
  </si>
  <si>
    <t>Quản lý nhà nước, đảng, đoàn thể</t>
  </si>
  <si>
    <t>HUYỆN CÀNG LONG</t>
  </si>
  <si>
    <t>HUYỆN CHÂU THÀNH</t>
  </si>
  <si>
    <t>HUYỆN TRÀ CÚ</t>
  </si>
  <si>
    <t>HUYỆN CẦU NGANG</t>
  </si>
  <si>
    <t>HUYỆN DUYÊN HẢI</t>
  </si>
  <si>
    <t>THỊ XÃ DUYÊN HẢI</t>
  </si>
  <si>
    <t>HUYỆN TIỂU CẦN</t>
  </si>
  <si>
    <t>HUYỆN CẦU KÈ</t>
  </si>
  <si>
    <t>THÀNH PHỐ TRÀ VINH</t>
  </si>
  <si>
    <t>Trà Vinh, ngày ……tháng……năm 2019</t>
  </si>
  <si>
    <t>CHỦ TỊCH</t>
  </si>
  <si>
    <t>Biểu 2a</t>
  </si>
  <si>
    <t>(Ban hành kèm theo Thông tư số 46/2019/TT-BTC ngày 23 tháng 7 năm 2019 của Bộ Tài chính)</t>
  </si>
  <si>
    <t>Viên chức</t>
  </si>
  <si>
    <t>Công chức</t>
  </si>
  <si>
    <t>CHÊNH LỆCH QUỸ LƯƠNG, PHỤ CẤP TĂNG THÊM
1 THÁNG</t>
  </si>
  <si>
    <t>TỔNG CỘNG</t>
  </si>
  <si>
    <t>MỨC LƯƠNG THEO NGẠCH, BẬC, CHỨC VỤ</t>
  </si>
  <si>
    <t>TỔNG CÁC KHOẢN PHỤ CẤP (1)</t>
  </si>
  <si>
    <t>Trong đó</t>
  </si>
  <si>
    <t>CÁC KHOẢN ĐÓNG GÓP BHXH, BHYT, KPCĐ
(2)</t>
  </si>
  <si>
    <t>PHỤ CẤP KHU VỰC</t>
  </si>
  <si>
    <t>PHỤ CẤP CHỨC VỤ</t>
  </si>
  <si>
    <t>PHỤ CẤP THÂM NIÊN VƯỢT KHUNG</t>
  </si>
  <si>
    <t>PHỤ CẤP ƯU ĐÃI NGÀNH</t>
  </si>
  <si>
    <t>PHỤ CẤP THU HÚT</t>
  </si>
  <si>
    <t>PHỤ CẤP LÂU NĂM</t>
  </si>
  <si>
    <t xml:space="preserve">PHỤ CẤP CÔNG VỤ </t>
  </si>
  <si>
    <t>PHỤ CẤP CÔNG TÁC ĐẢNG</t>
  </si>
  <si>
    <t>PHỤ CẤP THÂM NIÊN NGHỀ</t>
  </si>
  <si>
    <t>PHỤ CẤP KHÁC</t>
  </si>
  <si>
    <t>chức vụ</t>
  </si>
  <si>
    <t>hút</t>
  </si>
  <si>
    <t>33=19-5</t>
  </si>
  <si>
    <t>TỔNG CỘNG (I+II+III+IV)</t>
  </si>
  <si>
    <t>KHU VƯC HCSN, ĐẢNG, ĐOÀN THỂ</t>
  </si>
  <si>
    <t>Trong đó: đơn vị tự đảm bảo (3)</t>
  </si>
  <si>
    <t xml:space="preserve"> </t>
  </si>
  <si>
    <t>Sự nghiệp Khoa học-công nghệ</t>
  </si>
  <si>
    <t>Sự nghiệp Văn hoá thông tin</t>
  </si>
  <si>
    <t>Sự nghiệp Phát thanh truyền hình</t>
  </si>
  <si>
    <t>Sự nghiệp Thể dục - thể thao</t>
  </si>
  <si>
    <t>Sự nghiệp Đảm bảo xã hội</t>
  </si>
  <si>
    <t>Sự nghiệp kinh tế</t>
  </si>
  <si>
    <t>Sự nghiệp môi trường</t>
  </si>
  <si>
    <t>Trong đó:  - Quản lý nhà nước</t>
  </si>
  <si>
    <t xml:space="preserve">                 - Đảng</t>
  </si>
  <si>
    <t xml:space="preserve">                - Đoàn thể</t>
  </si>
  <si>
    <t>CÁN BỘ CHUYÊN TRÁCH CÔNG CHỨC CẤP XÃ</t>
  </si>
  <si>
    <t>HOẠT ĐỘNG PHÍ ĐẠI BIỂU HĐND CÁC CẤP</t>
  </si>
  <si>
    <t>+ Cấp tỉnh</t>
  </si>
  <si>
    <t>+Cấp huyện</t>
  </si>
  <si>
    <t>+ Cấp xã</t>
  </si>
  <si>
    <t xml:space="preserve">PHỤ CẤP TRÁCH NHIỆM CẤP ỦY </t>
  </si>
  <si>
    <t>+ Uỷ viên cấp tỉnh</t>
  </si>
  <si>
    <t>+ Uỷ viên cấp huyện</t>
  </si>
  <si>
    <t>+ Uỷ viên cấp xã</t>
  </si>
  <si>
    <t>KHỐI TỈNH</t>
  </si>
  <si>
    <t>Sở Giáo dục và Đào tạo (SN Giáo dục)</t>
  </si>
  <si>
    <t xml:space="preserve"> - Trường THPT Bùi Hữu Nghĩa</t>
  </si>
  <si>
    <t xml:space="preserve"> - Trường THPT Long Hiệp</t>
  </si>
  <si>
    <t xml:space="preserve"> - Trường THPT Nguyễn Văn Hai</t>
  </si>
  <si>
    <t xml:space="preserve"> - Trường THPT Vũ Đình Liệu</t>
  </si>
  <si>
    <t xml:space="preserve"> - Trường THPT Trà Cú</t>
  </si>
  <si>
    <t xml:space="preserve"> - Trường THPT TP Trà Vinh</t>
  </si>
  <si>
    <t xml:space="preserve"> - Trường THPT  Hiếu Tử</t>
  </si>
  <si>
    <t xml:space="preserve"> - Trường THPT Cầu Ngang A</t>
  </si>
  <si>
    <t xml:space="preserve"> - Trường THPT Hàm Giang</t>
  </si>
  <si>
    <t xml:space="preserve"> - Trường THPT Cầu Quan</t>
  </si>
  <si>
    <t xml:space="preserve"> - Trường THPT Long Khánh</t>
  </si>
  <si>
    <t xml:space="preserve"> - Trường THPT Nguyễn Đáng</t>
  </si>
  <si>
    <t xml:space="preserve"> - Trường THPT Dương Quang Đông</t>
  </si>
  <si>
    <t xml:space="preserve"> - Trường THPT Cầu Ngang B</t>
  </si>
  <si>
    <t xml:space="preserve"> - Trường THPT Tiểu Cần</t>
  </si>
  <si>
    <t xml:space="preserve"> - Trường THPT Tam Ngãi</t>
  </si>
  <si>
    <t xml:space="preserve"> - Trường THPT Phong Phú</t>
  </si>
  <si>
    <t xml:space="preserve"> - Trường THPT Hòa Lợi</t>
  </si>
  <si>
    <t xml:space="preserve"> - Trường THPT Hồ Thị Nhâm</t>
  </si>
  <si>
    <t xml:space="preserve"> - Trường THPT Long Hữu</t>
  </si>
  <si>
    <t xml:space="preserve"> - Trường THPT Phạm Thái Bường</t>
  </si>
  <si>
    <t xml:space="preserve"> - Trường THPT Duyên Hải</t>
  </si>
  <si>
    <t xml:space="preserve"> - Trường THPT Hòa Minh</t>
  </si>
  <si>
    <t xml:space="preserve"> - Trường THPT Tập Sơn</t>
  </si>
  <si>
    <t xml:space="preserve"> - Trường Chuyên Ng Thiện Thành</t>
  </si>
  <si>
    <t xml:space="preserve"> - Trường THPT Cầu Kè</t>
  </si>
  <si>
    <t xml:space="preserve"> - TT GDTX TP Trà Vinh</t>
  </si>
  <si>
    <t xml:space="preserve"> - TT GDTX huyện Trà Cú</t>
  </si>
  <si>
    <t xml:space="preserve"> - DTNT THPT Tiểu Cần</t>
  </si>
  <si>
    <t xml:space="preserve"> - DTNT THPT Trà Cú</t>
  </si>
  <si>
    <t xml:space="preserve"> - DTNT THPT Trà Vinh</t>
  </si>
  <si>
    <t xml:space="preserve"> - Trường Trung cấp Pali-khmer</t>
  </si>
  <si>
    <t xml:space="preserve"> - Trường THPT Dương Háo Học</t>
  </si>
  <si>
    <t xml:space="preserve"> - Trường THPT Lương Hòa A</t>
  </si>
  <si>
    <t xml:space="preserve"> - Trường THPT Đôn Châu</t>
  </si>
  <si>
    <t xml:space="preserve"> - Trường THPT Nhị Trường</t>
  </si>
  <si>
    <t xml:space="preserve"> - Trường THPT Đại An</t>
  </si>
  <si>
    <t xml:space="preserve"> - TT Giáo dục thường xuyên tỉnh</t>
  </si>
  <si>
    <t>Trường Thực hành Sư phạm</t>
  </si>
  <si>
    <t>Trường Đại học Trà Vinh</t>
  </si>
  <si>
    <t>Trường Chính trị</t>
  </si>
  <si>
    <t>Sở Văn hóa, Thể thao và Du lịch (Trường Trung cấp Văn hóa Nghệ thuật và thể thao)</t>
  </si>
  <si>
    <t>Trường Cao đẳng Y tế</t>
  </si>
  <si>
    <t>Trường Cao đẳng nghề</t>
  </si>
  <si>
    <t xml:space="preserve">Sở LĐTBXH (Trường Trung cấp nghề Dân tộc nội trú) </t>
  </si>
  <si>
    <t>Hội Nông dân (Trung tâm Dạy nghề Hội Nông dân)</t>
  </si>
  <si>
    <t>Hội Liên hiệp Phụ nữ (Trung tâm dạy nghề Hội phụ nữ)</t>
  </si>
  <si>
    <t xml:space="preserve"> - Chi cục dân số - KHHGĐ</t>
  </si>
  <si>
    <t xml:space="preserve"> - Chi cục an toàn VS thực phẩm</t>
  </si>
  <si>
    <t xml:space="preserve"> - TT y tế Kiểm soát bệnh tật</t>
  </si>
  <si>
    <t xml:space="preserve"> - TT chăm sóc sức khỏe SS</t>
  </si>
  <si>
    <t xml:space="preserve"> - TT Kiểm nghiệm</t>
  </si>
  <si>
    <t xml:space="preserve"> - TT truyền thông GDSK</t>
  </si>
  <si>
    <t xml:space="preserve"> - TT phòng chống HIV/AIDS</t>
  </si>
  <si>
    <t xml:space="preserve"> - TT Pháp y</t>
  </si>
  <si>
    <t xml:space="preserve"> - TT Y tế huyện, TP, TX</t>
  </si>
  <si>
    <t xml:space="preserve">   + Trung Tâm Y tế Thị Xã Duyên Hải</t>
  </si>
  <si>
    <t xml:space="preserve">   + Trung Tâm Y tế huyện Trà Cú</t>
  </si>
  <si>
    <t xml:space="preserve">   + Trung Tâm Y tế huyện Càng Long</t>
  </si>
  <si>
    <t xml:space="preserve">   + Trung Tâm Y tế huyện Châu Thành</t>
  </si>
  <si>
    <t xml:space="preserve">   + Trung Tâm Y tế huyện Tiểu Cần</t>
  </si>
  <si>
    <t xml:space="preserve">   + Trung Tâm Y tế huyện Cầu Kè</t>
  </si>
  <si>
    <t xml:space="preserve">   + Trung Tâm Y tế huyện Cầu Ngang</t>
  </si>
  <si>
    <t xml:space="preserve">   + Trung Tâm Y tế huyện Duyên Hải</t>
  </si>
  <si>
    <t xml:space="preserve">   + Trung Tâm Y tế Thành Phố</t>
  </si>
  <si>
    <t xml:space="preserve"> - TT dân số (nhập vô TT y tế)</t>
  </si>
  <si>
    <t xml:space="preserve"> - Bệnh viện đa khoa tỉnh Trà Vinh </t>
  </si>
  <si>
    <t xml:space="preserve"> - Bệnh viện Đa khoa khu vực</t>
  </si>
  <si>
    <t xml:space="preserve">    + BVĐK  Khu vực Tiểu Cần</t>
  </si>
  <si>
    <t xml:space="preserve">    + BVĐK Khu vực Cầu Ngang</t>
  </si>
  <si>
    <t xml:space="preserve"> - BV đa khoa cấp huyện</t>
  </si>
  <si>
    <t xml:space="preserve">    + BVĐK Trà Cú (sáp nhập vô TT y tế)</t>
  </si>
  <si>
    <t xml:space="preserve">    + BVĐK Cầu Kè (sáp nhập vô TT y tế)</t>
  </si>
  <si>
    <t xml:space="preserve">    + BVĐK Càng Long (sáp nhập vô TT y tế)</t>
  </si>
  <si>
    <t xml:space="preserve">    + BVĐK Châu Thành (sáp nhập vô TT y tế)</t>
  </si>
  <si>
    <t xml:space="preserve">    + BVĐK thị xã Duyên Hải (sáp nhập vô TT y tế)</t>
  </si>
  <si>
    <t xml:space="preserve"> - BV Y dược cổ truyền </t>
  </si>
  <si>
    <t xml:space="preserve"> - BV Sản nhi </t>
  </si>
  <si>
    <t xml:space="preserve"> - BV Lao phổi </t>
  </si>
  <si>
    <t xml:space="preserve"> - 95 trạm Y tế xã</t>
  </si>
  <si>
    <t xml:space="preserve">   + Trạm Y tế  Thị Xã Duyên Hải</t>
  </si>
  <si>
    <t xml:space="preserve">   + Trạm Y tế huyện Trà Cú</t>
  </si>
  <si>
    <t xml:space="preserve">   + Trạm Y tế huyện Càng Long</t>
  </si>
  <si>
    <t xml:space="preserve">   + Trạm Y tế huyện Châu Thành</t>
  </si>
  <si>
    <t xml:space="preserve">   + Trạm Y tế huyện Tiểu Cần</t>
  </si>
  <si>
    <t xml:space="preserve">   + Trạm Y tế huyện Cầu Kè</t>
  </si>
  <si>
    <t xml:space="preserve">   + Trạm Y tế huyện Cầu Ngang</t>
  </si>
  <si>
    <t xml:space="preserve">   + Trạm Y tế huyện Duyên Hải</t>
  </si>
  <si>
    <t xml:space="preserve">   + Trạm Y tế Thành Phố</t>
  </si>
  <si>
    <t xml:space="preserve"> - Phòng khám đa khoa khu vực Châu Thành</t>
  </si>
  <si>
    <t xml:space="preserve"> - Trung tâm Giám định y khoa</t>
  </si>
  <si>
    <t>Bệnh viện Quân dân y</t>
  </si>
  <si>
    <t>Sở Khoa học và Công nghệ</t>
  </si>
  <si>
    <t xml:space="preserve"> - Quỹ Phát triển KHCN</t>
  </si>
  <si>
    <t xml:space="preserve"> - Chi cục Tiêu chuẩn Đo lường Chất lượng</t>
  </si>
  <si>
    <t>+ Công chức</t>
  </si>
  <si>
    <t>+ Viên chức</t>
  </si>
  <si>
    <t xml:space="preserve"> - TT Kỹ thuật Tiêu chuẩn Đo lường Chất lượng</t>
  </si>
  <si>
    <t xml:space="preserve"> - TT Ứng dụng tiến bộ KH và công nghệ</t>
  </si>
  <si>
    <t xml:space="preserve"> - TT Thông tin và Ứng dụng tiến bộ KH&amp;CN</t>
  </si>
  <si>
    <t>Sở Văn hóa, Thể thao và Du lịch</t>
  </si>
  <si>
    <t xml:space="preserve"> - Đoàn nghệ thuật Ánh Bình Minh</t>
  </si>
  <si>
    <t xml:space="preserve"> - Thư viện tỉnh</t>
  </si>
  <si>
    <t xml:space="preserve"> - Bảo tàng tổng hợp</t>
  </si>
  <si>
    <t xml:space="preserve"> - Trung tâm Huấn luyện và thi đấu TDTT</t>
  </si>
  <si>
    <t xml:space="preserve"> - BQL Di tích</t>
  </si>
  <si>
    <t xml:space="preserve"> - Trung tâm Văn hóa tỉnh</t>
  </si>
  <si>
    <t>Sở Lao động TB – XH (các đơn vị trực thuộc)</t>
  </si>
  <si>
    <t xml:space="preserve"> - VP Sở Lao động (SN đảm bảo XH)</t>
  </si>
  <si>
    <t xml:space="preserve"> - Trung Dịch vụ Việc làm</t>
  </si>
  <si>
    <t xml:space="preserve"> - Cơ sở Tư vấn và điều trị nghiện ma túy</t>
  </si>
  <si>
    <t xml:space="preserve"> - TT Bảo trợ Xã hội</t>
  </si>
  <si>
    <t xml:space="preserve"> - Chi cục Phòng chống tệ nạn XH</t>
  </si>
  <si>
    <t xml:space="preserve"> - VP Ban chỉ đạo giảm nghèo tỉnh</t>
  </si>
  <si>
    <t>Sở Nông nghiệp &amp; PTNT</t>
  </si>
  <si>
    <t xml:space="preserve"> - TT Khuyến nông</t>
  </si>
  <si>
    <t xml:space="preserve"> - Chi cục Trồng trọt và BVTV</t>
  </si>
  <si>
    <t xml:space="preserve">  + Biên chế hành chính</t>
  </si>
  <si>
    <t xml:space="preserve">  + Biên chế sự nghiệp</t>
  </si>
  <si>
    <t xml:space="preserve"> - Chi cục Chăn nuôi và  Thú y</t>
  </si>
  <si>
    <t xml:space="preserve"> - Chi cục Kiểm lâm</t>
  </si>
  <si>
    <t xml:space="preserve"> + Biên chế sự nghiệp</t>
  </si>
  <si>
    <t xml:space="preserve"> - Chi cục phát triển nông thôn</t>
  </si>
  <si>
    <t xml:space="preserve"> - Chi cục Thủy lợi </t>
  </si>
  <si>
    <t xml:space="preserve"> + Chi cục Thủy lợi </t>
  </si>
  <si>
    <t xml:space="preserve">  + Hạt Quản lý đê điều</t>
  </si>
  <si>
    <t xml:space="preserve"> - Chi cục Quản lý chất lượng Nông lâm sản và thủy sản</t>
  </si>
  <si>
    <t xml:space="preserve"> - Trung tâm giống</t>
  </si>
  <si>
    <t xml:space="preserve"> - TT huấn luyện chăn nuôi bò</t>
  </si>
  <si>
    <t xml:space="preserve"> - BQL rừng phòng hộ</t>
  </si>
  <si>
    <t xml:space="preserve"> - VP Điều phối CTMTQG XD NTM</t>
  </si>
  <si>
    <t xml:space="preserve"> - Ban Quản lý Cảng cá</t>
  </si>
  <si>
    <t xml:space="preserve"> - Trung tâm giống thủy sản</t>
  </si>
  <si>
    <t xml:space="preserve"> - Chi cục Thủy sản</t>
  </si>
  <si>
    <t xml:space="preserve"> - VP Sở</t>
  </si>
  <si>
    <t xml:space="preserve"> - CB về xã</t>
  </si>
  <si>
    <t xml:space="preserve"> Sở Giao thông VT (Đoạn Quản lý giao thông thủy bộ)</t>
  </si>
  <si>
    <t>Ban An toàn Giao thông</t>
  </si>
  <si>
    <t xml:space="preserve">Văn phòng UBND tỉnh (Trung tâm Hội nghị và Nhà khách) </t>
  </si>
  <si>
    <t>Sở Thông tin – Truyền thông (Trung tâm Công nghệ thông tin và truyền thông)</t>
  </si>
  <si>
    <t>Sở Thông tin-Truyền thông (TT quản lý cổng thông tin - ĐT)</t>
  </si>
  <si>
    <t>Ban quản lý Khu kinh tế (Công ty Quản lý và Phát triển Hạ tầng Khu kinh tế và các Khu công nghiệp)</t>
  </si>
  <si>
    <t>Sở Tư pháp (Phòng công chứng số 1)</t>
  </si>
  <si>
    <t>Sở Kế hoach đầu tư (TT Xúc tiến ĐT và hỗ trợ DN)</t>
  </si>
  <si>
    <t>Sở VH-TTDL (TT thông tin Xúc tiến DL)</t>
  </si>
  <si>
    <t>Sở Công thương (Trung tâm khuyến công &amp; xúc tiến thương mại)</t>
  </si>
  <si>
    <t>Sở Công thương (Trung tâm Xúc tiến thương mại)</t>
  </si>
  <si>
    <t>Sở Tài nguyên và Môi trường (các đơn vị trực thuộc)</t>
  </si>
  <si>
    <t xml:space="preserve"> - Chi cục QL đất đai</t>
  </si>
  <si>
    <t xml:space="preserve"> - Chi cục Biển và đảo</t>
  </si>
  <si>
    <t xml:space="preserve"> - Chi cục Bảo vệ môi trường</t>
  </si>
  <si>
    <t xml:space="preserve"> - Trung tâm Phát triển quỹ đất</t>
  </si>
  <si>
    <t>Quản lý nhà nước, đảng, đoàn thể, Hội</t>
  </si>
  <si>
    <t>Văn phòng UBND tỉnh</t>
  </si>
  <si>
    <t xml:space="preserve"> - VP UBND tỉnh</t>
  </si>
  <si>
    <t xml:space="preserve"> - TT tin học</t>
  </si>
  <si>
    <t xml:space="preserve"> - Trung tâm Hành chính công</t>
  </si>
  <si>
    <t xml:space="preserve"> + Công chức</t>
  </si>
  <si>
    <t xml:space="preserve"> + Viên chức</t>
  </si>
  <si>
    <t>VP HĐND tỉnh</t>
  </si>
  <si>
    <t>Thanh tra Tỉnh</t>
  </si>
  <si>
    <t xml:space="preserve"> - VP Sở Nội vụ</t>
  </si>
  <si>
    <t xml:space="preserve"> - Ban Thi đua - Khen thưởng</t>
  </si>
  <si>
    <t xml:space="preserve"> - Ban Tôn giáo</t>
  </si>
  <si>
    <t xml:space="preserve"> - Trung tâm Lưu trữ lịch sử</t>
  </si>
  <si>
    <t xml:space="preserve"> - Chi cục Văn thư Lưu trữ</t>
  </si>
  <si>
    <t xml:space="preserve"> - TT hành chính công</t>
  </si>
  <si>
    <t xml:space="preserve">  + Công chức</t>
  </si>
  <si>
    <t xml:space="preserve">  + Viên chức</t>
  </si>
  <si>
    <t>Sở Thông tin – Truyền thông</t>
  </si>
  <si>
    <t>Sở Tài chính</t>
  </si>
  <si>
    <t>Sở Giao thông – Vận tải</t>
  </si>
  <si>
    <t xml:space="preserve"> - VP Sở Giao thông vận tải</t>
  </si>
  <si>
    <t xml:space="preserve"> - Thanh tra Sở Giao thông vận tải</t>
  </si>
  <si>
    <t>Sở Công thương</t>
  </si>
  <si>
    <t xml:space="preserve"> - VP Sở Công thương</t>
  </si>
  <si>
    <t xml:space="preserve"> - Chi cục Quản lý thị trường</t>
  </si>
  <si>
    <t>- VP Sở Tư pháp</t>
  </si>
  <si>
    <t>- TT trợ giúp pháp lý của nhà nước</t>
  </si>
  <si>
    <t>Ban quản lý Khu kinh tế</t>
  </si>
  <si>
    <t>Sở Tài nguyên và Môi trường</t>
  </si>
  <si>
    <t>Sở Văn hóa, TT, DL</t>
  </si>
  <si>
    <t>Sở Lao động-TB-XH</t>
  </si>
  <si>
    <t>Sở Khoa học-Công nghệ</t>
  </si>
  <si>
    <t>Phòng Tài chính Đảng</t>
  </si>
  <si>
    <t xml:space="preserve"> - Văn phòng Tỉnh ủy</t>
  </si>
  <si>
    <t xml:space="preserve"> - Ban Tổ chức </t>
  </si>
  <si>
    <t xml:space="preserve"> - Ban Tuyên giáo</t>
  </si>
  <si>
    <t xml:space="preserve"> - Ủy ban Kiểm tra</t>
  </si>
  <si>
    <t xml:space="preserve"> - Đảng ủy khối cơ quan và doanh nghiệp</t>
  </si>
  <si>
    <t xml:space="preserve"> - Báo trà Vinh</t>
  </si>
  <si>
    <t xml:space="preserve"> - Đảng ủy Khối Doanh nghiệp</t>
  </si>
  <si>
    <t xml:space="preserve"> - Ban Nội chính</t>
  </si>
  <si>
    <t xml:space="preserve"> - Ban Dân vận</t>
  </si>
  <si>
    <t>Ban Dân vận</t>
  </si>
  <si>
    <t>Tỉnh đoàn thanh niên</t>
  </si>
  <si>
    <t>- Tỉnh đoàn thanh niên</t>
  </si>
  <si>
    <t xml:space="preserve">- Trung tâm SH thanh thiếu nhi </t>
  </si>
  <si>
    <t>Ủy ban Mặt trận tổ quốc</t>
  </si>
  <si>
    <t>Hội Nông dân tỉnh</t>
  </si>
  <si>
    <t>Hội Liên hiệp phụ nữ</t>
  </si>
  <si>
    <t>Hội Cựu chiến binh</t>
  </si>
  <si>
    <t xml:space="preserve">                - Hội đặc thù</t>
  </si>
  <si>
    <t>Liên minh các HTX</t>
  </si>
  <si>
    <t>Hội Nhà báo</t>
  </si>
  <si>
    <t>Sở Lao động, Thương binh và Xã hội (Hội Nạn nhân chất độc  da cam/ Dioxin)</t>
  </si>
  <si>
    <t>Sở Lao động, Thương binh và Xã hội (Hội người mù)</t>
  </si>
  <si>
    <t>Sở Lao động, Thương binh và Xã hội (Hội Bảo trợ Người kh/tật và nạn nhân chất độc da cam/Dioxin)</t>
  </si>
  <si>
    <t>Sở Giáo dục và Đào tạo (Hội Khuyến học)</t>
  </si>
  <si>
    <t>Sở Nông nghiệp và Phát triển nông thôn (Hội Làm vườn)</t>
  </si>
  <si>
    <t>Sở Nông nghiệp và Phát triển nông thôn  (Hội Thủy sản)</t>
  </si>
  <si>
    <t>Sở Khoa học và Công nghệ (Liên hiệp các Hội KH và KT)</t>
  </si>
  <si>
    <t>Sở Kế hoạch và Đầu tư (Hiệp Hội DN)</t>
  </si>
  <si>
    <t>Ủy ban Mặt trận tổ quốc (Ban Đại diện Hội Người cao tuổi)</t>
  </si>
  <si>
    <t>Liên hiệp các tổ chức hữu nghị</t>
  </si>
  <si>
    <t>Hội Văn học nghệ thuật</t>
  </si>
  <si>
    <t>Hội Đông y - Châm cứu</t>
  </si>
  <si>
    <t>Hội Luật gia</t>
  </si>
  <si>
    <t>Hội Chữ thập đỏ</t>
  </si>
  <si>
    <t xml:space="preserve"> - Phụ cấp cấp ủy viên các cấp theo Quy định 169-QĐ/TW ngày 24/6/2008 của Ban Bí thư</t>
  </si>
  <si>
    <t xml:space="preserve">   + BCH Tỉnh ủy</t>
  </si>
  <si>
    <t xml:space="preserve">   + BCH Đảng ủy Khối CQ và Doanh nghiệp</t>
  </si>
  <si>
    <t xml:space="preserve">   + BCH Đ. ủy Khối DN</t>
  </si>
  <si>
    <t xml:space="preserve"> - Bồi dưỡng theo quy định 3118-QĐ/TU, 3119-QĐ/TU ngày 10/01/2018 của Tỉnh ủy</t>
  </si>
  <si>
    <t xml:space="preserve">   + Văn phòng TU</t>
  </si>
  <si>
    <t xml:space="preserve">   + Ban Tổ chức</t>
  </si>
  <si>
    <t xml:space="preserve">   + Ban Tuyên Giáo</t>
  </si>
  <si>
    <t xml:space="preserve">   + Ủy Ban Kiểm tra</t>
  </si>
  <si>
    <t xml:space="preserve">   + Đảng Ủy Khối CQ và doanh nghiệp</t>
  </si>
  <si>
    <t xml:space="preserve">   + Báo Trà Vinh</t>
  </si>
  <si>
    <t xml:space="preserve">   + Đ Ủy Khối DN</t>
  </si>
  <si>
    <t xml:space="preserve">   + Ban Nội chính</t>
  </si>
  <si>
    <t xml:space="preserve">   + Ban Dân vận</t>
  </si>
  <si>
    <t xml:space="preserve"> - Bồi dưỡng công tác văn thư theo quy định 3118-QĐ/TU ngày 10/01/2018 của Tỉnh Ủy Trà Vinh</t>
  </si>
  <si>
    <t xml:space="preserve">   + Ban Dân Vận</t>
  </si>
  <si>
    <t xml:space="preserve">   + ĐU Khối các CQ &amp; DN</t>
  </si>
  <si>
    <t xml:space="preserve"> - Phụ cấp Báo cáo viên các cấp theo Quy định tại Thông báo số 13-TB/TW ngày 28/3/2011 của Bộ Chính trị</t>
  </si>
  <si>
    <t xml:space="preserve">   + Ban Tuyên Giáo TU</t>
  </si>
  <si>
    <t xml:space="preserve">   + Đảng ủy Khối CQ và doanh nghiệp</t>
  </si>
  <si>
    <t xml:space="preserve">   + Đảng ủy Khối DN</t>
  </si>
  <si>
    <t xml:space="preserve"> - Chi phụ cấp trách nhiệm cán bộ Bảo vệ sức khỏe</t>
  </si>
  <si>
    <t xml:space="preserve">   + Ban Tổ chức</t>
  </si>
  <si>
    <t xml:space="preserve">   + Ban Tuyên giáo </t>
  </si>
  <si>
    <t xml:space="preserve"> - Dư luận xã hội</t>
  </si>
  <si>
    <t>KHỐI HUYỆN</t>
  </si>
  <si>
    <t>TP TRÀ VINH</t>
  </si>
  <si>
    <t>HUYỆN CANG LONG</t>
  </si>
  <si>
    <t>Phòng NN- PTNT</t>
  </si>
  <si>
    <t>Phòng Tư pháp</t>
  </si>
  <si>
    <t>Phòng KT -HT</t>
  </si>
  <si>
    <t>Phòng Tài chính - KH</t>
  </si>
  <si>
    <t>Phòng Giáo dục - ĐT</t>
  </si>
  <si>
    <t>Phòng Y tế</t>
  </si>
  <si>
    <t>Phòng Văn hóa - Thông tin</t>
  </si>
  <si>
    <t>Phòng Lao động - TBXh</t>
  </si>
  <si>
    <t>Phòng Tài nguyên - MT</t>
  </si>
  <si>
    <t>Phòng Dân tộc</t>
  </si>
  <si>
    <t>Văn phòng Huyện ủy và HĐND-UBND huyện</t>
  </si>
  <si>
    <t>Hợp đồng 68</t>
  </si>
  <si>
    <t>Cơ quan Tổ chức - Nội vụ</t>
  </si>
  <si>
    <t xml:space="preserve">Cơ quan Kiểm tra - Thanh tra </t>
  </si>
  <si>
    <t>Ban Tuyên giáo Huyện ủy</t>
  </si>
  <si>
    <t>Ban Dân vận</t>
  </si>
  <si>
    <t xml:space="preserve">Mặt trận Tổ quốc </t>
  </si>
  <si>
    <t xml:space="preserve">Huyện đoàn  </t>
  </si>
  <si>
    <t xml:space="preserve">Hội LHPN  </t>
  </si>
  <si>
    <t xml:space="preserve">Hội Nông dân </t>
  </si>
  <si>
    <t xml:space="preserve">Hội Cựu chiên binh </t>
  </si>
  <si>
    <t>Chữ thập đỏ</t>
  </si>
  <si>
    <t>HUYỆN TIỂU CẤN</t>
  </si>
  <si>
    <t>(2)</t>
  </si>
  <si>
    <t>Nguyên bí thư, chủ tịch.</t>
  </si>
  <si>
    <t>Nguyên Phó bí thư, phó chủ tịch, Thường trực Đảng uỷ, Uỷ viên, Thư ký UBND Thư ký HĐND, xã đội trưởng</t>
  </si>
  <si>
    <t>Các chức danh còn lại</t>
  </si>
  <si>
    <t>Biễu số 2c</t>
  </si>
  <si>
    <t>BÁO CÁO NHU CẦU KINH PHÍ THỰC HIỆN BẢO HIỂM THẤT NGHIỆP THEO NGHỊ ĐỊNH 28/2015/NĐ-CP NĂM 2017</t>
  </si>
  <si>
    <t>QT thu BHTN năm 2017</t>
  </si>
  <si>
    <t>Biên chế
được cấp có thẩm quyền giao hoặc được duyệt năm 2018</t>
  </si>
  <si>
    <t>Tổng số đối tượng hưởng lương có mặc đến 01/7/2018 nộp BHTN</t>
  </si>
  <si>
    <t>Tổng Ql, phụ cấp và BHTN tháng 7/2018
theo NĐ 47/2017/NĐ-CP</t>
  </si>
  <si>
    <t>Tổng Ql, phụ cấp và BHTN tháng 7/2017
theo NĐ 72/2018/NĐ-CP</t>
  </si>
  <si>
    <t>Chênh lệch
BHTN 1 tháng</t>
  </si>
  <si>
    <t>Nhu cầu bổ thực hiện BHTN năm 2018</t>
  </si>
  <si>
    <t>Tổng số
đối tượng</t>
  </si>
  <si>
    <t>Thu của người lao động
và người sử dụng lao động (2%) (đơn vị thuộc địa phương quả lý)</t>
  </si>
  <si>
    <t>Mức lương theo ngach bậc, chức vụ</t>
  </si>
  <si>
    <t>Tổng các khoản phụ cấp tính BHTN</t>
  </si>
  <si>
    <t>1%
Bảo hiểm thất nghiệp</t>
  </si>
  <si>
    <t>Phụ cấp chức vụ</t>
  </si>
  <si>
    <t>Phụ cấp vượt khung</t>
  </si>
  <si>
    <t>Phụ cấp thâm niên nghề</t>
  </si>
  <si>
    <t>7=8+9+13</t>
  </si>
  <si>
    <t>13=(8+9)x1%</t>
  </si>
  <si>
    <t>14=15+16+20</t>
  </si>
  <si>
    <t>20=(15+16)x1%</t>
  </si>
  <si>
    <t>21=14-7</t>
  </si>
  <si>
    <t>22=21*6T</t>
  </si>
  <si>
    <t>BIÊN CHẾ</t>
  </si>
  <si>
    <t xml:space="preserve"> - TH. PT Chuyên Nguyễn Thiện Thành </t>
  </si>
  <si>
    <t xml:space="preserve"> - THPT Phạm Thái Bường </t>
  </si>
  <si>
    <t xml:space="preserve"> - THPT  Thành phố Trà Vinh </t>
  </si>
  <si>
    <t xml:space="preserve"> - THPT Nguyễn Đáng </t>
  </si>
  <si>
    <t xml:space="preserve"> - THPT Dương Háo học</t>
  </si>
  <si>
    <t xml:space="preserve"> - THPT Nguyễn Văn Hai </t>
  </si>
  <si>
    <t xml:space="preserve"> - THPT Hồ Thị Nhâm </t>
  </si>
  <si>
    <t xml:space="preserve"> - THPT Bùi Hữu Nghĩa</t>
  </si>
  <si>
    <t xml:space="preserve"> - THPT Cầu Kè </t>
  </si>
  <si>
    <t xml:space="preserve"> - THPT Phong Phú </t>
  </si>
  <si>
    <t xml:space="preserve"> - THPT Tam Ngãi</t>
  </si>
  <si>
    <t xml:space="preserve"> - THPT Tiểu Cần </t>
  </si>
  <si>
    <t xml:space="preserve"> - THPT Hiếu Tử</t>
  </si>
  <si>
    <t xml:space="preserve"> - THPT Cầu Quan </t>
  </si>
  <si>
    <t xml:space="preserve"> - THPT Vũ Đình Liệu </t>
  </si>
  <si>
    <t xml:space="preserve"> - THPT Hòa Lợi</t>
  </si>
  <si>
    <t xml:space="preserve"> - THPT Hòa Minh </t>
  </si>
  <si>
    <t xml:space="preserve"> - THCS&amp;THPT Lương Hòa A</t>
  </si>
  <si>
    <t xml:space="preserve"> - THPT Trà Cú</t>
  </si>
  <si>
    <t xml:space="preserve"> - THPT Hàm Giang </t>
  </si>
  <si>
    <t xml:space="preserve"> - THPT Long Hiệp </t>
  </si>
  <si>
    <t xml:space="preserve"> - THPT Đại An </t>
  </si>
  <si>
    <t xml:space="preserve"> - THPT Tập Sơn </t>
  </si>
  <si>
    <t xml:space="preserve"> - THPT Đôn Châu </t>
  </si>
  <si>
    <t xml:space="preserve"> - THPT Duyên Hải </t>
  </si>
  <si>
    <t xml:space="preserve"> - THPT Long Khánh </t>
  </si>
  <si>
    <t xml:space="preserve"> - THPT Long Hữu </t>
  </si>
  <si>
    <t xml:space="preserve"> - THPT Dương Quang Đông </t>
  </si>
  <si>
    <t xml:space="preserve"> - THPT Cầu Ngang A </t>
  </si>
  <si>
    <t xml:space="preserve"> - THPT Cầu Ngang B </t>
  </si>
  <si>
    <t xml:space="preserve"> - THPT Nhị Trường </t>
  </si>
  <si>
    <t xml:space="preserve"> - DTNT - THPT Trà Vinh </t>
  </si>
  <si>
    <t xml:space="preserve"> - DTNT - THCS &amp; THPT Trà Cú </t>
  </si>
  <si>
    <t xml:space="preserve"> - DTNT - THCS - PTTH Tiểu Cần </t>
  </si>
  <si>
    <t xml:space="preserve"> - Trường Trung cấp PaLi-Khmer</t>
  </si>
  <si>
    <t xml:space="preserve"> - TT GDTX - HNDN TP Trà Vinh </t>
  </si>
  <si>
    <t xml:space="preserve"> - TT GDTX - HNDN Trà Cú </t>
  </si>
  <si>
    <t xml:space="preserve"> - Đào tạo</t>
  </si>
  <si>
    <t xml:space="preserve">  </t>
  </si>
  <si>
    <t xml:space="preserve"> - Chi cục dân số </t>
  </si>
  <si>
    <t xml:space="preserve"> - TT Thông tin và Thống kê KH&amp;CN</t>
  </si>
  <si>
    <t>Sở Công thương (Trung tâm khuyến công &amp; Xúc tiến thương mại)</t>
  </si>
  <si>
    <t xml:space="preserve"> - Đảng ủy khối cơ quan</t>
  </si>
  <si>
    <t xml:space="preserve"> - Ban Bảo vệ sức khỏe</t>
  </si>
  <si>
    <t>- Trung tâm SH thanh thiếu nhi</t>
  </si>
  <si>
    <t>HỢP ĐỒNG 68</t>
  </si>
  <si>
    <t xml:space="preserve"> - SN giáo dục</t>
  </si>
  <si>
    <t xml:space="preserve"> - TT y tế dự phòng</t>
  </si>
  <si>
    <t xml:space="preserve"> - TT dân số</t>
  </si>
  <si>
    <t xml:space="preserve">    + BVĐK Trà Cú</t>
  </si>
  <si>
    <t xml:space="preserve">    + BVĐK Cầu Kè</t>
  </si>
  <si>
    <t xml:space="preserve">    + BVĐK Càng Long</t>
  </si>
  <si>
    <t xml:space="preserve">    + BVĐK Châu Thành</t>
  </si>
  <si>
    <t xml:space="preserve">    + BVĐK thị xã Duyên Hải</t>
  </si>
  <si>
    <t xml:space="preserve"> - Phòng khám đa khoa khu vực</t>
  </si>
  <si>
    <t>Sở Lao động, Thương binh và Xã hội (Hội Bảo trợ Người kh/tật TMC&amp;BNN)</t>
  </si>
  <si>
    <t xml:space="preserve">SN giáo dục - đào tạo </t>
  </si>
  <si>
    <t>SN y tế</t>
  </si>
  <si>
    <t>Khoa học-công nghệ</t>
  </si>
  <si>
    <t>Văn hoá thông tin</t>
  </si>
  <si>
    <t>Phát thanh truyền hình</t>
  </si>
  <si>
    <t>Thể dục - thể thao</t>
  </si>
  <si>
    <t>Đảm bảo xã hội</t>
  </si>
  <si>
    <t>HUYỆN TỂU CẦN</t>
  </si>
  <si>
    <t>Ghi chú: Đề nghị báo cáo chuẩn xác quỹ tiền lương ngạch bậc và đầy đủ các loại phụ cấp để tính đóng BHTN</t>
  </si>
  <si>
    <t xml:space="preserve">Trà Vinh, ngày          tháng        năm        </t>
  </si>
  <si>
    <t>Vùng tô màu là công thức: không nhập liệu</t>
  </si>
  <si>
    <t>BÁO CÁO NHU CẦU KINH PHÍ THỰC HIỆN BẢO HIỂM THẤT NGHIỆP THEO NGHỊ ĐỊNH 28/2015/NĐ-CP NĂM 2019</t>
  </si>
  <si>
    <t>QT thu BHTN năm 2018</t>
  </si>
  <si>
    <t>Biên chế
được cấp có thẩm quyền giao hoặc được duyệt năm 2019</t>
  </si>
  <si>
    <t>Tổng số đối tượng hưởng lương có mặc đến 01/7/2019 nộp BHTN</t>
  </si>
  <si>
    <t>Tổng Ql, phụ cấp và BHTN tháng 7/2019
theo NĐ 72/2018/NĐ-CP</t>
  </si>
  <si>
    <t>Tổng Ql, phụ cấp và BHTN tháng 7/2019
theo NĐ 38/2019/NĐ-CP</t>
  </si>
  <si>
    <t>Nhu cầu bổ thực hiện BHTN năm 2019</t>
  </si>
  <si>
    <t>Thu của người lao động
và người sử dụng lao động (2%) (đơn vị thuộc địa phương quản lý)</t>
  </si>
  <si>
    <t>TỔNG HỢP TOÀN TỈNH, TP THEO LĨNH VỰC</t>
  </si>
  <si>
    <t>Sự nghiệp bảo đảm xã hội</t>
  </si>
  <si>
    <t>CHI TIẾT THEO ĐỊA BÀN</t>
  </si>
  <si>
    <t>SN GIÁO DỤC – ĐÀO TẠO</t>
  </si>
  <si>
    <t>Sự nghiệp giáo dục</t>
  </si>
  <si>
    <t xml:space="preserve">TH. PT Chuyên Nguyễn Thiện Thành </t>
  </si>
  <si>
    <t xml:space="preserve">THPT Phạm Thái Bường </t>
  </si>
  <si>
    <t xml:space="preserve">THPT  Thành phố Trà Vinh </t>
  </si>
  <si>
    <t xml:space="preserve">THPT Nguyễn Đáng </t>
  </si>
  <si>
    <t>THPT Dương Háo học</t>
  </si>
  <si>
    <t xml:space="preserve">THPT Nguyễn Văn Hai </t>
  </si>
  <si>
    <t xml:space="preserve">THPT Hồ Thị Nhâm </t>
  </si>
  <si>
    <t>THPT Bùi Hữu Nghĩa</t>
  </si>
  <si>
    <t xml:space="preserve">THPT Cầu Kè </t>
  </si>
  <si>
    <t xml:space="preserve">THPT Phong Phú </t>
  </si>
  <si>
    <t>THPT Tam Ngãi</t>
  </si>
  <si>
    <t xml:space="preserve">THPT Tiểu Cần </t>
  </si>
  <si>
    <t>THPT Hiếu Tử</t>
  </si>
  <si>
    <t xml:space="preserve">THPT Cầu Quan </t>
  </si>
  <si>
    <t xml:space="preserve">THPT Vũ Đình Liệu </t>
  </si>
  <si>
    <t>THPT Hòa Lợi</t>
  </si>
  <si>
    <t xml:space="preserve">THPT Hòa Minh </t>
  </si>
  <si>
    <t>THCS&amp;THPT Lương Hòa A</t>
  </si>
  <si>
    <t>THPT Trà Cú</t>
  </si>
  <si>
    <t xml:space="preserve">THPT Hàm Giang </t>
  </si>
  <si>
    <t xml:space="preserve">THPT Long Hiệp </t>
  </si>
  <si>
    <t xml:space="preserve">THPT Đại An </t>
  </si>
  <si>
    <t xml:space="preserve">THPT Tập Sơn </t>
  </si>
  <si>
    <t xml:space="preserve">THPT Đôn Châu </t>
  </si>
  <si>
    <t xml:space="preserve">THPT Duyên Hải </t>
  </si>
  <si>
    <t xml:space="preserve">THPT Long Khánh </t>
  </si>
  <si>
    <t xml:space="preserve">THPT Long Hữu </t>
  </si>
  <si>
    <t xml:space="preserve">THPT Dương Quang Đông </t>
  </si>
  <si>
    <t xml:space="preserve">THPT Cầu Ngang A </t>
  </si>
  <si>
    <t xml:space="preserve">THPT Cầu Ngang B </t>
  </si>
  <si>
    <t xml:space="preserve">THPT Nhị Trường </t>
  </si>
  <si>
    <t xml:space="preserve">DTNT - THPT Trà Vinh </t>
  </si>
  <si>
    <t xml:space="preserve">DTNT - THCS &amp; THPT Trà Cú </t>
  </si>
  <si>
    <t xml:space="preserve">DTNT- THCS Cầu Kè </t>
  </si>
  <si>
    <t xml:space="preserve">DTNT - THCS - PTTH Tiểu Cần </t>
  </si>
  <si>
    <t>DTNT- THCS Châu Thành</t>
  </si>
  <si>
    <t xml:space="preserve">DTNT - THCS Duyên Hải </t>
  </si>
  <si>
    <t xml:space="preserve">DTNT-THCS  Cầu Ngang </t>
  </si>
  <si>
    <t>Trường Trung cấp PaLi-Khmer</t>
  </si>
  <si>
    <t xml:space="preserve">TT GDTX - HNDN TP Trà Vinh </t>
  </si>
  <si>
    <t xml:space="preserve">TT GDTX - HNDN Trà Cú </t>
  </si>
  <si>
    <t>TT GDTX tỉnh</t>
  </si>
  <si>
    <t>Trường Đại học Trà Vinh (Trường Thực hành Sư phạm)</t>
  </si>
  <si>
    <t>Sự nghiệp đào tạo</t>
  </si>
  <si>
    <t>Sở VH, TT và DL (Trường Trung cấp Văn hóa Nghệ thuật và Thể thao)</t>
  </si>
  <si>
    <t xml:space="preserve">SN Y TẾ </t>
  </si>
  <si>
    <t>Khối phòng bệnh</t>
  </si>
  <si>
    <t>Sở Y tế (các đơn vị trực thuộc)</t>
  </si>
  <si>
    <t>VP Sở Y tế</t>
  </si>
  <si>
    <t xml:space="preserve">Chi cục dân số </t>
  </si>
  <si>
    <t>Chi cục an toàn VS thực phẩm</t>
  </si>
  <si>
    <t>TT y tế dự phòng</t>
  </si>
  <si>
    <t>TT phòng chống bệnh xã hội</t>
  </si>
  <si>
    <t>TT chăm sóc sức khỏe SS</t>
  </si>
  <si>
    <t>TT Kiểm nghiệm</t>
  </si>
  <si>
    <t>TT truyền thông GDSK</t>
  </si>
  <si>
    <t>TT phòng chống HIV/AIDS</t>
  </si>
  <si>
    <t>TT Pháp y</t>
  </si>
  <si>
    <t>TT Giám định y khoa</t>
  </si>
  <si>
    <t xml:space="preserve">TT Y tế huyện, TP, TX
</t>
  </si>
  <si>
    <t>TT dân số</t>
  </si>
  <si>
    <t>Tuyến điều trị</t>
  </si>
  <si>
    <t xml:space="preserve">Bệnh viện đa khoa tỉnh Trà Vinh </t>
  </si>
  <si>
    <t>Sở Y tế (các Bệnh viện trực thuộc)</t>
  </si>
  <si>
    <t>SN KHOA HỌC CÔNG NGHỆ</t>
  </si>
  <si>
    <t>Sở Khoa học-Công nghệ (các đơn vị trực thuộc)</t>
  </si>
  <si>
    <t xml:space="preserve"> - VP Sở Khoa học</t>
  </si>
  <si>
    <t xml:space="preserve"> - Chi cục Tiêu chuẩn Đo lường 
Chất lượng</t>
  </si>
  <si>
    <t xml:space="preserve"> - TT Ứng dụng tiến bộ KHKT</t>
  </si>
  <si>
    <t xml:space="preserve"> - TT Thông tin và Thống kê 
KH&amp;CN</t>
  </si>
  <si>
    <t>SN VĂN HÓA - THỂ THAO - DU LỊCH</t>
  </si>
  <si>
    <t>Sự nghiệp văn hóa thông tin</t>
  </si>
  <si>
    <t>Sở Văn hóa, Thể thao và Du lịch
(các đơn vị trực thuộc)</t>
  </si>
  <si>
    <t xml:space="preserve"> - TT bơi lặn</t>
  </si>
  <si>
    <t>Sự nghiệp thể dục thể thao</t>
  </si>
  <si>
    <t>Sở Văn hóa, Thể thao và Du lịch
(đơn vị trực thuộc)</t>
  </si>
  <si>
    <t xml:space="preserve"> - Trung tâm Huấn luyện và Thi đấu TDTT</t>
  </si>
  <si>
    <t xml:space="preserve">SN PHÁT THANH VÀ TRUYỀN HÌNH </t>
  </si>
  <si>
    <t>SN BẢO ĐẢM XÃ HỘI</t>
  </si>
  <si>
    <t>Sở Lao động-TB và XH (các đơn vị trực thuộc)</t>
  </si>
  <si>
    <t xml:space="preserve"> - Quỹ bảo trợ trẻ em</t>
  </si>
  <si>
    <t>SN KINH TẾ (a+b+c)</t>
  </si>
  <si>
    <t>Sự nghiệp nông nghiệp</t>
  </si>
  <si>
    <t xml:space="preserve"> - Trung tâm Khuyến nông
</t>
  </si>
  <si>
    <t xml:space="preserve"> - Chi cục Chăn nuôi và Thú y</t>
  </si>
  <si>
    <t xml:space="preserve"> - Chi cục Phát triển nông thôn</t>
  </si>
  <si>
    <t xml:space="preserve">  + VP Chi cục Thủy lợi 
</t>
  </si>
  <si>
    <t xml:space="preserve"> - Chi cục Quản lý chất lượng nông, lâm sản và thủy sản</t>
  </si>
  <si>
    <t xml:space="preserve"> - BQL Cảng cá</t>
  </si>
  <si>
    <t xml:space="preserve"> - VP điều phối CTMTQG nông thôn mới</t>
  </si>
  <si>
    <t xml:space="preserve"> - TT Giống</t>
  </si>
  <si>
    <t xml:space="preserve"> - BQL rừng hòng hộ</t>
  </si>
  <si>
    <t xml:space="preserve"> - Cán bộ về xã</t>
  </si>
  <si>
    <t>Sự nghiệp giao thông</t>
  </si>
  <si>
    <t>c</t>
  </si>
  <si>
    <t>Sự nghiệp kinh tế khác</t>
  </si>
  <si>
    <t>Sở Thông tin – Truyền thông (Trung tâm Công nghệ thông tin)</t>
  </si>
  <si>
    <t>Sở Kế hoạch &amp; Đầu tư (TT Thẩm định DA Đầu tư)</t>
  </si>
  <si>
    <t>Sở VH, TT và DL (TT thông tin Xúc tiến DL)</t>
  </si>
  <si>
    <t>Sở Công thương (Trung tâm khuyến công &amp; tư vấn PTCN)</t>
  </si>
  <si>
    <t>QuẢN LÝ NHÀ NƯỚC, ĐẢNG, ĐOÀN THỂ</t>
  </si>
  <si>
    <t>QUẢN LÝ NHÀ NƯỚC</t>
  </si>
  <si>
    <t>Chi cục Quản lý thị trường</t>
  </si>
  <si>
    <t xml:space="preserve">  + Chi cục Văn thư - Lưu trữ</t>
  </si>
  <si>
    <t xml:space="preserve">  + Trung tâm lưu trữ lịch sử</t>
  </si>
  <si>
    <t xml:space="preserve"> - Sở Xây dựng</t>
  </si>
  <si>
    <t xml:space="preserve"> - Chi cục Giám định xây dựng</t>
  </si>
  <si>
    <t>ĐOÀN THỂ - HỘI</t>
  </si>
  <si>
    <t>HỘI ĐĂC THÙ</t>
  </si>
  <si>
    <t>Sở Lao động-Thương binh và XH (Hội Nạn nhân chất độc  da cam/ Dioxin)</t>
  </si>
  <si>
    <t>Sở Lao động-Thương binh và XH (Hội người mù)</t>
  </si>
  <si>
    <t>Sở Lao động-Thương binh và XH (Hội Bảo trợ Người khuyết, tật BNN và Bảo vệ quyền trẻ em)</t>
  </si>
  <si>
    <t>d</t>
  </si>
  <si>
    <t>KHỐI ĐẢNG</t>
  </si>
  <si>
    <t>XÃC NHẬN CỦA CƠ QUAN BẢO HIỂM XÃ HỘI</t>
  </si>
  <si>
    <t>Tăng</t>
  </si>
  <si>
    <t>Giảm</t>
  </si>
  <si>
    <t>Biểu số 2g</t>
  </si>
  <si>
    <t>BÁO CÁO QUỸ TIỀN LƯƠNG, PHỤ CẤP ĐỐI VỚI LAO ĐỘNG THEO HỢP ĐỒNG 
KHU VỰC HÀNH CHÍNH VÀ ĐƠN VỊ SỰ NGHIỆP</t>
  </si>
  <si>
    <t>TỔNG SỐ ĐỐI TƯỢNG HƯỞNG LƯƠNG CÓ MẶT ĐẾN 01/7/2019 (1)</t>
  </si>
  <si>
    <t>QUỸ TIỀN LƯƠNG, PHỤ CẤP VÀ CÁC KHOẢN ĐÓNG GÓP THÁNG 7/2019 THEO NGHỊ ĐỊNH SỐ 38/2019/NĐ-CP (2)</t>
  </si>
  <si>
    <t>LƯƠNG THEO NGẠCH, BẬC CHỨC VỤ</t>
  </si>
  <si>
    <t>TỔNG CÁC KHOẢN PHỤ CẤP</t>
  </si>
  <si>
    <t>CÁC KHOẢN ĐÓNG GÓP BHXH, BHYT, BHTN, KPCĐ</t>
  </si>
  <si>
    <t>4=5+6+7</t>
  </si>
  <si>
    <t xml:space="preserve">Quản lý nhà nước </t>
  </si>
  <si>
    <t xml:space="preserve"> - Trường Chuyên Nguyễn Thiện Thành</t>
  </si>
  <si>
    <t xml:space="preserve"> - TT Kiểm soát bệnh tật</t>
  </si>
  <si>
    <t>ỦY BAN NHÂN DÂN …………………….</t>
  </si>
  <si>
    <t>Kiem tra</t>
  </si>
  <si>
    <t xml:space="preserve">Sự nghiệp Văn hoá thông tin </t>
  </si>
  <si>
    <t>KHỐI  HUYỆN</t>
  </si>
  <si>
    <t>HUYỆN ….....................</t>
  </si>
  <si>
    <t>Hoạt động kinh tế</t>
  </si>
  <si>
    <r>
      <t xml:space="preserve">Trà Vinh. ngày      tháng    </t>
    </r>
    <r>
      <rPr>
        <i/>
        <sz val="14"/>
        <color theme="0"/>
        <rFont val="Times New Roman"/>
        <family val="1"/>
      </rPr>
      <t xml:space="preserve"> </t>
    </r>
    <r>
      <rPr>
        <i/>
        <sz val="14"/>
        <rFont val="Times New Roman"/>
        <family val="1"/>
      </rPr>
      <t>năm 2019</t>
    </r>
  </si>
  <si>
    <t>(1) Bao gồm đối tượng hợp đồng theo Nghị định số 68/2000/NĐ-CP và hợp đồng lao động khác</t>
  </si>
  <si>
    <t>(2) Không tổng hợp vào biểu 2a và biểu 4a</t>
  </si>
  <si>
    <t>(3) Bao gồm các đơn vị tự bảo đảm chi thường xuyên và chi đầu tư, đơn vị tự bảo đảm chi thường xuyên</t>
  </si>
  <si>
    <t>……………., ngày …….tháng …… năm 2018</t>
  </si>
  <si>
    <r>
      <t>Ghi chú:</t>
    </r>
    <r>
      <rPr>
        <sz val="12"/>
        <rFont val="Times New Roman"/>
        <family val="1"/>
      </rPr>
      <t xml:space="preserve"> 
(1) Chỉ tính các khoản phụ cấp do Trung ương quy định, không kể tiền lương làm việc vào ban đêm, làm thêm giờ, phụ cấp theo mức tuyệt đối.
(2) Bao gồm các loại phụ cấp theo Nghị định 61/2006/NĐ-CP, Nghị định 64/2009/NĐ-CP, 54,56,57/2011/NĐ-CP</t>
    </r>
  </si>
  <si>
    <t>(1) Bao gồm đối tượng theo hợp đồng Nghị định số 68/2000/NĐ_CP và hợp đồng lao động khác</t>
  </si>
  <si>
    <t>TỔNG HỢP KINH PHÍ GIẢM THEO NGHỊ ĐỊNH SỐ 34/2019/NĐ-CP - CÁN BỘ, CÔNG CHỨC CẤP XÃ</t>
  </si>
  <si>
    <t>Tổng số đơn vị hành chính cấp xã</t>
  </si>
  <si>
    <t>Số lượng cán bộ, công chức cấp xã theo Nghị định 92/2009/NĐ-Cp</t>
  </si>
  <si>
    <t>Số lượng công chức cấp xã có mặt 01/7/2019</t>
  </si>
  <si>
    <t>Số lượng cán bộ, công chức cấp xã theo quy định tại Nghị định 34/2019/NĐ-CP</t>
  </si>
  <si>
    <t>Số lượng cán bộ, công chức cấp xã giảm</t>
  </si>
  <si>
    <t>Quỹ lương, phụ cấp, các khoản đóng góp giảm 01 tháng (lương 1,39)</t>
  </si>
  <si>
    <t>Quỹ lương, phụ cấp giảm năm 2019</t>
  </si>
  <si>
    <t>Định biên theo Nghị định 92/2009/NĐ-CP</t>
  </si>
  <si>
    <t>Hệ số lương ngạch bậc bình quân</t>
  </si>
  <si>
    <t>Hệ số phụ cấp bình quân</t>
  </si>
  <si>
    <t>Tỷ lệ phụ cấp tính các khoản đóng góp</t>
  </si>
  <si>
    <t>Định biên theo Nghị định 34/2019/NĐ-CP</t>
  </si>
  <si>
    <t>3=1x2</t>
  </si>
  <si>
    <t>TÊN HUYỆN/XÃ</t>
  </si>
  <si>
    <t>Phân loại  xã</t>
  </si>
  <si>
    <t>Xã loại 1 (1)</t>
  </si>
  <si>
    <t>Xã loại 2 (2)</t>
  </si>
  <si>
    <t>Xã loại 3 (3)</t>
  </si>
  <si>
    <t>Nguyệt Hóa</t>
  </si>
  <si>
    <t>Phước Hảo</t>
  </si>
  <si>
    <t>Thanh Mỹ</t>
  </si>
  <si>
    <t>Đa Lộc</t>
  </si>
  <si>
    <t>Hòa Lợi</t>
  </si>
  <si>
    <t>Lương Hòa</t>
  </si>
  <si>
    <t>Mỹ Chánh</t>
  </si>
  <si>
    <t>Song Lộc</t>
  </si>
  <si>
    <t>Long Hòa</t>
  </si>
  <si>
    <t>Hòa Minh</t>
  </si>
  <si>
    <t>Hòa Thuận</t>
  </si>
  <si>
    <t>Lương Hòa A</t>
  </si>
  <si>
    <t>TT Châu Thành</t>
  </si>
  <si>
    <t>Hưng Mỹ</t>
  </si>
  <si>
    <t>Châu Điền</t>
  </si>
  <si>
    <t>Hòa Ân</t>
  </si>
  <si>
    <t>Phong Thạnh</t>
  </si>
  <si>
    <t>Phong phú</t>
  </si>
  <si>
    <t>Hòa Tân</t>
  </si>
  <si>
    <t>Ninh Thới</t>
  </si>
  <si>
    <t>Tam Ngãi</t>
  </si>
  <si>
    <t>Thông Hòa</t>
  </si>
  <si>
    <t>An Phú Tân</t>
  </si>
  <si>
    <t>TT Cầu Kè</t>
  </si>
  <si>
    <t>Thạnh Phú</t>
  </si>
  <si>
    <t>Bình Phú</t>
  </si>
  <si>
    <t>Phương Thạnh</t>
  </si>
  <si>
    <t>Huyền Hội</t>
  </si>
  <si>
    <t>Đại Phước</t>
  </si>
  <si>
    <t>TT Càng Long</t>
  </si>
  <si>
    <t>An Trường</t>
  </si>
  <si>
    <t>Tân Bình</t>
  </si>
  <si>
    <t>Mỹ Cẩm</t>
  </si>
  <si>
    <t>An Trường A</t>
  </si>
  <si>
    <t xml:space="preserve">Nhị Long </t>
  </si>
  <si>
    <t>Nhị Long Phú</t>
  </si>
  <si>
    <t>Đức Mỹ</t>
  </si>
  <si>
    <t>Tân An</t>
  </si>
  <si>
    <t>Đại phúc</t>
  </si>
  <si>
    <t>Xã Ngãi Xuyên</t>
  </si>
  <si>
    <t>Xã Tân Sơn</t>
  </si>
  <si>
    <t>Xã Tập Sơn</t>
  </si>
  <si>
    <t>Xã An Quãng Hữu</t>
  </si>
  <si>
    <t>Xã Đại An</t>
  </si>
  <si>
    <t>Xã Hàm Giang</t>
  </si>
  <si>
    <t>Xã Long Hiệp</t>
  </si>
  <si>
    <t>Xã Ngọc Biên</t>
  </si>
  <si>
    <t>Xã Phước Hưng</t>
  </si>
  <si>
    <t>Xã Tân Hiệp</t>
  </si>
  <si>
    <t>Xã Thanh Sơn</t>
  </si>
  <si>
    <t>Xã Kim Sơn</t>
  </si>
  <si>
    <t>Xã Định An</t>
  </si>
  <si>
    <t>Xã Lưu Nghiệp Anh</t>
  </si>
  <si>
    <t>Xã Hàm Tân</t>
  </si>
  <si>
    <t>TT Trà Cú</t>
  </si>
  <si>
    <t>TT Định An</t>
  </si>
  <si>
    <t>Xã Hiếu Tử</t>
  </si>
  <si>
    <t>Xã Hiếu Trung</t>
  </si>
  <si>
    <t>Xã Phú Cần</t>
  </si>
  <si>
    <t>Xã Tập Ngãi</t>
  </si>
  <si>
    <t>Xã Hùng Hòa</t>
  </si>
  <si>
    <t>Xã Long Thới</t>
  </si>
  <si>
    <t>Xã Ngãi Hùng</t>
  </si>
  <si>
    <t>Xã Tân Hòa</t>
  </si>
  <si>
    <t>Xã Tân Hùng</t>
  </si>
  <si>
    <t>TT Tiểu Cần</t>
  </si>
  <si>
    <t>TT Cầu Quan</t>
  </si>
  <si>
    <t>Kim Hòa</t>
  </si>
  <si>
    <t>Long Sơn</t>
  </si>
  <si>
    <t>Nhị Trường</t>
  </si>
  <si>
    <t>Thạnh Hòa Sơn</t>
  </si>
  <si>
    <t>Thuận Hòa</t>
  </si>
  <si>
    <t>Trường Thọ</t>
  </si>
  <si>
    <t>TT Mỹ Long</t>
  </si>
  <si>
    <t>Mỹ Long Bắc</t>
  </si>
  <si>
    <t>Mỹ Long Nam</t>
  </si>
  <si>
    <t>Vinh Kim</t>
  </si>
  <si>
    <t>Mỹ Hòa</t>
  </si>
  <si>
    <t>Hiệp Mỹ Tây</t>
  </si>
  <si>
    <t>Hiệp Hòa</t>
  </si>
  <si>
    <t>Hiệp Mỹ Đông</t>
  </si>
  <si>
    <t>TT Cầu Ngang</t>
  </si>
  <si>
    <t>Xã Đôn Châu</t>
  </si>
  <si>
    <t>Xã Đôn Xuân</t>
  </si>
  <si>
    <t>TT Long Thành</t>
  </si>
  <si>
    <t>Xã Ngũ Lạc</t>
  </si>
  <si>
    <t>Xã Long Vĩnh</t>
  </si>
  <si>
    <t>Xã Long Khánh</t>
  </si>
  <si>
    <t>Xã Đông Hải</t>
  </si>
  <si>
    <t>Phường 1</t>
  </si>
  <si>
    <t>Phường 2</t>
  </si>
  <si>
    <t>Xã Dân Thành</t>
  </si>
  <si>
    <t>Xã Hiệp Thạnh</t>
  </si>
  <si>
    <t>Xã Long Hữu</t>
  </si>
  <si>
    <t>Xã Long Toàn</t>
  </si>
  <si>
    <t>Xã Trường Long Hòa</t>
  </si>
  <si>
    <t xml:space="preserve"> THÀNH PHỐ TRÀ VINH</t>
  </si>
  <si>
    <t>Xã Long Đức</t>
  </si>
  <si>
    <t>Phường 7</t>
  </si>
  <si>
    <t>Phường 4</t>
  </si>
  <si>
    <t>Phường 6</t>
  </si>
  <si>
    <t>Phường 8</t>
  </si>
  <si>
    <t>Phường 9</t>
  </si>
  <si>
    <t>Phường 3</t>
  </si>
  <si>
    <t>Phường 5</t>
  </si>
  <si>
    <t>TỔN SỐ BIÊN CHẾ CÁN BỘ, CÔNG CHỨC CẤP XÃ</t>
  </si>
  <si>
    <t>Huyện</t>
  </si>
  <si>
    <t>Số xã</t>
  </si>
  <si>
    <t>Số Ấp</t>
  </si>
  <si>
    <t>Xã theo QĐ 30/2007/QĐ-TTg
6trđ/năm/KDC</t>
  </si>
  <si>
    <t>Xã theo ngoài  30/2007/QĐ-TTg
4trđ/năm/KDC</t>
  </si>
  <si>
    <t>Xã theo QĐ 1049
6trđ/năm/KDC</t>
  </si>
  <si>
    <t>Xã theo ngoài  QĐ 1049
5trđ/năm/KDC</t>
  </si>
  <si>
    <t>Loại 1</t>
  </si>
  <si>
    <t>Loại 2</t>
  </si>
  <si>
    <t>Loại 3</t>
  </si>
  <si>
    <t>1.HUYỆN CHÂU THÀNH</t>
  </si>
  <si>
    <t>x</t>
  </si>
  <si>
    <t>2. HUYỆN CẦU KÈ</t>
  </si>
  <si>
    <t>3.HUYỆN CÀNG LONG</t>
  </si>
  <si>
    <t>4.HUYỆN TRÀ CÚ</t>
  </si>
  <si>
    <t>5.HUYỆN TIỂU CẦN</t>
  </si>
  <si>
    <t>6.HUYỆN CẦU NGANG</t>
  </si>
  <si>
    <t>7.HUYỆN DUYÊN HẢI</t>
  </si>
  <si>
    <t>8.THỊ XÃ DUYÊN HẢI</t>
  </si>
  <si>
    <t>9. THÀNH PHỐ TRÀ VINH</t>
  </si>
  <si>
    <t>Trà Vinh, ngày     tháng     năm 2016</t>
  </si>
  <si>
    <t>TP. NGÂN SÁCH</t>
  </si>
  <si>
    <t>Tiêu Nghĩa Dũng</t>
  </si>
  <si>
    <t>ỦY BAN NHÂN DÂN TỈNH, THÀNH PHỐ:…</t>
  </si>
  <si>
    <t>BÁO CÁO NHU CẦU VÀ NGUỒN KINH PHÍ ĐỂ THỰC HIỆN CẢI CÁCH TIỀN LƯƠNG NĂM 2020</t>
  </si>
  <si>
    <t>(Kèm theo Công văn số 14846/BTC-NSNN ngày 02 tháng 12 năm 2020 của Bộ Tài chính)</t>
  </si>
  <si>
    <t>SỐ TIỀN</t>
  </si>
  <si>
    <t>NGUỒN THỰC HIỆN CẢI CÁCH TIỀN LƯƠNG NĂM 2020</t>
  </si>
  <si>
    <t>50% giảm thu NSĐP (không kể thu tiền sử dụng đất, xổ số kiến thiết; các khoản loại trừ theo Nghị quyết số 86/2019/QH14 ngày 12/11/2019 của Quốc hội) thực hiện 2020 so dự toán Thủ tướng Chính phủ giao năm 2020</t>
  </si>
  <si>
    <t>70% tăng thu NSĐP/50% giảm thu NSĐP (không kể thu tiền sử dụng đất, xổ số kiến thiết; các khoản loại trừ theo Nghị quyết số 86/2019/QH14 ngày 12/11/2019 của Quốc hội) thực hiện 2019 so dự toán Thủ tướng Chính phủ giao năm 2019</t>
  </si>
  <si>
    <t>50%  tăng thu NSĐP (không kể thu tiền sử dụng đất, xổ số kiến thiết; các khoản loại trừ theo Nghị quyết số 86/2019/QH14 ngày 12/11/2019 của Quốc hội) dự toán 2020 so dự toán 2019 Thủ tướng Chính phủ giao</t>
  </si>
  <si>
    <t>50%  tăng thu NSĐP (không kể thu tiền sử dụng đất, xổ số kiến thiết) dự toán 2019 so dự toán 2018 Thủ tướng Chính phủ giao</t>
  </si>
  <si>
    <t>50%  tăng thu NSĐP (không kể thu tiền sử dụng đất, xổ số kiến thiết) dự toán 2018 so dự toán 2017 Thủ tướng Chính phủ giao</t>
  </si>
  <si>
    <t>Số tiết kiệm 10% chi thường xuyên dự toán năm 2017</t>
  </si>
  <si>
    <t>Số tiết kiệm 10% chi thường xuyên tăng thêm năm 2020 so với năm 2017 theo Quyết định giao dự toán năm 2020 của Bộ trưởng Bộ Tài chính</t>
  </si>
  <si>
    <t>Số thu được huy động từ nguồn để lại đơn vị năm 2020:</t>
  </si>
  <si>
    <t>Nguồn huy động từ các đơn vị tự đảm bảo (1):</t>
  </si>
  <si>
    <t>Nguồn 50% phần ngân sách nhà nước giảm chi hỗ trợ hoạt động thường xuyên trong lĩnh vực hành chính và các đơn vị sự nghiệp công lập năm 2020</t>
  </si>
  <si>
    <t>Nguồn NSTW đã bổ sung trong dự toán 2020</t>
  </si>
  <si>
    <t>Nguồn thực hiện cải cách tiền lương năm 2019 chưa sử dụng hết chuyển sang 2020</t>
  </si>
  <si>
    <t>TỔNG NHU CẦU NĂM 2020</t>
  </si>
  <si>
    <t>Tổng nhu cầu kinh phí tăng thêm để thực hiện cải cách tiền lương theo Nghị định số  47/2017/NĐ-CP và Nghị định số 76/2017/NĐ-CP (2)</t>
  </si>
  <si>
    <t>Tổng nhu cầu kinh phí tăng thêm để thực hiện cải cách tiền lương theo Nghị định số 72/2018/NĐ-CP và Nghị định số 88/2018/NĐ-CP (3)</t>
  </si>
  <si>
    <t>Tổng nhu cầu kinh phí tăng thêm để thực hiện cải cách tiền lương theo Nghị định số 38/2019/NĐ-CP và Nghị định số 44/2019/NĐ-CP (4)</t>
  </si>
  <si>
    <t>Tổng nhu cầu kinh phí tăng thêm để thực hiện cải cách tiền lương theo Nghị định số .../2020/NĐ-CP và Nghị định số .../2020/NĐ-CP</t>
  </si>
  <si>
    <t xml:space="preserve">Quỹ lương, phụ cấp tăng thêm đối với cán bộ chuyên trách và công chức cấp xã </t>
  </si>
  <si>
    <t>Quỹ trợ cấp tăng thêm đối với cán bộ xã nghỉ việc hưởng trợ cấp hàng tháng theo NĐ 44/2020/NĐ-CP</t>
  </si>
  <si>
    <t>Kinh phí tăng thêm thực hiện chế độ đối với cán bộ không chuyên trách cấp xã, thôn và tổ dân phố</t>
  </si>
  <si>
    <t xml:space="preserve">Kinh phí tăng thêm để thực hiện phụ cấp trách nhiệm đối với cấp uỷ viên các cấp theo QĐ số 169-QĐ/TW  ngày 24/6/2008 </t>
  </si>
  <si>
    <t>Kinh phí tăng thêm thực hiện chế độ bồi dưỡng phục vụ hoạt động cấp uỷ thuộc cấp tỉnh theo Quy định 09-QĐ/VPTW ngày 22/9/2017</t>
  </si>
  <si>
    <t>Kinh phí tăng, giảm do điều chỉnh địa bàn vùng KTXH ĐBKK năm 2017 theo Quyết định số 131/QĐ-TTg và Quyết định số 582/QĐ-TTg của Thủ tướng Chính phủ tính đủ 12 tháng (6)</t>
  </si>
  <si>
    <t>Nhu cầu kinh phí thực hiện chính sách tinh giản biên chế năm 2020 theo NĐ số 108/2014/NĐ-CP ngày 20/11/2014 và Nghị định số 113/2018/NĐ-CP ngày 31/8/2018 của Chính phủ</t>
  </si>
  <si>
    <t>Nhu cầu kinh phí thực hiện chính sách nghỉ hưu trước tuổi năm 2020 theo NĐ số 26/2014/NĐ-CP ngày 09/3/2015</t>
  </si>
  <si>
    <t>Kinh phí giảm do điều chỉnh danh sách huyện nghèo theo Quyết định số 275/QĐ-TTg ngày 07/3/2018 của Thủ tướng Chính phủ tính đủ 12 tháng (7)</t>
  </si>
  <si>
    <t>Kinh phí giảm do điều chỉnh số lượng cán bộ, công chức cấp xã; mức khoán phụ cấp đối với người hoạt động không chuyên trách ở cấp xã theo Nghị định số 34/2019/NĐ-CP của Chính phủ (8)</t>
  </si>
  <si>
    <t>Kinh phí giảm do thực hiện Nghị định 76/2019/NĐ-CP  ngày 08/10/2019 của Chính phủ (9)</t>
  </si>
  <si>
    <t>CHÊNH LỆCH NHU CẦU VÀ NGUỒN NĂM 2020</t>
  </si>
  <si>
    <t>Phần thiếu nguồn ngân sách trung ương hỗ trợ.</t>
  </si>
  <si>
    <t xml:space="preserve">Ghi chú:
(1) Bao gồm các đơn vị tự bảo đảm chi thường xuyên và chi đầu tư, đơn vị tự bảo đảm chi thường xuyên.
(2), (3), (4), (5), (6), (7) Theo nhu cầu khi thẩm định CCTL năm 2019,  tính đủ 12 tháng.
</t>
  </si>
  <si>
    <t>(1) Bao gồm các đơn vị tự đảm bảo chi thường xuyên và chi đầu tư, đơn vị tự đảm bảo chi thường xuyên.</t>
  </si>
  <si>
    <t>(2),(3),(6),(7) Theo nhu cầu khi thẩm định CCTL 2019, tính đủ 12 tháng.</t>
  </si>
  <si>
    <t>(8) Theo mẫu tại biểu số 2k, 2l.</t>
  </si>
  <si>
    <t>(9) Theo mẫu tại biểu số 2m, 2n.</t>
  </si>
  <si>
    <t xml:space="preserve">…, ngày……tháng…….năm…                     </t>
  </si>
  <si>
    <t>CHỦ TỊCH ỦY BAN NHÂN DÂN TỈNH, THÀNH PHỐ</t>
  </si>
  <si>
    <t xml:space="preserve">( Ký tên, đóng dấu)                               </t>
  </si>
  <si>
    <t>Chỉ tiêu</t>
  </si>
  <si>
    <t>Tổng hệ số lương ngạch bậc, phụ cấp CV, thâm niên, vượt khung</t>
  </si>
  <si>
    <t>Chênh lệch hệ số phụ cấp ưu đãi</t>
  </si>
  <si>
    <t>Hệ số lương ngạch bậc</t>
  </si>
  <si>
    <t>Hệ số phụ cấp chức vụ, vượt khung</t>
  </si>
  <si>
    <t>Tổng hệ số phụ cấp ưu đãi (NĐ 61, 64, 19)</t>
  </si>
  <si>
    <t>Tổng hệ số phụ cấp ưu đãi (QĐ 244, 276)</t>
  </si>
  <si>
    <t>Chênh lệch hệ số phụ cấp ưu đãi 1 tháng</t>
  </si>
  <si>
    <t>số</t>
  </si>
  <si>
    <t>2 = 3+4</t>
  </si>
  <si>
    <t>5= 2 x tỷ lệ phụ cấp ưu đãi</t>
  </si>
  <si>
    <t>6= 2 x tỷ lệ phụ cấp ưu đãi</t>
  </si>
  <si>
    <t>7=6-5</t>
  </si>
  <si>
    <t>Khối tỉnh</t>
  </si>
  <si>
    <t>Đơn vị….</t>
  </si>
  <si>
    <t>…………….</t>
  </si>
  <si>
    <t>Khối huyện</t>
  </si>
  <si>
    <t>Huyện A</t>
  </si>
  <si>
    <t>Xã….</t>
  </si>
  <si>
    <t>Thôn….</t>
  </si>
  <si>
    <t>Huyện B</t>
  </si>
  <si>
    <t>…</t>
  </si>
  <si>
    <t>Hệ số phụ cấp thu hút (NĐ 61, 64, 19, 116)</t>
  </si>
  <si>
    <t>2=3+4</t>
  </si>
  <si>
    <t>5=2 x 70%</t>
  </si>
  <si>
    <t>Biểu số 2h</t>
  </si>
  <si>
    <t>TỔNG HỢP PHỤ CẤP ƯU ĐÃI GIẢM DO ĐIỀU CHỈNH DANH SÁCH HUYỆN NGHÈO THEO QUYẾT ĐỊNH SỐ 275/QĐ-TTG NGÀY 07/3/2018 CỦA THỦ TƯỚNG CHÍNH PHỦ</t>
  </si>
  <si>
    <t>Biên chế được hưởng phụ cấp ưu đãi nghề có mặt đến 01/7/2020</t>
  </si>
  <si>
    <t>Quỹ phụ cấp ưu đãi giảm năm 2020 (lương 1,39)</t>
  </si>
  <si>
    <t>8=7*1,39*12T</t>
  </si>
  <si>
    <t>Biểu số 2i</t>
  </si>
  <si>
    <t>TỔNG HỢP PHỤ CẤP THU HÚT GIẢM DO ĐIỀU CHỈNH DANH SÁCH HUYỆN NGHÈO THEO QUYẾT ĐỊNH SỐ 275/QĐ-TTG NGÀY 07/3/2018 CỦA THỦ TƯỚNG CHÍNH PHỦ</t>
  </si>
  <si>
    <t>Biên chế được hưởng phụ cấp thu hút có mặt đến 01/7/2020</t>
  </si>
  <si>
    <t>Quỹ phụ cấp thu hút giảm năm 2020
(lương 1,39)</t>
  </si>
  <si>
    <t>6=5 x 1,39 x 12T</t>
  </si>
  <si>
    <t>(Căn cứ Nghị Quyết số 22/2013/NQ-HĐND, Nghị Quyết số 23/2013/NQ-HĐND  ngày 06/12/2013 của HĐND tỉnh)</t>
  </si>
  <si>
    <t>Số
lượng</t>
  </si>
  <si>
    <t>PHỤ CẤP HÀNG THÁNG</t>
  </si>
  <si>
    <t>Phó Trưởng Công an xã</t>
  </si>
  <si>
    <t>Công an viên thường trực tại xã</t>
  </si>
  <si>
    <t>- Công an viên 1</t>
  </si>
  <si>
    <t>- Công an viên 2</t>
  </si>
  <si>
    <t>- Công an viên 3</t>
  </si>
  <si>
    <t>Công an viên ấp khóm</t>
  </si>
  <si>
    <t>Trưởng Công an xã</t>
  </si>
  <si>
    <t>Công an viên thường trực tại ấp, khóm</t>
  </si>
  <si>
    <t>SỐ
TT</t>
  </si>
  <si>
    <t>PHỤ CẤP HÀNG THÁNG BAN CHỈ HUY QUÂN SỰ</t>
  </si>
  <si>
    <t>- Phụ cấp hàng tháng</t>
  </si>
  <si>
    <t>+ Phó chỉ huy trưởng 1</t>
  </si>
  <si>
    <t>+ Phó chỉ huy trưởng 2</t>
  </si>
  <si>
    <t>Ấp, khóm đội trưởng</t>
  </si>
  <si>
    <t>PHỤ CẤP TRÁCH NHIỆM</t>
  </si>
  <si>
    <t>Xã đội trưởng</t>
  </si>
  <si>
    <t>Chính trị viên</t>
  </si>
  <si>
    <t>Chính trị viên phó</t>
  </si>
  <si>
    <t>Xã đội phó</t>
  </si>
  <si>
    <t>Tiểu đội trưởng, khẩu đội trưởng</t>
  </si>
  <si>
    <t>Trung đội trưởng DQCĐ</t>
  </si>
  <si>
    <t>Trung đội trưởng phòng không, biển</t>
  </si>
  <si>
    <t>PHỤ CẤP THÂM NIÊN</t>
  </si>
  <si>
    <t>- Mức phụ cấp 5%</t>
  </si>
  <si>
    <t>- Mức phụ cấp 6%</t>
  </si>
  <si>
    <t>- Mức phụ cấp 7%</t>
  </si>
  <si>
    <t>- Mức phụ cấp 8%</t>
  </si>
  <si>
    <t>- Mức phụ cấp 9%</t>
  </si>
  <si>
    <t>- Mức phụ cấp 10%</t>
  </si>
  <si>
    <t>- Mức phụ cấp 11%</t>
  </si>
  <si>
    <t>- Mức phụ cấp 12%</t>
  </si>
  <si>
    <t>- Mức phụ cấp 13%</t>
  </si>
  <si>
    <t>- Mức phụ cấp 14%</t>
  </si>
  <si>
    <t>Chỉ huy phó BCHQS cấp xã</t>
  </si>
  <si>
    <t xml:space="preserve"> Trung đội trưởng dân quân cơ động</t>
  </si>
  <si>
    <t xml:space="preserve"> Dân quân tham gia thường trực sẵn sàng chiến đấu ngày lễ, tết</t>
  </si>
  <si>
    <t>- Tiền ăn</t>
  </si>
  <si>
    <t>- Ngày công lao động</t>
  </si>
  <si>
    <t>Trực đột xuất theo yêu cầu</t>
  </si>
  <si>
    <t>Phụ cấp theo NQ 23/2015/NQ-HĐND</t>
  </si>
  <si>
    <t>Thị trấn Cầu Kè</t>
  </si>
  <si>
    <t>Xã Hòa Ân</t>
  </si>
  <si>
    <t>Xã Châu Điền</t>
  </si>
  <si>
    <t>Xã An Phú Tân</t>
  </si>
  <si>
    <t>Xã Hoà Tân</t>
  </si>
  <si>
    <t>Xã Ninh Thới</t>
  </si>
  <si>
    <t>Xã Phong Phú</t>
  </si>
  <si>
    <t>Xã Phong Thạnh</t>
  </si>
  <si>
    <t>Xã Tam Ngãi</t>
  </si>
  <si>
    <t>Xã Thông Hòa</t>
  </si>
  <si>
    <t>Xã Thạnh Phú</t>
  </si>
  <si>
    <t>Thị trấn Tiểu Cần</t>
  </si>
  <si>
    <t>Thị trấn Cầu Quan</t>
  </si>
  <si>
    <t>Thị trấn Châu Thành</t>
  </si>
  <si>
    <t>Xã Đa Lộc</t>
  </si>
  <si>
    <t>Xã Mỹ Chánh</t>
  </si>
  <si>
    <t>Xã Thanh Mỹ</t>
  </si>
  <si>
    <t>Xã Lương Hoà A</t>
  </si>
  <si>
    <t>Xã Lương Hòa</t>
  </si>
  <si>
    <t>Xã Song Lộc</t>
  </si>
  <si>
    <t>Xã Nguyệt Hóa</t>
  </si>
  <si>
    <t>Xã Hòa Thuận</t>
  </si>
  <si>
    <t>Xã Hòa Lợi</t>
  </si>
  <si>
    <t>Xã Phước Hảo</t>
  </si>
  <si>
    <t>Xã Hưng Mỹ</t>
  </si>
  <si>
    <t>Xã Hòa Minh</t>
  </si>
  <si>
    <t>Xã Long Hòa</t>
  </si>
  <si>
    <t>Thị trấn Cầu Ngang</t>
  </si>
  <si>
    <t>Thị trấn Mỹ Long</t>
  </si>
  <si>
    <t>Xã Mỹ Long Bắc</t>
  </si>
  <si>
    <t>Xã Mỹ Long Nam</t>
  </si>
  <si>
    <t>Xã Mỹ Hòa</t>
  </si>
  <si>
    <t>Xã Vĩnh Kim</t>
  </si>
  <si>
    <t>Xã Kim Hòa</t>
  </si>
  <si>
    <t>Xã Hiệp Hòa</t>
  </si>
  <si>
    <t>Xã Thuận Hòa</t>
  </si>
  <si>
    <t>Xã Long Sơn</t>
  </si>
  <si>
    <t>Xã Nhị Trường</t>
  </si>
  <si>
    <t>Xã Trường Thọ</t>
  </si>
  <si>
    <t>Xã Hiệp Mỹ Đông</t>
  </si>
  <si>
    <t>Xã Hiệp Mỹ Tây</t>
  </si>
  <si>
    <t>Xã Thạnh Hòa Sơn</t>
  </si>
  <si>
    <t>Thị trấn Trà Cú</t>
  </si>
  <si>
    <t>Thị trấn Định An</t>
  </si>
  <si>
    <t>Xã An Quảng Hữu</t>
  </si>
  <si>
    <t>Thị trấn Long Thành</t>
  </si>
  <si>
    <t>BIỂU TỔNG HỢP SỐ LƯỢNG CÁN BỘ KHÔNG CHUYÊN TRÁCH CẤP XÃ</t>
  </si>
  <si>
    <t>Tỉnh</t>
  </si>
  <si>
    <t>Số lượng đơn vị hành chính cấp xã trước khi sắp xếp</t>
  </si>
  <si>
    <t>Định biên CBKCT cấp xã theo Nghị định 92/2009/NĐ-CP</t>
  </si>
  <si>
    <t>Số lượng CBKCT cấp xã thực tế có mặt</t>
  </si>
  <si>
    <t>Số lượng đơn vị hành chính cấp xã sau sắp xếp</t>
  </si>
  <si>
    <t>Định biên CBKCT cấp xã theo Nghị định 34/2019/NĐ-CP</t>
  </si>
  <si>
    <t>Số lượng CBCC xã thực tế có mặt</t>
  </si>
  <si>
    <t>Chênh lệch so với định biên theo Nghị định 34</t>
  </si>
  <si>
    <t>Phương án sắp xếp số lượng CBKCT cấp xã dôi dư</t>
  </si>
  <si>
    <t>THEO NQ93/2019/NQ-HĐND; NQ94/2019/NQ-HĐND CỦA HĐND TỈNH TRÀ VINH</t>
  </si>
  <si>
    <t xml:space="preserve">Định biên </t>
  </si>
  <si>
    <t>Khoán kinh phí hoạt động ấp, khóm mưc: 3,0 mức lương cơ sở (3 * 1,49trđ * 12 * số ấp/khóm)</t>
  </si>
  <si>
    <t>Chế độ BHXH, BHYT</t>
  </si>
  <si>
    <t>Phụ cấp kiêm nhiệm (50% mức phụ cấp kiêm nhiệm)</t>
  </si>
  <si>
    <t>19=20+21+22+23</t>
  </si>
  <si>
    <t>TRÀ VINH</t>
  </si>
  <si>
    <t>BIÊN CHẾ ĐƯỢC CẤP CÓ THẨM QUYỀN GIAO HOẶC PHÊ DUYỆT NĂM 2020</t>
  </si>
  <si>
    <t>5 = (4-3)*12T</t>
  </si>
  <si>
    <t>Mức Phụ cấp theo NQ 22/2013/NQ-HĐND</t>
  </si>
  <si>
    <t xml:space="preserve">Phó Trưởng Công an xã </t>
  </si>
  <si>
    <t>TRỢ CẤP TĂNG THÊM CÓ TRÌNH ĐỘ (1)</t>
  </si>
  <si>
    <t>(1): Đại học: 1.34; Cao đẳng: 1.1; Trung cấp: 0.86</t>
  </si>
  <si>
    <t>HỖ TRỢ TẠM THỜI ĐÓNG BHXH THEO NQ 23/2013/NQ-HĐND</t>
  </si>
  <si>
    <t>TRỢ CẤP KHI LÀM NHIÊM VỤ TT SSCĐ THEO NQ 23/2013/NQ-HĐND (2)</t>
  </si>
  <si>
    <t>01 ngày 0.05 lần MLCS không quá 15 ngày trong năm)</t>
  </si>
  <si>
    <t xml:space="preserve">    ỦY BAN NHÂN DÂN …..............</t>
  </si>
  <si>
    <t xml:space="preserve">Quỹ lương  theo mức 1.39 trđ </t>
  </si>
  <si>
    <t xml:space="preserve">Quỹ lương theo mức lương 1.49 trđ </t>
  </si>
  <si>
    <t>3=1*2*1.39 trđ</t>
  </si>
  <si>
    <t xml:space="preserve"> 4=1*2*1.49 trđ</t>
  </si>
  <si>
    <t>Chênh lệch quỹ lương tăng thêm 12 tháng</t>
  </si>
  <si>
    <t xml:space="preserve">       UỶ BAN NHÂN DÂN ….............</t>
  </si>
  <si>
    <t>TỔNG HỢP NHU CẦU KINH PHÍ THỰC HIỆN CHẾ ĐỘ DQTV NĂM 2020</t>
  </si>
  <si>
    <t>TỔNG HỢP NHU CẦU KINH PHÍ THỰC HIỆN CHẾ ĐỘ LỰC LƯỢNG CÔNG AN XÃ NĂM 2020</t>
  </si>
  <si>
    <t>(Theo Nghị Quyết số 23/2015/NQ-HĐND ngày 09/12/2015 của HĐND tỉnh phê duyệt Đề án số 3993/ĐA-UBND ngày 02/12/2015 của Ủy ban nhân dân tỉnh)</t>
  </si>
  <si>
    <t xml:space="preserve">Phó chỉ huy trưởng </t>
  </si>
  <si>
    <t>- Phụ cấp theo bằng (Có bằng ĐH: 1.34; CĐ: 1.1,; TC: 0.86)</t>
  </si>
  <si>
    <t>PHỤ CẤP ĐẶC THÙ QUỐC PHÒNG QUÂN SỰ (50% tổng phụ cấp hiện hưởng)</t>
  </si>
  <si>
    <t>Ấp, khóm đội trưởng</t>
  </si>
  <si>
    <t>Chế độ khi được huy động làm nhiệm vụ quy định tại Điều 8 của Luật Dân quân tự vệ</t>
  </si>
  <si>
    <t>HỖ TRỢ  CÁC KHOẢN ĐÓNG GÓP (BHXH, BHYT, KPCD)</t>
  </si>
  <si>
    <t xml:space="preserve"> Dân quân tham gia trực luân phiên  (Tiền ăn 3 người)</t>
  </si>
  <si>
    <t xml:space="preserve">Sự nghiệp kinh tế </t>
  </si>
  <si>
    <t xml:space="preserve">CHỦ TỊCH ỦY BAN NHÂN DÂN </t>
  </si>
  <si>
    <t>Biểu số 3 - CBKCT</t>
  </si>
  <si>
    <t>Biểu số 2 - DQTV</t>
  </si>
  <si>
    <t>Biểu số 1  -Cong an Xa</t>
  </si>
  <si>
    <t>TỔNG CÔNG</t>
  </si>
  <si>
    <t>Trung cấp</t>
  </si>
  <si>
    <t xml:space="preserve">    Đại học</t>
  </si>
  <si>
    <t xml:space="preserve">   Cao đẳng</t>
  </si>
  <si>
    <t xml:space="preserve">   Trung cấp</t>
  </si>
  <si>
    <t xml:space="preserve"> - TT GDTX-HNDN TP Trà Vinh</t>
  </si>
  <si>
    <t xml:space="preserve"> - TT GDTX-HNDN huyện Trà Cú</t>
  </si>
  <si>
    <t>Ban quản lý Khu kinh tế (Trung tâm Quản lý Hạ tầng Khu kinh tế, Khu công nghiệp)</t>
  </si>
  <si>
    <t>Sở Nông nghiệp và Phát triển nông thôn  (Hội Thủy sản và Làm vườn)</t>
  </si>
  <si>
    <t xml:space="preserve"> - Phụ cấp Ban chỉ đạo 35</t>
  </si>
  <si>
    <t>BÁO CÁO NHU CẦU KINH PHÍ THỰC HIỆN NGHỊ ĐỊNH 38/2019/NĐ-CP NĂM 2019</t>
  </si>
  <si>
    <t>BIÊN CHẾ ĐƯỢC CẤP CÓ THẨM QUYỀN GIAO HOẶC PHÊ DUYỆT NĂM 2019</t>
  </si>
  <si>
    <t>TỔNG SỐ ĐỐI TƯỢNG HƯỞNG LƯƠNG CÓ MẶT ĐẾN 01/7/2019</t>
  </si>
  <si>
    <t xml:space="preserve">QUỸ TIỀN LƯƠNG, PHỤ CẤP VÀ CÁC KHOẢN ĐÓNG GÓP THÁNG 7/2020
 THEO NGHỊ ĐỊNH SỐ 72/2018/NĐ-CP </t>
  </si>
  <si>
    <t xml:space="preserve">QUỸ TIỀN LƯƠNG, PHỤ CẤP VÀ CÁC KHOẢN ĐÓNG GÓP THÁNG 7/2020
 THEO NGHỊ ĐỊNH SỐ 38/2019/NĐ-CP </t>
  </si>
  <si>
    <t xml:space="preserve">NHU CẦU KINH PHÍ 
HỰC HIỆN NGHỊ ĐỊNH SỐ 38/2019/NĐ-CP </t>
  </si>
  <si>
    <t>34=33x6T</t>
  </si>
  <si>
    <t>Mức 1,39</t>
  </si>
  <si>
    <t>Nghỉ việc</t>
  </si>
  <si>
    <t xml:space="preserve">               - Hội đặc thù</t>
  </si>
  <si>
    <t>Công an viên thường trực tại ấp, khóm (Hỗ trợ BHYT)</t>
  </si>
  <si>
    <t>Hỗ trợ đóng BHYT</t>
  </si>
  <si>
    <t>Ấp đội trưởng</t>
  </si>
  <si>
    <t>UBND thị trấn Càng Long</t>
  </si>
  <si>
    <t>UBND xã An Trường</t>
  </si>
  <si>
    <t>UBND xã Tân Bình</t>
  </si>
  <si>
    <t>UBND xã Bình Phú</t>
  </si>
  <si>
    <t>UBND xã Phương Thạnh</t>
  </si>
  <si>
    <t>UBND xã Huyền Hội</t>
  </si>
  <si>
    <t>UBND xã Mỹ Cẩm</t>
  </si>
  <si>
    <t>UBND xã Đại Phước</t>
  </si>
  <si>
    <t>UBND xã Đức Mỹ</t>
  </si>
  <si>
    <t>UBND xã An Trường A</t>
  </si>
  <si>
    <t>UBND xã Tân An</t>
  </si>
  <si>
    <t>UBND xã Nhị Long</t>
  </si>
  <si>
    <t>UBND xã Nhị Long Phú</t>
  </si>
  <si>
    <t>UBND xã Đại Phúc</t>
  </si>
  <si>
    <t>Phụ cấp xã, ấp khóm</t>
  </si>
  <si>
    <t>- Mức phụ cấp 20%</t>
  </si>
  <si>
    <t>Trà Cú</t>
  </si>
  <si>
    <t xml:space="preserve">  TỈNH TRÀ VINH</t>
  </si>
  <si>
    <t xml:space="preserve">   TỈNH TRÀ VINH</t>
  </si>
  <si>
    <t>CÁN BỘ KHÔNG CHUYÊN TRÁCH CẤP XÃ, THÔN</t>
  </si>
  <si>
    <t>CÁN BỘ XÃ THÔI VIỆC</t>
  </si>
  <si>
    <t>BÁO CÁO QUỸ LƯƠNG, PHỤ CẤP, TRỢ CẤP THEO SỐ LIỆU QUYẾT TOÁN NĂM 2019</t>
  </si>
  <si>
    <t>TỔNG SỐ ĐỐI TƯỢNG HƯỞNG LƯƠNG CÓ MẶT ĐẾN 01/01/2019 (đã báo cáo Sở Tài chính thẩm định)</t>
  </si>
  <si>
    <t>7=8+…17</t>
  </si>
  <si>
    <t>5=6+7+18</t>
  </si>
  <si>
    <t>Hệ số lương bình quân</t>
  </si>
  <si>
    <t>Hệ số bình quân</t>
  </si>
  <si>
    <t>CÁC KHOẢN ĐÓNG GÓP BHXH, BHYT, KPCĐ, BHTN
(2)</t>
  </si>
  <si>
    <t>19=6/4/12/((1,39+1.49)/2)</t>
  </si>
  <si>
    <t>20=7/4/12/((1,39+1,49)/2)</t>
  </si>
  <si>
    <t xml:space="preserve">(1) Chỉ tính  các khoản phụ cấp do TW quy định, không kể tiền lương làm việc vào ban đêm, làm thêm giờ, phụ cấp theo mức tuyệt đối </t>
  </si>
  <si>
    <t>(2) Mức đóng BHXH là 17,5%, BHYT là 3%, KPCĐ là 2%, BHTN là 1% (đối với lĩnh vực Quản lý nhà nước, Đảng, đoàn thể không tính BHTN 1%; HĐ phí HĐND và Phụ cấp trách nhiệm cấp ủy không tính các khoản đóng góp)</t>
  </si>
  <si>
    <t>(3) Bao gồm các đơn vị tự bảo đảm chi thường xuyên ; đơn vị tự bảo đảm chi thường xuyên và chi đầu tư</t>
  </si>
  <si>
    <t>19=6/4/12/1,49</t>
  </si>
  <si>
    <t>20=7/4/12/1,49</t>
  </si>
  <si>
    <t>BIÊN CHẾ ĐƯỢC CẤP CÓ THẨM QUYỀN GIAO HOẶC PHÊ DUYỆT NĂM 2021</t>
  </si>
  <si>
    <t xml:space="preserve">TỔNG SỐ ĐỐI TƯỢNG HƯỞNG LƯƠNG CÓ MẶT ĐẾN 01/05/2021 </t>
  </si>
  <si>
    <t>QUỸ TIỀN LƯƠNG, PHỤ CẤP , TRỢ CẤP NĂM 2019 (12 tháng)</t>
  </si>
  <si>
    <t>QUỸ TIỀN LƯƠNG, PHỤ CẤP , TRỢ CẤP NĂM 2020 (12 tháng)</t>
  </si>
  <si>
    <t>QUỸ TIỀN LƯƠNG, PHỤ CẤP , TRỢ CẤP NĂM 2021 THEO TIỀN LƯƠNG 1,49  triệu đồng/tháng (12 tháng)</t>
  </si>
  <si>
    <t>BÁO CÁO QUỸ LƯƠNG, PHỤ CẤP, TRỢ CẤP DỰ KIẾN NĂM 2021</t>
  </si>
  <si>
    <t>BÁO CÁO QUỸ LƯƠNG, PHỤ CẤP, TRỢ CẤP THỰC HIÊ  NĂM 2020</t>
  </si>
  <si>
    <t>TỔNG SỐ ĐỐI TƯỢNG HƯỞNG LƯƠNG CÓ MẶT ĐẾN 01/01/2020 (Số đối tượng đã báo cáo Sở Tài chính thẩm định)</t>
  </si>
  <si>
    <t>+ Cấp tỉnh (Hệ số 0,5)</t>
  </si>
  <si>
    <t>+Cấp huyện (Hệ số 0,4)</t>
  </si>
  <si>
    <t>+ Cấp xã (Hệ số 0,3)</t>
  </si>
  <si>
    <t>+ Uỷ viên cấp tỉnh (Hệ số 0,5)</t>
  </si>
  <si>
    <t>+ Uỷ viên cấp huyện (Hệ số 0,4)</t>
  </si>
  <si>
    <t>+ Uỷ viên cấp xã (Hệ số 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</si>
</sst>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4">
    <numFmt numFmtId="41" formatCode="_(* #,##0_);_(* \(#,##0\);_(* &quot;-&quot;_);_(@_)"/>
    <numFmt numFmtId="43" formatCode="_(* #,##0.00_);_(* \(#,##0.00\);_(* &quot;-&quot;??_);_(@_)"/>
    <numFmt numFmtId="165" formatCode="_(* #,##0.0_);_(* \(#,##0.0\);_(* &quot;-&quot;??_);_(@_)"/>
    <numFmt numFmtId="166" formatCode="_(* #,##0_);_(* \(#,##0\);_(* &quot;-&quot;??_);_(@_)"/>
    <numFmt numFmtId="167" formatCode="_(* #,##0.000_);_(* \(#,##0.000\);_(* &quot;-&quot;??_);_(@_)"/>
    <numFmt numFmtId="168" formatCode="#,##0.000"/>
    <numFmt numFmtId="169" formatCode="_(* #,##0.00_);_(* \(#,##0.00\);_(* &quot;-&quot;_);_(@_)"/>
    <numFmt numFmtId="170" formatCode="0.000"/>
    <numFmt numFmtId="171" formatCode="_(* #,##0_);_(* \(#,##0\);_(* &quot;-&quot;???_);_(@_)"/>
    <numFmt numFmtId="172" formatCode="_(* #,##0.000_);_(* \(#,##0.000\);_(* &quot;-&quot;???_);_(@_)"/>
    <numFmt numFmtId="173" formatCode="0.0"/>
    <numFmt numFmtId="174" formatCode="_(* #,##0.0_);_(* \(#,##0.0\);_(* &quot;-&quot;_);_(@_)"/>
    <numFmt numFmtId="175" formatCode="mm/dd/yyyy"/>
    <numFmt numFmtId="176" formatCode="#,##0.0"/>
    <numFmt numFmtId="177" formatCode="[$-1045D]d/m/yyyy;@"/>
    <numFmt numFmtId="178" formatCode="dd/mm/yyyy;@"/>
    <numFmt numFmtId="179" formatCode="m/dd/yyyy"/>
    <numFmt numFmtId="180" formatCode="00/0000"/>
    <numFmt numFmtId="181" formatCode="_-* #,##0\ _₫_-;\-* #,##0\ _₫_-;_-* &quot;-&quot;??\ _₫_-;_-@_-"/>
    <numFmt numFmtId="182" formatCode="_-* #,##0.00\ _₫_-;\-* #,##0.00\ _₫_-;_-* &quot;-&quot;??\ _₫_-;_-@_-"/>
    <numFmt numFmtId="183" formatCode="&quot;\&quot;#,##0.00;[Red]&quot;\&quot;&quot;\&quot;&quot;\&quot;&quot;\&quot;&quot;\&quot;&quot;\&quot;\-#,##0.00"/>
    <numFmt numFmtId="184" formatCode="&quot;\&quot;#,##0;[Red]&quot;\&quot;&quot;\&quot;\-#,##0"/>
    <numFmt numFmtId="185" formatCode="_ * #,##0_ ;_ * \-#,##0_ ;_ * &quot;-&quot;_ ;_ @_ "/>
    <numFmt numFmtId="186" formatCode="_ * #,##0.00_ ;_ * \-#,##0.00_ ;_ * &quot;-&quot;??_ ;_ @_ "/>
    <numFmt numFmtId="187" formatCode="_-* #,##0\ _₫_-;\-* #,##0\ _₫_-;_-* &quot;-&quot;\ _₫_-;_-@_-"/>
    <numFmt numFmtId="188" formatCode="_-* #,##0.00\ &quot;₫&quot;_-;\-* #,##0.00\ &quot;₫&quot;_-;_-* &quot;-&quot;??\ &quot;₫&quot;_-;_-@_-"/>
    <numFmt numFmtId="189" formatCode="&quot;$&quot;#,##0;\-&quot;$&quot;#,##0"/>
    <numFmt numFmtId="190" formatCode="\$#,##0\ ;\(\$#,##0\)"/>
    <numFmt numFmtId="191" formatCode="_(* #,##0.0000_);_(* \(#,##0.0000\);_(* &quot;-&quot;??_);_(@_)"/>
    <numFmt numFmtId="192" formatCode="#,###;\-#,###;&quot;&quot;;_(@_)"/>
    <numFmt numFmtId="193" formatCode="_(* #,##0.000000_);_(* \(#,##0.000000\);_(* &quot;-&quot;??_);_(@_)"/>
    <numFmt numFmtId="194" formatCode="#,##0\ &quot;$&quot;_);[Red]\(#,##0\ &quot;$&quot;\)"/>
    <numFmt numFmtId="195" formatCode="&quot;$&quot;###,0&quot;.&quot;00_);[Red]\(&quot;$&quot;###,0&quot;.&quot;00\)"/>
    <numFmt numFmtId="196" formatCode="#,##0.00\ &quot;F&quot;;[Red]\-#,##0.00\ &quot;F&quot;"/>
    <numFmt numFmtId="197" formatCode="_-* #,##0\ &quot;F&quot;_-;\-* #,##0\ &quot;F&quot;_-;_-* &quot;-&quot;\ &quot;F&quot;_-;_-@_-"/>
    <numFmt numFmtId="198" formatCode="#,##0\ &quot;F&quot;;[Red]\-#,##0\ &quot;F&quot;"/>
    <numFmt numFmtId="199" formatCode="#,##0.00\ &quot;F&quot;;\-#,##0.00\ &quot;F&quot;"/>
    <numFmt numFmtId="200" formatCode="&quot;\&quot;#,##0.00;[Red]&quot;\&quot;\-#,##0.00"/>
    <numFmt numFmtId="201" formatCode="&quot;\&quot;#,##0;[Red]&quot;\&quot;\-#,##0"/>
    <numFmt numFmtId="202" formatCode="_-* #,##0_-;\-* #,##0_-;_-* &quot;-&quot;_-;_-@_-"/>
    <numFmt numFmtId="203" formatCode="_-* #,##0.00_-;\-* #,##0.00_-;_-* &quot;-&quot;??_-;_-@_-"/>
    <numFmt numFmtId="204" formatCode="_-&quot;$&quot;* #,##0_-;\-&quot;$&quot;* #,##0_-;_-&quot;$&quot;* &quot;-&quot;_-;_-@_-"/>
    <numFmt numFmtId="205" formatCode="&quot;F&quot;#,##0;[Red]\-&quot;F&quot;#,##0"/>
    <numFmt numFmtId="206" formatCode="_-&quot;$&quot;* #,##0.00_-;\-&quot;$&quot;* #,##0.00_-;_-&quot;$&quot;* &quot;-&quot;??_-;_-@_-"/>
  </numFmts>
  <fonts count="213">
    <font>
      <sz val="11"/>
      <color theme="1"/>
      <name val="Calibri"/>
      <family val="2"/>
      <scheme val="minor"/>
    </font>
    <font>
      <sz val="10"/>
      <color theme="1"/>
      <name val="Arial"/>
      <family val="2"/>
    </font>
    <font>
      <sz val="11"/>
      <color theme="1"/>
      <name val="Calibri"/>
      <family val="2"/>
      <scheme val="minor"/>
    </font>
    <font>
      <b/>
      <sz val="10"/>
      <name val="Arial"/>
      <family val="2"/>
    </font>
    <font>
      <sz val="10"/>
      <name val="Arial"/>
      <family val="2"/>
    </font>
    <font>
      <i/>
      <sz val="10"/>
      <name val="Arial"/>
      <family val="2"/>
    </font>
    <font>
      <sz val="10"/>
      <color theme="1"/>
      <name val="Arial"/>
      <family val="2"/>
    </font>
    <font>
      <sz val="13"/>
      <name val=".VnTime"/>
      <family val="2"/>
    </font>
    <font>
      <sz val="14"/>
      <name val="Times New Roman"/>
      <family val="1"/>
    </font>
    <font>
      <b/>
      <i/>
      <sz val="10"/>
      <name val="Arial"/>
      <family val="2"/>
    </font>
    <font>
      <sz val="10"/>
      <color theme="0"/>
      <name val="Arial"/>
      <family val="2"/>
    </font>
    <font>
      <b/>
      <u/>
      <sz val="10"/>
      <name val="Arial"/>
      <family val="2"/>
    </font>
    <font>
      <b/>
      <sz val="14"/>
      <name val="Arial"/>
      <family val="2"/>
    </font>
    <font>
      <b/>
      <sz val="10"/>
      <color theme="0"/>
      <name val="Arial"/>
      <family val="2"/>
    </font>
    <font>
      <sz val="10"/>
      <color indexed="8"/>
      <name val="Arial"/>
      <family val="2"/>
    </font>
    <font>
      <sz val="10"/>
      <color rgb="FFFF0000"/>
      <name val="Arial"/>
      <family val="2"/>
    </font>
    <font>
      <b/>
      <sz val="10"/>
      <color rgb="FFFF0000"/>
      <name val="Arial"/>
      <family val="2"/>
    </font>
    <font>
      <b/>
      <sz val="10"/>
      <color indexed="10"/>
      <name val="Arial"/>
      <family val="2"/>
    </font>
    <font>
      <i/>
      <sz val="10"/>
      <color theme="0"/>
      <name val="Arial"/>
      <family val="2"/>
    </font>
    <font>
      <i/>
      <sz val="10"/>
      <color indexed="10"/>
      <name val="Arial"/>
      <family val="2"/>
    </font>
    <font>
      <i/>
      <sz val="10"/>
      <color indexed="8"/>
      <name val="Arial"/>
      <family val="2"/>
    </font>
    <font>
      <b/>
      <sz val="12"/>
      <color theme="1"/>
      <name val="Arial"/>
      <family val="2"/>
    </font>
    <font>
      <b/>
      <sz val="12"/>
      <name val="Arial"/>
      <family val="2"/>
    </font>
    <font>
      <b/>
      <sz val="14"/>
      <name val="Times New Roman"/>
      <family val="1"/>
    </font>
    <font>
      <sz val="13"/>
      <name val="Times New Roman"/>
      <family val="1"/>
    </font>
    <font>
      <i/>
      <sz val="12"/>
      <name val="Times New Roman"/>
      <family val="1"/>
    </font>
    <font>
      <sz val="12"/>
      <name val="Times New Roman"/>
      <family val="1"/>
    </font>
    <font>
      <i/>
      <sz val="13"/>
      <name val="Times New Roman"/>
      <family val="1"/>
    </font>
    <font>
      <b/>
      <sz val="13"/>
      <name val="Times New Roman"/>
      <family val="1"/>
    </font>
    <font>
      <b/>
      <sz val="12"/>
      <name val="Times New Roman"/>
      <family val="1"/>
    </font>
    <font>
      <sz val="12"/>
      <name val=".VnArial Narrow"/>
      <family val="2"/>
    </font>
    <font>
      <b/>
      <sz val="12"/>
      <color indexed="10"/>
      <name val="Times New Roman"/>
      <family val="1"/>
    </font>
    <font>
      <sz val="13"/>
      <name val="Times New Roman"/>
      <family val="1"/>
      <charset val="163"/>
    </font>
    <font>
      <i/>
      <sz val="14"/>
      <name val="Times New Roman"/>
      <family val="1"/>
    </font>
    <font>
      <i/>
      <sz val="14"/>
      <color theme="0"/>
      <name val="Times New Roman"/>
      <family val="1"/>
    </font>
    <font>
      <b/>
      <sz val="12"/>
      <name val="Times New Roman"/>
      <family val="1"/>
      <charset val="163"/>
    </font>
    <font>
      <b/>
      <u/>
      <sz val="12"/>
      <name val="Times New Roman"/>
      <family val="1"/>
      <charset val="163"/>
    </font>
    <font>
      <b/>
      <sz val="15"/>
      <name val="Times New Roman"/>
      <family val="1"/>
    </font>
    <font>
      <sz val="15"/>
      <color theme="0"/>
      <name val="Arial"/>
      <family val="2"/>
      <charset val="163"/>
    </font>
    <font>
      <sz val="15"/>
      <name val="Arial"/>
      <family val="2"/>
      <charset val="163"/>
    </font>
    <font>
      <sz val="12"/>
      <color theme="0"/>
      <name val="Arial"/>
      <family val="2"/>
      <charset val="163"/>
    </font>
    <font>
      <sz val="12"/>
      <name val="Arial"/>
      <family val="2"/>
      <charset val="163"/>
    </font>
    <font>
      <b/>
      <i/>
      <sz val="12"/>
      <name val="Times New Roman"/>
      <family val="1"/>
    </font>
    <font>
      <sz val="10"/>
      <name val="Times New Roman"/>
      <family val="1"/>
    </font>
    <font>
      <sz val="13"/>
      <color rgb="FFFF0000"/>
      <name val="Times New Roman"/>
      <family val="1"/>
    </font>
    <font>
      <b/>
      <sz val="11"/>
      <color theme="1"/>
      <name val="Calibri"/>
      <family val="2"/>
      <scheme val="minor"/>
    </font>
    <font>
      <i/>
      <sz val="12"/>
      <name val="Times New Roman"/>
      <family val="1"/>
      <charset val="163"/>
    </font>
    <font>
      <sz val="13"/>
      <color indexed="12"/>
      <name val="Times New Roman"/>
      <family val="1"/>
    </font>
    <font>
      <sz val="11"/>
      <name val="Calibri"/>
      <family val="2"/>
    </font>
    <font>
      <b/>
      <sz val="11"/>
      <name val="Calibri"/>
      <family val="2"/>
    </font>
    <font>
      <sz val="13"/>
      <color theme="0"/>
      <name val="Times New Roman"/>
      <family val="1"/>
    </font>
    <font>
      <i/>
      <sz val="13"/>
      <color theme="0"/>
      <name val="Times New Roman"/>
      <family val="1"/>
    </font>
    <font>
      <b/>
      <sz val="13"/>
      <color theme="0"/>
      <name val="Times New Roman"/>
      <family val="1"/>
    </font>
    <font>
      <b/>
      <sz val="9"/>
      <color indexed="81"/>
      <name val="Tahoma"/>
      <family val="2"/>
    </font>
    <font>
      <sz val="9"/>
      <color indexed="81"/>
      <name val="Tahoma"/>
      <family val="2"/>
    </font>
    <font>
      <sz val="12"/>
      <color rgb="FF7030A0"/>
      <name val="Times New Roman"/>
      <family val="1"/>
    </font>
    <font>
      <sz val="12"/>
      <color rgb="FF7030A0"/>
      <name val="Times New Roman"/>
      <family val="2"/>
    </font>
    <font>
      <b/>
      <sz val="12"/>
      <color rgb="FF7030A0"/>
      <name val="Times New Roman"/>
      <family val="1"/>
    </font>
    <font>
      <sz val="12"/>
      <color indexed="12"/>
      <name val="Times New Roman"/>
      <family val="1"/>
    </font>
    <font>
      <i/>
      <sz val="12"/>
      <color rgb="FF0000FF"/>
      <name val="Times New Roman"/>
      <family val="1"/>
    </font>
    <font>
      <i/>
      <sz val="12"/>
      <color rgb="FFFF0000"/>
      <name val="Times New Roman"/>
      <family val="1"/>
    </font>
    <font>
      <b/>
      <sz val="12"/>
      <color indexed="12"/>
      <name val="Times New Roman"/>
      <family val="1"/>
    </font>
    <font>
      <b/>
      <i/>
      <sz val="12"/>
      <color rgb="FF0000FF"/>
      <name val="Times New Roman"/>
      <family val="1"/>
    </font>
    <font>
      <sz val="12"/>
      <color rgb="FF7030A0"/>
      <name val="Arial "/>
    </font>
    <font>
      <sz val="12"/>
      <color theme="1"/>
      <name val="Times New Roman"/>
      <family val="1"/>
    </font>
    <font>
      <b/>
      <sz val="12"/>
      <color theme="1"/>
      <name val="Times New Roman"/>
      <family val="1"/>
    </font>
    <font>
      <b/>
      <i/>
      <sz val="12"/>
      <color rgb="FFFF0000"/>
      <name val="Times New Roman"/>
      <family val="1"/>
    </font>
    <font>
      <sz val="12"/>
      <name val="Times New Roman"/>
      <family val="1"/>
      <charset val="163"/>
    </font>
    <font>
      <sz val="10"/>
      <color rgb="FF7030A0"/>
      <name val="Arial"/>
      <family val="2"/>
    </font>
    <font>
      <i/>
      <sz val="10"/>
      <color rgb="FFFF0000"/>
      <name val="Arial"/>
      <family val="2"/>
    </font>
    <font>
      <sz val="10"/>
      <color indexed="12"/>
      <name val="Arial"/>
      <family val="2"/>
    </font>
    <font>
      <i/>
      <sz val="12"/>
      <name val="Arial"/>
      <family val="2"/>
    </font>
    <font>
      <sz val="12"/>
      <name val="Arial"/>
      <family val="2"/>
    </font>
    <font>
      <sz val="12"/>
      <name val="Arial "/>
    </font>
    <font>
      <b/>
      <sz val="11"/>
      <name val="Times New Roman"/>
      <family val="1"/>
    </font>
    <font>
      <sz val="11"/>
      <color rgb="FF7030A0"/>
      <name val="Times New Roman"/>
      <family val="1"/>
    </font>
    <font>
      <sz val="11"/>
      <name val="Times New Roman"/>
      <family val="1"/>
    </font>
    <font>
      <sz val="11"/>
      <color theme="1"/>
      <name val="Times New Roman"/>
      <family val="1"/>
    </font>
    <font>
      <i/>
      <sz val="11"/>
      <name val="Times New Roman"/>
      <family val="1"/>
    </font>
    <font>
      <b/>
      <sz val="11"/>
      <color theme="1"/>
      <name val="Times New Roman"/>
      <family val="1"/>
    </font>
    <font>
      <sz val="12"/>
      <color rgb="FF000000"/>
      <name val="Times New Roman"/>
      <family val="1"/>
    </font>
    <font>
      <sz val="12"/>
      <color rgb="FFFF0000"/>
      <name val="Times New Roman"/>
      <family val="1"/>
    </font>
    <font>
      <b/>
      <sz val="12"/>
      <color rgb="FF0000FF"/>
      <name val="Times New Roman"/>
      <family val="1"/>
    </font>
    <font>
      <b/>
      <sz val="12"/>
      <color rgb="FFFF0000"/>
      <name val="Times New Roman"/>
      <family val="1"/>
    </font>
    <font>
      <sz val="9"/>
      <name val="Arial "/>
    </font>
    <font>
      <i/>
      <sz val="11"/>
      <color theme="1"/>
      <name val="Times New Roman"/>
      <family val="1"/>
    </font>
    <font>
      <sz val="9"/>
      <color theme="1"/>
      <name val="Times New Roman"/>
      <family val="1"/>
    </font>
    <font>
      <b/>
      <sz val="10"/>
      <color theme="1"/>
      <name val="Times New Roman"/>
      <family val="1"/>
    </font>
    <font>
      <sz val="10"/>
      <color theme="1"/>
      <name val="Times New Roman"/>
      <family val="1"/>
    </font>
    <font>
      <i/>
      <sz val="10"/>
      <color theme="1"/>
      <name val="Times New Roman"/>
      <family val="1"/>
    </font>
    <font>
      <b/>
      <sz val="10"/>
      <color rgb="FF000000"/>
      <name val="Tahoma"/>
      <family val="2"/>
      <charset val="163"/>
    </font>
    <font>
      <sz val="10"/>
      <color rgb="FF000000"/>
      <name val="Tahoma"/>
      <family val="2"/>
      <charset val="163"/>
    </font>
    <font>
      <sz val="11"/>
      <color indexed="8"/>
      <name val="Calibri"/>
      <family val="2"/>
    </font>
    <font>
      <sz val="11"/>
      <color theme="1"/>
      <name val="Times New Roman"/>
      <family val="2"/>
    </font>
    <font>
      <sz val="12"/>
      <color rgb="FF00B0F0"/>
      <name val="Times New Roman"/>
      <family val="1"/>
    </font>
    <font>
      <sz val="11"/>
      <color theme="1"/>
      <name val="Calibri"/>
      <family val="2"/>
      <charset val="163"/>
      <scheme val="minor"/>
    </font>
    <font>
      <sz val="12"/>
      <color indexed="8"/>
      <name val="Times New Roman"/>
      <family val="1"/>
    </font>
    <font>
      <b/>
      <sz val="9"/>
      <color theme="1"/>
      <name val="Times New Roman"/>
      <family val="1"/>
    </font>
    <font>
      <b/>
      <sz val="7"/>
      <color theme="1"/>
      <name val="Times New Roman"/>
      <family val="1"/>
    </font>
    <font>
      <b/>
      <i/>
      <sz val="10"/>
      <color theme="1"/>
      <name val="Times New Roman"/>
      <family val="1"/>
    </font>
    <font>
      <sz val="7"/>
      <color theme="1"/>
      <name val="Times New Roman"/>
      <family val="1"/>
    </font>
    <font>
      <i/>
      <sz val="7"/>
      <color theme="1"/>
      <name val="Times New Roman"/>
      <family val="1"/>
    </font>
    <font>
      <sz val="7"/>
      <color theme="1"/>
      <name val="Times New Roman"/>
      <family val="1"/>
      <charset val="163"/>
    </font>
    <font>
      <b/>
      <i/>
      <sz val="7"/>
      <color theme="1"/>
      <name val="Times New Roman"/>
      <family val="1"/>
    </font>
    <font>
      <i/>
      <sz val="7"/>
      <color theme="1"/>
      <name val="Times New Roman"/>
      <family val="1"/>
      <charset val="163"/>
    </font>
    <font>
      <i/>
      <sz val="10"/>
      <color theme="1"/>
      <name val="Times New Roman"/>
      <family val="1"/>
      <charset val="163"/>
    </font>
    <font>
      <sz val="7"/>
      <color theme="1"/>
      <name val="Calibri"/>
      <family val="2"/>
      <charset val="163"/>
      <scheme val="minor"/>
    </font>
    <font>
      <b/>
      <sz val="7"/>
      <color theme="1"/>
      <name val="Times New Roman"/>
      <family val="1"/>
      <charset val="163"/>
    </font>
    <font>
      <b/>
      <sz val="7"/>
      <color theme="1"/>
      <name val="Calibri"/>
      <family val="2"/>
      <charset val="163"/>
      <scheme val="minor"/>
    </font>
    <font>
      <b/>
      <i/>
      <sz val="10"/>
      <color theme="1"/>
      <name val="Times New Roman"/>
      <family val="1"/>
      <charset val="163"/>
    </font>
    <font>
      <strike/>
      <sz val="12"/>
      <color theme="1"/>
      <name val="Times New Roman"/>
      <family val="1"/>
    </font>
    <font>
      <sz val="10"/>
      <color theme="1"/>
      <name val="Times New Roman"/>
      <family val="2"/>
      <charset val="163"/>
    </font>
    <font>
      <sz val="10"/>
      <color rgb="FFFF0000"/>
      <name val="Times New Roman"/>
      <family val="1"/>
    </font>
    <font>
      <sz val="12"/>
      <name val="Calibri"/>
      <family val="2"/>
      <scheme val="minor"/>
    </font>
    <font>
      <b/>
      <sz val="10"/>
      <name val="Times New Roman"/>
      <family val="1"/>
    </font>
    <font>
      <i/>
      <sz val="10"/>
      <name val="Times New Roman"/>
      <family val="1"/>
    </font>
    <font>
      <sz val="9"/>
      <color rgb="FF000000"/>
      <name val="Arial"/>
      <family val="2"/>
    </font>
    <font>
      <sz val="14"/>
      <name val="??"/>
      <family val="3"/>
      <charset val="129"/>
    </font>
    <font>
      <sz val="10"/>
      <name val="???"/>
      <family val="3"/>
      <charset val="129"/>
    </font>
    <font>
      <sz val="12"/>
      <name val="|??¢¥¢¬¨Ï"/>
      <family val="1"/>
      <charset val="129"/>
    </font>
    <font>
      <sz val="11"/>
      <name val="VNI-Times"/>
    </font>
    <font>
      <b/>
      <u/>
      <sz val="14"/>
      <color indexed="8"/>
      <name val=".VnBook-AntiquaH"/>
      <family val="2"/>
    </font>
    <font>
      <sz val="12"/>
      <color indexed="8"/>
      <name val="¹ÙÅÁÃ¼"/>
      <family val="1"/>
      <charset val="129"/>
    </font>
    <font>
      <i/>
      <sz val="12"/>
      <color indexed="8"/>
      <name val=".VnBook-AntiquaH"/>
      <family val="2"/>
    </font>
    <font>
      <sz val="11"/>
      <color indexed="8"/>
      <name val="Calibri"/>
      <family val="2"/>
      <charset val="163"/>
    </font>
    <font>
      <b/>
      <sz val="12"/>
      <color indexed="8"/>
      <name val=".VnBook-Antiqua"/>
      <family val="2"/>
    </font>
    <font>
      <i/>
      <sz val="12"/>
      <color indexed="8"/>
      <name val=".VnBook-Antiqua"/>
      <family val="2"/>
    </font>
    <font>
      <sz val="11"/>
      <color indexed="9"/>
      <name val="Calibri"/>
      <family val="2"/>
      <charset val="163"/>
    </font>
    <font>
      <sz val="11"/>
      <name val="µ¸¿ò"/>
      <charset val="129"/>
    </font>
    <font>
      <sz val="12"/>
      <name val="¹UAAA¼"/>
      <family val="3"/>
      <charset val="129"/>
    </font>
    <font>
      <sz val="12"/>
      <name val="¹ÙÅÁÃ¼"/>
      <charset val="129"/>
    </font>
    <font>
      <sz val="11"/>
      <color indexed="20"/>
      <name val="Calibri"/>
      <family val="2"/>
      <charset val="163"/>
    </font>
    <font>
      <sz val="10"/>
      <name val="Times New Roman"/>
      <family val="1"/>
      <charset val="163"/>
    </font>
    <font>
      <sz val="12"/>
      <name val="¹ÙÅÁÃ¼"/>
      <family val="1"/>
      <charset val="129"/>
    </font>
    <font>
      <b/>
      <sz val="11"/>
      <color indexed="52"/>
      <name val="Calibri"/>
      <family val="2"/>
      <charset val="163"/>
    </font>
    <font>
      <b/>
      <sz val="10"/>
      <name val="Helv"/>
      <family val="2"/>
    </font>
    <font>
      <b/>
      <sz val="11"/>
      <color indexed="9"/>
      <name val="Calibri"/>
      <family val="2"/>
      <charset val="163"/>
    </font>
    <font>
      <sz val="10"/>
      <name val=".VnTime"/>
      <family val="2"/>
    </font>
    <font>
      <sz val="14"/>
      <color theme="1"/>
      <name val="Times New Roman"/>
      <family val="2"/>
      <charset val="163"/>
    </font>
    <font>
      <sz val="10"/>
      <name val="Arial"/>
      <family val="2"/>
      <charset val="163"/>
    </font>
    <font>
      <sz val="12"/>
      <color indexed="8"/>
      <name val="Times New Roman"/>
      <family val="2"/>
    </font>
    <font>
      <sz val="10"/>
      <name val="VNI-Helve"/>
    </font>
    <font>
      <sz val="9"/>
      <name val="Arial"/>
      <family val="2"/>
    </font>
    <font>
      <sz val="10"/>
      <color indexed="8"/>
      <name val="Times New Roman"/>
      <family val="2"/>
      <charset val="163"/>
    </font>
    <font>
      <sz val="11"/>
      <color rgb="FF000000"/>
      <name val="Calibri"/>
      <family val="2"/>
      <scheme val="minor"/>
    </font>
    <font>
      <sz val="8"/>
      <name val="VNI-Helve-Condense"/>
    </font>
    <font>
      <sz val="12"/>
      <name val="VNI-Times"/>
    </font>
    <font>
      <i/>
      <sz val="11"/>
      <color indexed="23"/>
      <name val="Calibri"/>
      <family val="2"/>
      <charset val="163"/>
    </font>
    <font>
      <sz val="11"/>
      <color indexed="17"/>
      <name val="Calibri"/>
      <family val="2"/>
      <charset val="163"/>
    </font>
    <font>
      <sz val="8"/>
      <name val="Arial"/>
      <family val="2"/>
    </font>
    <font>
      <b/>
      <sz val="12"/>
      <name val="Helv"/>
      <family val="2"/>
    </font>
    <font>
      <b/>
      <sz val="18"/>
      <name val="Arial"/>
      <family val="2"/>
    </font>
    <font>
      <b/>
      <sz val="11"/>
      <color indexed="56"/>
      <name val="Calibri"/>
      <family val="2"/>
      <charset val="163"/>
    </font>
    <font>
      <u/>
      <sz val="10"/>
      <color theme="10"/>
      <name val="Arial"/>
      <family val="2"/>
    </font>
    <font>
      <u/>
      <sz val="11"/>
      <color theme="10"/>
      <name val="Calibri"/>
      <family val="2"/>
      <scheme val="minor"/>
    </font>
    <font>
      <sz val="11"/>
      <color indexed="62"/>
      <name val="Calibri"/>
      <family val="2"/>
      <charset val="163"/>
    </font>
    <font>
      <sz val="11"/>
      <color indexed="52"/>
      <name val="Calibri"/>
      <family val="2"/>
      <charset val="163"/>
    </font>
    <font>
      <sz val="10"/>
      <name val="MS Sans Serif"/>
      <family val="2"/>
    </font>
    <font>
      <b/>
      <sz val="11"/>
      <name val="Helv"/>
      <family val="2"/>
    </font>
    <font>
      <sz val="11"/>
      <color indexed="60"/>
      <name val="Calibri"/>
      <family val="2"/>
      <charset val="163"/>
    </font>
    <font>
      <sz val="10"/>
      <name val=".VnTime"/>
    </font>
    <font>
      <sz val="11"/>
      <color theme="1"/>
      <name val="Calibri"/>
      <family val="2"/>
    </font>
    <font>
      <sz val="12"/>
      <name val=".VnTime"/>
      <family val="2"/>
    </font>
    <font>
      <sz val="10"/>
      <name val="VNtimes new roman"/>
    </font>
    <font>
      <sz val="14"/>
      <name val=".VnTime"/>
      <family val="2"/>
    </font>
    <font>
      <sz val="11"/>
      <color indexed="8"/>
      <name val="Arial"/>
      <family val="2"/>
      <charset val="163"/>
    </font>
    <font>
      <b/>
      <sz val="11"/>
      <color indexed="63"/>
      <name val="Calibri"/>
      <family val="2"/>
      <charset val="163"/>
    </font>
    <font>
      <sz val="10"/>
      <name val="VNI-Times"/>
    </font>
    <font>
      <sz val="11"/>
      <color indexed="32"/>
      <name val="VNI-Times"/>
    </font>
    <font>
      <b/>
      <sz val="18"/>
      <color indexed="56"/>
      <name val="Cambria"/>
      <family val="2"/>
      <charset val="163"/>
    </font>
    <font>
      <vertAlign val="superscript"/>
      <sz val="12"/>
      <name val="Times New Roman"/>
      <family val="1"/>
      <charset val="163"/>
    </font>
    <font>
      <b/>
      <i/>
      <sz val="14"/>
      <color indexed="12"/>
      <name val="Times New Roman"/>
      <family val="1"/>
    </font>
    <font>
      <sz val="11"/>
      <color indexed="10"/>
      <name val="Calibri"/>
      <family val="2"/>
      <charset val="163"/>
    </font>
    <font>
      <sz val="10"/>
      <name val=" "/>
      <family val="1"/>
      <charset val="136"/>
    </font>
    <font>
      <sz val="14"/>
      <name val="뼻뮝"/>
      <family val="3"/>
      <charset val="129"/>
    </font>
    <font>
      <sz val="12"/>
      <name val="바탕체"/>
      <family val="3"/>
    </font>
    <font>
      <sz val="12"/>
      <name val="뼻뮝"/>
      <family val="1"/>
      <charset val="129"/>
    </font>
    <font>
      <sz val="12"/>
      <name val="바탕체"/>
      <family val="1"/>
      <charset val="129"/>
    </font>
    <font>
      <sz val="10"/>
      <name val="굴림체"/>
      <family val="3"/>
      <charset val="129"/>
    </font>
    <font>
      <sz val="12"/>
      <name val="Courier"/>
      <family val="3"/>
    </font>
    <font>
      <i/>
      <sz val="13"/>
      <name val="Times New Roman"/>
      <family val="1"/>
      <charset val="163"/>
    </font>
    <font>
      <b/>
      <sz val="12.5"/>
      <name val="Times New Roman"/>
      <family val="1"/>
      <charset val="163"/>
    </font>
    <font>
      <sz val="12.5"/>
      <name val="Times New Roman"/>
      <family val="1"/>
      <charset val="163"/>
    </font>
    <font>
      <i/>
      <sz val="12.5"/>
      <name val="Times New Roman"/>
      <family val="1"/>
      <charset val="163"/>
    </font>
    <font>
      <b/>
      <u/>
      <sz val="13"/>
      <name val="Times New Roman"/>
      <family val="1"/>
      <charset val="163"/>
    </font>
    <font>
      <sz val="13"/>
      <color theme="1"/>
      <name val="Times New Roman"/>
      <family val="1"/>
    </font>
    <font>
      <b/>
      <sz val="13"/>
      <name val="Times New Roman"/>
      <family val="1"/>
      <charset val="163"/>
    </font>
    <font>
      <i/>
      <sz val="14"/>
      <name val="Times New Roman"/>
      <family val="1"/>
      <charset val="163"/>
    </font>
    <font>
      <b/>
      <sz val="12"/>
      <name val=".VnArial Narrow"/>
      <family val="2"/>
    </font>
    <font>
      <b/>
      <u/>
      <sz val="12"/>
      <name val="Times New Roman"/>
      <family val="1"/>
    </font>
    <font>
      <b/>
      <sz val="8"/>
      <color indexed="81"/>
      <name val="Tahoma"/>
      <family val="2"/>
    </font>
    <font>
      <sz val="8"/>
      <color indexed="81"/>
      <name val="Tahoma"/>
      <family val="2"/>
    </font>
    <font>
      <b/>
      <i/>
      <sz val="10"/>
      <name val="Times New Roman"/>
      <family val="1"/>
    </font>
    <font>
      <sz val="8"/>
      <name val="Calibri Light"/>
      <family val="1"/>
      <charset val="163"/>
      <scheme val="major"/>
    </font>
    <font>
      <b/>
      <sz val="10"/>
      <name val="Calibri Light"/>
      <family val="1"/>
      <charset val="163"/>
      <scheme val="major"/>
    </font>
    <font>
      <sz val="10"/>
      <name val="Calibri Light"/>
      <family val="1"/>
      <scheme val="major"/>
    </font>
    <font>
      <b/>
      <sz val="8"/>
      <name val="Calibri Light"/>
      <family val="1"/>
      <charset val="163"/>
      <scheme val="major"/>
    </font>
    <font>
      <b/>
      <sz val="10"/>
      <color theme="1"/>
      <name val="Arial"/>
      <family val="2"/>
    </font>
    <font>
      <b/>
      <sz val="12"/>
      <name val="Arial "/>
    </font>
    <font>
      <sz val="12"/>
      <color rgb="FFFF0000"/>
      <name val="Arial "/>
    </font>
    <font>
      <sz val="11"/>
      <color rgb="FF0070C0"/>
      <name val="Times New Roman"/>
      <family val="1"/>
    </font>
    <font>
      <i/>
      <sz val="11"/>
      <color rgb="FF7030A0"/>
      <name val="Times New Roman"/>
      <family val="1"/>
    </font>
    <font>
      <sz val="11"/>
      <color rgb="FF0000FF"/>
      <name val="Times New Roman"/>
      <family val="1"/>
    </font>
    <font>
      <i/>
      <sz val="12"/>
      <name val="Arial "/>
    </font>
    <font>
      <i/>
      <sz val="12"/>
      <color rgb="FFFF0000"/>
      <name val="Arial "/>
    </font>
    <font>
      <sz val="8"/>
      <name val="Times New Roman"/>
      <family val="1"/>
    </font>
    <font>
      <b/>
      <sz val="9"/>
      <name val="Times New Roman"/>
      <family val="1"/>
    </font>
    <font>
      <sz val="11"/>
      <color rgb="FFFF0000"/>
      <name val="Times New Roman"/>
      <family val="1"/>
    </font>
    <font>
      <sz val="13"/>
      <color theme="1"/>
      <name val="Calibri Light"/>
      <family val="1"/>
      <scheme val="major"/>
    </font>
    <font>
      <sz val="11"/>
      <name val="Times New Roman"/>
      <family val="1"/>
    </font>
    <font>
      <sz val="12"/>
      <name val="Times New Roman"/>
      <family val="1"/>
    </font>
    <font>
      <b/>
      <sz val="11"/>
      <color indexed="8"/>
      <name val="Calibri"/>
      <family val="2"/>
    </font>
    <font>
      <sz val="11"/>
      <name val="Calibri"/>
      <family val="2"/>
      <scheme val="minor"/>
    </font>
  </fonts>
  <fills count="47">
    <fill>
      <patternFill patternType="none"/>
    </fill>
    <fill>
      <patternFill patternType="gray125"/>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00B0F0"/>
        <bgColor indexed="64"/>
      </patternFill>
    </fill>
    <fill>
      <patternFill patternType="solid">
        <fgColor rgb="FFFFC000"/>
        <bgColor indexed="64"/>
      </patternFill>
    </fill>
    <fill>
      <patternFill patternType="solid">
        <fgColor theme="7" tint="0.59999389629810485"/>
        <bgColor indexed="64"/>
      </patternFill>
    </fill>
    <fill>
      <patternFill patternType="solid">
        <fgColor rgb="FF92D050"/>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theme="8" tint="0.79998168889431442"/>
        <bgColor indexed="64"/>
      </patternFill>
    </fill>
    <fill>
      <patternFill patternType="solid">
        <fgColor rgb="FFFFFFFF"/>
        <bgColor indexed="64"/>
      </patternFill>
    </fill>
    <fill>
      <patternFill patternType="solid">
        <fgColor theme="0"/>
        <bgColor indexed="64"/>
      </patternFill>
    </fill>
    <fill>
      <patternFill patternType="solid">
        <fgColor theme="9" tint="0.39997558519241921"/>
        <bgColor indexed="64"/>
      </patternFill>
    </fill>
    <fill>
      <patternFill patternType="solid">
        <fgColor rgb="FFFFFFCC"/>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43"/>
      </patternFill>
    </fill>
    <fill>
      <patternFill patternType="solid">
        <fgColor indexed="26"/>
      </patternFill>
    </fill>
    <fill>
      <patternFill patternType="solid">
        <fgColor indexed="15"/>
        <bgColor indexed="64"/>
      </patternFill>
    </fill>
    <fill>
      <patternFill patternType="solid">
        <fgColor theme="4" tint="0.79998168889431442"/>
        <bgColor theme="4" tint="0.79998168889431442"/>
      </patternFill>
    </fill>
  </fills>
  <borders count="55">
    <border>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bottom style="hair">
        <color indexed="64"/>
      </bottom>
      <diagonal/>
    </border>
    <border>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diagonal/>
    </border>
    <border>
      <left style="thin">
        <color rgb="FFB2B2B2"/>
      </left>
      <right style="thin">
        <color rgb="FFB2B2B2"/>
      </right>
      <top style="thin">
        <color rgb="FFB2B2B2"/>
      </top>
      <bottom style="thin">
        <color rgb="FFB2B2B2"/>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dotted">
        <color indexed="12"/>
      </top>
      <bottom style="dotted">
        <color indexed="1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bottom style="medium">
        <color indexed="30"/>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hair">
        <color indexed="64"/>
      </top>
      <bottom style="hair">
        <color indexed="64"/>
      </bottom>
      <diagonal/>
    </border>
    <border>
      <left/>
      <right/>
      <top style="double">
        <color indexed="64"/>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style="thin">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s>
  <cellStyleXfs count="267">
    <xf numFmtId="0" fontId="0" fillId="0" borderId="0"/>
    <xf numFmtId="43" fontId="2" fillId="0" borderId="0" applyFont="0" applyFill="0" applyBorder="0" applyAlignment="0" applyProtection="0"/>
    <xf numFmtId="0" fontId="7" fillId="0" borderId="0"/>
    <xf numFmtId="0" fontId="8" fillId="0" borderId="0"/>
    <xf numFmtId="0" fontId="30" fillId="0" borderId="0"/>
    <xf numFmtId="0" fontId="2" fillId="0" borderId="0"/>
    <xf numFmtId="43" fontId="2" fillId="0" borderId="0" applyFont="0" applyFill="0" applyBorder="0" applyAlignment="0" applyProtection="0"/>
    <xf numFmtId="0" fontId="30" fillId="0" borderId="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3" fillId="0" borderId="0" applyFont="0" applyFill="0" applyBorder="0" applyAlignment="0" applyProtection="0"/>
    <xf numFmtId="0" fontId="4" fillId="0" borderId="0"/>
    <xf numFmtId="0" fontId="93" fillId="0" borderId="0"/>
    <xf numFmtId="9" fontId="2" fillId="0" borderId="0" applyFont="0" applyFill="0" applyBorder="0" applyAlignment="0" applyProtection="0"/>
    <xf numFmtId="0" fontId="95" fillId="0" borderId="0"/>
    <xf numFmtId="0" fontId="111" fillId="0" borderId="0"/>
    <xf numFmtId="182" fontId="111" fillId="0" borderId="0" applyFont="0" applyFill="0" applyBorder="0" applyAlignment="0" applyProtection="0"/>
    <xf numFmtId="0" fontId="113" fillId="0" borderId="0"/>
    <xf numFmtId="183" fontId="4" fillId="0" borderId="0" applyFont="0" applyFill="0" applyBorder="0" applyAlignment="0" applyProtection="0"/>
    <xf numFmtId="0" fontId="117" fillId="0" borderId="0" applyFont="0" applyFill="0" applyBorder="0" applyAlignment="0" applyProtection="0"/>
    <xf numFmtId="184"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40" fontId="117" fillId="0" borderId="0" applyFont="0" applyFill="0" applyBorder="0" applyAlignment="0" applyProtection="0"/>
    <xf numFmtId="38" fontId="117" fillId="0" borderId="0" applyFont="0" applyFill="0" applyBorder="0" applyAlignment="0" applyProtection="0"/>
    <xf numFmtId="10" fontId="4" fillId="0" borderId="0" applyFont="0" applyFill="0" applyBorder="0" applyAlignment="0" applyProtection="0"/>
    <xf numFmtId="0" fontId="118" fillId="0" borderId="0"/>
    <xf numFmtId="0" fontId="4" fillId="0" borderId="0" applyFont="0" applyFill="0" applyBorder="0" applyAlignment="0" applyProtection="0"/>
    <xf numFmtId="0" fontId="4" fillId="0" borderId="0" applyFont="0" applyFill="0" applyBorder="0" applyAlignment="0" applyProtection="0"/>
    <xf numFmtId="0" fontId="119" fillId="0" borderId="0"/>
    <xf numFmtId="0" fontId="4" fillId="0" borderId="0" applyNumberFormat="0" applyFill="0" applyBorder="0" applyAlignment="0" applyProtection="0"/>
    <xf numFmtId="0" fontId="4" fillId="0" borderId="0"/>
    <xf numFmtId="4" fontId="120" fillId="0" borderId="38" applyNumberFormat="0" applyFont="0"/>
    <xf numFmtId="0" fontId="121" fillId="21" borderId="0"/>
    <xf numFmtId="9" fontId="122" fillId="0" borderId="0" applyBorder="0" applyAlignment="0" applyProtection="0"/>
    <xf numFmtId="0" fontId="123" fillId="21" borderId="0"/>
    <xf numFmtId="0" fontId="124" fillId="22" borderId="0" applyNumberFormat="0" applyBorder="0" applyAlignment="0" applyProtection="0"/>
    <xf numFmtId="0" fontId="124" fillId="23" borderId="0" applyNumberFormat="0" applyBorder="0" applyAlignment="0" applyProtection="0"/>
    <xf numFmtId="0" fontId="124" fillId="24" borderId="0" applyNumberFormat="0" applyBorder="0" applyAlignment="0" applyProtection="0"/>
    <xf numFmtId="0" fontId="124" fillId="25" borderId="0" applyNumberFormat="0" applyBorder="0" applyAlignment="0" applyProtection="0"/>
    <xf numFmtId="0" fontId="124" fillId="26" borderId="0" applyNumberFormat="0" applyBorder="0" applyAlignment="0" applyProtection="0"/>
    <xf numFmtId="0" fontId="124" fillId="27" borderId="0" applyNumberFormat="0" applyBorder="0" applyAlignment="0" applyProtection="0"/>
    <xf numFmtId="0" fontId="125" fillId="21" borderId="0"/>
    <xf numFmtId="0" fontId="126" fillId="0" borderId="0">
      <alignment wrapText="1"/>
    </xf>
    <xf numFmtId="0" fontId="124" fillId="28" borderId="0" applyNumberFormat="0" applyBorder="0" applyAlignment="0" applyProtection="0"/>
    <xf numFmtId="0" fontId="124" fillId="29" borderId="0" applyNumberFormat="0" applyBorder="0" applyAlignment="0" applyProtection="0"/>
    <xf numFmtId="0" fontId="124" fillId="30" borderId="0" applyNumberFormat="0" applyBorder="0" applyAlignment="0" applyProtection="0"/>
    <xf numFmtId="0" fontId="124" fillId="25" borderId="0" applyNumberFormat="0" applyBorder="0" applyAlignment="0" applyProtection="0"/>
    <xf numFmtId="0" fontId="124" fillId="28" borderId="0" applyNumberFormat="0" applyBorder="0" applyAlignment="0" applyProtection="0"/>
    <xf numFmtId="0" fontId="124" fillId="31" borderId="0" applyNumberFormat="0" applyBorder="0" applyAlignment="0" applyProtection="0"/>
    <xf numFmtId="0" fontId="127" fillId="32" borderId="0" applyNumberFormat="0" applyBorder="0" applyAlignment="0" applyProtection="0"/>
    <xf numFmtId="0" fontId="127" fillId="29" borderId="0" applyNumberFormat="0" applyBorder="0" applyAlignment="0" applyProtection="0"/>
    <xf numFmtId="0" fontId="127" fillId="30" borderId="0" applyNumberFormat="0" applyBorder="0" applyAlignment="0" applyProtection="0"/>
    <xf numFmtId="0" fontId="127" fillId="33" borderId="0" applyNumberFormat="0" applyBorder="0" applyAlignment="0" applyProtection="0"/>
    <xf numFmtId="0" fontId="127" fillId="34" borderId="0" applyNumberFormat="0" applyBorder="0" applyAlignment="0" applyProtection="0"/>
    <xf numFmtId="0" fontId="127" fillId="35" borderId="0" applyNumberFormat="0" applyBorder="0" applyAlignment="0" applyProtection="0"/>
    <xf numFmtId="0" fontId="127" fillId="36" borderId="0" applyNumberFormat="0" applyBorder="0" applyAlignment="0" applyProtection="0"/>
    <xf numFmtId="0" fontId="127" fillId="37" borderId="0" applyNumberFormat="0" applyBorder="0" applyAlignment="0" applyProtection="0"/>
    <xf numFmtId="0" fontId="127" fillId="38" borderId="0" applyNumberFormat="0" applyBorder="0" applyAlignment="0" applyProtection="0"/>
    <xf numFmtId="0" fontId="127" fillId="33" borderId="0" applyNumberFormat="0" applyBorder="0" applyAlignment="0" applyProtection="0"/>
    <xf numFmtId="0" fontId="127" fillId="34" borderId="0" applyNumberFormat="0" applyBorder="0" applyAlignment="0" applyProtection="0"/>
    <xf numFmtId="0" fontId="127" fillId="39" borderId="0" applyNumberFormat="0" applyBorder="0" applyAlignment="0" applyProtection="0"/>
    <xf numFmtId="0" fontId="128" fillId="0" borderId="0" applyFont="0" applyFill="0" applyBorder="0" applyAlignment="0" applyProtection="0"/>
    <xf numFmtId="0" fontId="129" fillId="0" borderId="0" applyFont="0" applyFill="0" applyBorder="0" applyAlignment="0" applyProtection="0"/>
    <xf numFmtId="0" fontId="128" fillId="0" borderId="0" applyFont="0" applyFill="0" applyBorder="0" applyAlignment="0" applyProtection="0"/>
    <xf numFmtId="0" fontId="129" fillId="0" borderId="0" applyFont="0" applyFill="0" applyBorder="0" applyAlignment="0" applyProtection="0"/>
    <xf numFmtId="185" fontId="130" fillId="0" borderId="0" applyFont="0" applyFill="0" applyBorder="0" applyAlignment="0" applyProtection="0"/>
    <xf numFmtId="0" fontId="129" fillId="0" borderId="0" applyFont="0" applyFill="0" applyBorder="0" applyAlignment="0" applyProtection="0"/>
    <xf numFmtId="185" fontId="130" fillId="0" borderId="0" applyFont="0" applyFill="0" applyBorder="0" applyAlignment="0" applyProtection="0"/>
    <xf numFmtId="186" fontId="130" fillId="0" borderId="0" applyFont="0" applyFill="0" applyBorder="0" applyAlignment="0" applyProtection="0"/>
    <xf numFmtId="0" fontId="129" fillId="0" borderId="0" applyFont="0" applyFill="0" applyBorder="0" applyAlignment="0" applyProtection="0"/>
    <xf numFmtId="186" fontId="130" fillId="0" borderId="0" applyFont="0" applyFill="0" applyBorder="0" applyAlignment="0" applyProtection="0"/>
    <xf numFmtId="0" fontId="131" fillId="23" borderId="0" applyNumberFormat="0" applyBorder="0" applyAlignment="0" applyProtection="0"/>
    <xf numFmtId="0" fontId="129" fillId="0" borderId="0"/>
    <xf numFmtId="0" fontId="132" fillId="0" borderId="0"/>
    <xf numFmtId="0" fontId="129" fillId="0" borderId="0"/>
    <xf numFmtId="0" fontId="133" fillId="0" borderId="0"/>
    <xf numFmtId="0" fontId="134" fillId="40" borderId="39" applyNumberFormat="0" applyAlignment="0" applyProtection="0"/>
    <xf numFmtId="0" fontId="134" fillId="40" borderId="39" applyNumberFormat="0" applyAlignment="0" applyProtection="0"/>
    <xf numFmtId="0" fontId="135" fillId="0" borderId="0"/>
    <xf numFmtId="0" fontId="136" fillId="41" borderId="40" applyNumberFormat="0" applyAlignment="0" applyProtection="0"/>
    <xf numFmtId="0" fontId="120" fillId="0" borderId="8"/>
    <xf numFmtId="0" fontId="120" fillId="0" borderId="8"/>
    <xf numFmtId="41" fontId="137" fillId="0" borderId="0" applyFont="0" applyFill="0" applyBorder="0" applyAlignment="0" applyProtection="0"/>
    <xf numFmtId="187" fontId="138" fillId="0" borderId="0" applyFont="0" applyFill="0" applyBorder="0" applyAlignment="0" applyProtection="0"/>
    <xf numFmtId="187" fontId="139" fillId="0" borderId="0" applyFont="0" applyFill="0" applyBorder="0" applyAlignment="0" applyProtection="0"/>
    <xf numFmtId="187" fontId="139" fillId="0" borderId="0" applyFont="0" applyFill="0" applyBorder="0" applyAlignment="0" applyProtection="0"/>
    <xf numFmtId="182" fontId="138" fillId="0" borderId="0" applyFont="0" applyFill="0" applyBorder="0" applyAlignment="0" applyProtection="0"/>
    <xf numFmtId="43" fontId="140"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1" fillId="0" borderId="0" applyFont="0" applyFill="0" applyBorder="0" applyAlignment="0" applyProtection="0"/>
    <xf numFmtId="43" fontId="137" fillId="0" borderId="0" applyFont="0" applyFill="0" applyBorder="0" applyAlignment="0" applyProtection="0"/>
    <xf numFmtId="43" fontId="4" fillId="0" borderId="0" applyFont="0" applyFill="0" applyBorder="0" applyAlignment="0" applyProtection="0"/>
    <xf numFmtId="43" fontId="139" fillId="0" borderId="0" applyFont="0" applyFill="0" applyBorder="0" applyAlignment="0" applyProtection="0"/>
    <xf numFmtId="43" fontId="4" fillId="0" borderId="0" applyFont="0" applyFill="0" applyBorder="0" applyAlignment="0" applyProtection="0"/>
    <xf numFmtId="182" fontId="111" fillId="0" borderId="0" applyFont="0" applyFill="0" applyBorder="0" applyAlignment="0" applyProtection="0"/>
    <xf numFmtId="188" fontId="26" fillId="0" borderId="0" applyFont="0" applyFill="0" applyBorder="0" applyAlignment="0" applyProtection="0"/>
    <xf numFmtId="188" fontId="26" fillId="0" borderId="0" applyFont="0" applyFill="0" applyBorder="0" applyAlignment="0" applyProtection="0"/>
    <xf numFmtId="188" fontId="26" fillId="0" borderId="0" applyFont="0" applyFill="0" applyBorder="0" applyAlignment="0" applyProtection="0"/>
    <xf numFmtId="189" fontId="142" fillId="0" borderId="0" applyProtection="0"/>
    <xf numFmtId="43" fontId="24" fillId="0" borderId="0" applyFont="0" applyFill="0" applyBorder="0" applyAlignment="0" applyProtection="0"/>
    <xf numFmtId="43" fontId="26" fillId="0" borderId="0" applyFont="0" applyFill="0" applyBorder="0" applyAlignment="0" applyProtection="0"/>
    <xf numFmtId="182" fontId="143" fillId="0" borderId="0" applyFont="0" applyFill="0" applyBorder="0" applyAlignment="0" applyProtection="0"/>
    <xf numFmtId="182" fontId="138" fillId="0" borderId="0" applyFont="0" applyFill="0" applyBorder="0" applyAlignment="0" applyProtection="0"/>
    <xf numFmtId="43" fontId="144"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3" fontId="4" fillId="0" borderId="0" applyFont="0" applyFill="0" applyBorder="0" applyAlignment="0" applyProtection="0"/>
    <xf numFmtId="0" fontId="145" fillId="0" borderId="31" applyNumberFormat="0" applyFont="0" applyAlignment="0">
      <alignment horizontal="center" vertical="center"/>
    </xf>
    <xf numFmtId="190" fontId="4" fillId="0" borderId="0" applyFont="0" applyFill="0" applyBorder="0" applyAlignment="0" applyProtection="0"/>
    <xf numFmtId="0" fontId="4" fillId="0" borderId="0" applyFont="0" applyFill="0" applyBorder="0" applyAlignment="0" applyProtection="0"/>
    <xf numFmtId="167" fontId="146" fillId="0" borderId="0" applyFont="0" applyFill="0" applyBorder="0" applyAlignment="0" applyProtection="0"/>
    <xf numFmtId="191" fontId="146" fillId="0" borderId="0" applyFont="0" applyFill="0" applyBorder="0" applyAlignment="0" applyProtection="0"/>
    <xf numFmtId="0" fontId="147" fillId="0" borderId="0" applyNumberFormat="0" applyFill="0" applyBorder="0" applyAlignment="0" applyProtection="0"/>
    <xf numFmtId="2" fontId="4" fillId="0" borderId="0" applyFont="0" applyFill="0" applyBorder="0" applyAlignment="0" applyProtection="0"/>
    <xf numFmtId="0" fontId="148" fillId="24" borderId="0" applyNumberFormat="0" applyBorder="0" applyAlignment="0" applyProtection="0"/>
    <xf numFmtId="38" fontId="149" fillId="42" borderId="0" applyNumberFormat="0" applyBorder="0" applyAlignment="0" applyProtection="0"/>
    <xf numFmtId="192" fontId="7" fillId="0" borderId="0" applyFont="0" applyFill="0" applyBorder="0" applyAlignment="0" applyProtection="0"/>
    <xf numFmtId="0" fontId="150" fillId="0" borderId="0">
      <alignment horizontal="left"/>
    </xf>
    <xf numFmtId="0" fontId="22" fillId="0" borderId="41" applyNumberFormat="0" applyAlignment="0" applyProtection="0">
      <alignment horizontal="left" vertical="center"/>
    </xf>
    <xf numFmtId="0" fontId="22" fillId="0" borderId="30">
      <alignment horizontal="left" vertical="center"/>
    </xf>
    <xf numFmtId="0" fontId="22" fillId="0" borderId="30">
      <alignment horizontal="left" vertical="center"/>
    </xf>
    <xf numFmtId="0" fontId="151" fillId="0" borderId="0" applyNumberFormat="0" applyFill="0" applyBorder="0" applyAlignment="0" applyProtection="0"/>
    <xf numFmtId="0" fontId="22" fillId="0" borderId="0" applyNumberFormat="0" applyFill="0" applyBorder="0" applyAlignment="0" applyProtection="0"/>
    <xf numFmtId="0" fontId="152" fillId="0" borderId="42" applyNumberFormat="0" applyFill="0" applyAlignment="0" applyProtection="0"/>
    <xf numFmtId="0" fontId="152" fillId="0" borderId="0" applyNumberFormat="0" applyFill="0" applyBorder="0" applyAlignment="0" applyProtection="0"/>
    <xf numFmtId="193" fontId="146" fillId="0" borderId="0">
      <protection locked="0"/>
    </xf>
    <xf numFmtId="193" fontId="146" fillId="0" borderId="0">
      <protection locked="0"/>
    </xf>
    <xf numFmtId="0" fontId="153" fillId="0" borderId="0" applyNumberFormat="0" applyFill="0" applyBorder="0" applyAlignment="0" applyProtection="0"/>
    <xf numFmtId="0" fontId="154" fillId="0" borderId="0" applyNumberFormat="0" applyFill="0" applyBorder="0" applyAlignment="0" applyProtection="0"/>
    <xf numFmtId="10" fontId="149" fillId="42" borderId="8" applyNumberFormat="0" applyBorder="0" applyAlignment="0" applyProtection="0"/>
    <xf numFmtId="10" fontId="149" fillId="42" borderId="8" applyNumberFormat="0" applyBorder="0" applyAlignment="0" applyProtection="0"/>
    <xf numFmtId="0" fontId="155" fillId="27" borderId="39" applyNumberFormat="0" applyAlignment="0" applyProtection="0"/>
    <xf numFmtId="0" fontId="155" fillId="27" borderId="39" applyNumberFormat="0" applyAlignment="0" applyProtection="0"/>
    <xf numFmtId="0" fontId="4" fillId="0" borderId="0"/>
    <xf numFmtId="0" fontId="156" fillId="0" borderId="43" applyNumberFormat="0" applyFill="0" applyAlignment="0" applyProtection="0"/>
    <xf numFmtId="38" fontId="157" fillId="0" borderId="0" applyFont="0" applyFill="0" applyBorder="0" applyAlignment="0" applyProtection="0"/>
    <xf numFmtId="40" fontId="157" fillId="0" borderId="0" applyFont="0" applyFill="0" applyBorder="0" applyAlignment="0" applyProtection="0"/>
    <xf numFmtId="0" fontId="158" fillId="0" borderId="44"/>
    <xf numFmtId="194" fontId="157" fillId="0" borderId="0" applyFont="0" applyFill="0" applyBorder="0" applyAlignment="0" applyProtection="0"/>
    <xf numFmtId="195" fontId="157" fillId="0" borderId="0" applyFont="0" applyFill="0" applyBorder="0" applyAlignment="0" applyProtection="0"/>
    <xf numFmtId="0" fontId="72" fillId="0" borderId="0" applyNumberFormat="0" applyFont="0" applyFill="0" applyAlignment="0"/>
    <xf numFmtId="0" fontId="159" fillId="43" borderId="0" applyNumberFormat="0" applyBorder="0" applyAlignment="0" applyProtection="0"/>
    <xf numFmtId="0" fontId="133" fillId="0" borderId="0"/>
    <xf numFmtId="0" fontId="26" fillId="0" borderId="0"/>
    <xf numFmtId="0" fontId="26" fillId="0" borderId="0"/>
    <xf numFmtId="0" fontId="1" fillId="0" borderId="0"/>
    <xf numFmtId="0" fontId="4" fillId="0" borderId="0"/>
    <xf numFmtId="0" fontId="4" fillId="0" borderId="0"/>
    <xf numFmtId="0" fontId="4" fillId="0" borderId="0"/>
    <xf numFmtId="0" fontId="2" fillId="0" borderId="0"/>
    <xf numFmtId="0" fontId="160" fillId="0" borderId="0"/>
    <xf numFmtId="0" fontId="4" fillId="0" borderId="0"/>
    <xf numFmtId="0" fontId="2" fillId="0" borderId="0"/>
    <xf numFmtId="0" fontId="26" fillId="0" borderId="0"/>
    <xf numFmtId="0" fontId="142" fillId="0" borderId="0"/>
    <xf numFmtId="0" fontId="4" fillId="0" borderId="0"/>
    <xf numFmtId="0" fontId="4" fillId="0" borderId="0"/>
    <xf numFmtId="0" fontId="4" fillId="0" borderId="0"/>
    <xf numFmtId="0" fontId="139" fillId="0" borderId="0"/>
    <xf numFmtId="0" fontId="111" fillId="0" borderId="0"/>
    <xf numFmtId="0" fontId="161" fillId="0" borderId="0"/>
    <xf numFmtId="0" fontId="4" fillId="0" borderId="0"/>
    <xf numFmtId="0" fontId="4" fillId="0" borderId="0"/>
    <xf numFmtId="0" fontId="24" fillId="0" borderId="0"/>
    <xf numFmtId="0" fontId="139" fillId="0" borderId="0"/>
    <xf numFmtId="0" fontId="162" fillId="0" borderId="0"/>
    <xf numFmtId="0" fontId="4" fillId="0" borderId="0"/>
    <xf numFmtId="0" fontId="4" fillId="0" borderId="0"/>
    <xf numFmtId="0" fontId="4" fillId="0" borderId="0"/>
    <xf numFmtId="0" fontId="4" fillId="0" borderId="0"/>
    <xf numFmtId="0" fontId="4" fillId="0" borderId="0"/>
    <xf numFmtId="0" fontId="2" fillId="0" borderId="0"/>
    <xf numFmtId="0" fontId="163" fillId="0" borderId="0"/>
    <xf numFmtId="0" fontId="1" fillId="0" borderId="0"/>
    <xf numFmtId="0" fontId="93" fillId="0" borderId="0"/>
    <xf numFmtId="0" fontId="1" fillId="0" borderId="0"/>
    <xf numFmtId="0" fontId="1" fillId="0" borderId="0"/>
    <xf numFmtId="0" fontId="26" fillId="0" borderId="0"/>
    <xf numFmtId="0" fontId="4" fillId="0" borderId="0"/>
    <xf numFmtId="0" fontId="164" fillId="0" borderId="0" applyProtection="0"/>
    <xf numFmtId="0" fontId="30" fillId="0" borderId="0"/>
    <xf numFmtId="0" fontId="141" fillId="0" borderId="0"/>
    <xf numFmtId="0" fontId="95" fillId="0" borderId="0"/>
    <xf numFmtId="0" fontId="162" fillId="0" borderId="0"/>
    <xf numFmtId="0" fontId="1" fillId="0" borderId="0"/>
    <xf numFmtId="0" fontId="24" fillId="0" borderId="0"/>
    <xf numFmtId="0" fontId="137" fillId="0" borderId="0"/>
    <xf numFmtId="0" fontId="161" fillId="0" borderId="0"/>
    <xf numFmtId="0" fontId="137" fillId="0" borderId="0"/>
    <xf numFmtId="0" fontId="165" fillId="0" borderId="0"/>
    <xf numFmtId="0" fontId="144" fillId="0" borderId="0"/>
    <xf numFmtId="0" fontId="1" fillId="20" borderId="36" applyNumberFormat="0" applyFont="0" applyAlignment="0" applyProtection="0"/>
    <xf numFmtId="0" fontId="137" fillId="44" borderId="45" applyNumberFormat="0" applyFont="0" applyAlignment="0" applyProtection="0"/>
    <xf numFmtId="0" fontId="4" fillId="0" borderId="0" applyFont="0" applyFill="0" applyBorder="0" applyAlignment="0" applyProtection="0"/>
    <xf numFmtId="0" fontId="43" fillId="0" borderId="0"/>
    <xf numFmtId="0" fontId="166" fillId="40" borderId="46" applyNumberFormat="0" applyAlignment="0" applyProtection="0"/>
    <xf numFmtId="0" fontId="166" fillId="40" borderId="46" applyNumberFormat="0" applyAlignment="0" applyProtection="0"/>
    <xf numFmtId="0" fontId="120" fillId="0" borderId="0"/>
    <xf numFmtId="10" fontId="4" fillId="0" borderId="0" applyFont="0" applyFill="0" applyBorder="0" applyAlignment="0" applyProtection="0"/>
    <xf numFmtId="9" fontId="26" fillId="0" borderId="0" applyFont="0" applyFill="0" applyBorder="0" applyAlignment="0" applyProtection="0"/>
    <xf numFmtId="9" fontId="140"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3" fontId="167" fillId="0" borderId="47">
      <alignment horizontal="right" wrapText="1"/>
    </xf>
    <xf numFmtId="0" fontId="168" fillId="0" borderId="0"/>
    <xf numFmtId="0" fontId="158" fillId="0" borderId="0"/>
    <xf numFmtId="196" fontId="7" fillId="0" borderId="33">
      <alignment horizontal="right" vertical="center"/>
    </xf>
    <xf numFmtId="196" fontId="7" fillId="0" borderId="33">
      <alignment horizontal="right" vertical="center"/>
    </xf>
    <xf numFmtId="196" fontId="7" fillId="0" borderId="33">
      <alignment horizontal="right" vertical="center"/>
    </xf>
    <xf numFmtId="197" fontId="7" fillId="0" borderId="33">
      <alignment horizontal="center"/>
    </xf>
    <xf numFmtId="197" fontId="7" fillId="0" borderId="33">
      <alignment horizontal="center"/>
    </xf>
    <xf numFmtId="0" fontId="169" fillId="0" borderId="0" applyNumberFormat="0" applyFill="0" applyBorder="0" applyAlignment="0" applyProtection="0"/>
    <xf numFmtId="0" fontId="4" fillId="0" borderId="48" applyNumberFormat="0" applyFont="0" applyFill="0" applyAlignment="0" applyProtection="0"/>
    <xf numFmtId="0" fontId="170" fillId="0" borderId="0"/>
    <xf numFmtId="0" fontId="67" fillId="0" borderId="0">
      <alignment wrapText="1"/>
    </xf>
    <xf numFmtId="0" fontId="67" fillId="0" borderId="0">
      <alignment wrapText="1" shrinkToFit="1"/>
    </xf>
    <xf numFmtId="0" fontId="67" fillId="0" borderId="0">
      <alignment horizontal="center" vertical="center" wrapText="1" shrinkToFit="1"/>
    </xf>
    <xf numFmtId="0" fontId="171" fillId="45" borderId="8">
      <alignment horizontal="center" vertical="center"/>
      <protection hidden="1"/>
    </xf>
    <xf numFmtId="198" fontId="7" fillId="0" borderId="0"/>
    <xf numFmtId="199" fontId="7" fillId="0" borderId="8"/>
    <xf numFmtId="199" fontId="7" fillId="0" borderId="8"/>
    <xf numFmtId="170" fontId="146" fillId="0" borderId="0" applyFont="0" applyFill="0" applyBorder="0" applyAlignment="0" applyProtection="0"/>
    <xf numFmtId="166" fontId="146" fillId="0" borderId="0" applyFont="0" applyFill="0" applyBorder="0" applyAlignment="0" applyProtection="0"/>
    <xf numFmtId="0" fontId="172" fillId="0" borderId="0" applyNumberFormat="0" applyFill="0" applyBorder="0" applyAlignment="0" applyProtection="0"/>
    <xf numFmtId="0" fontId="173" fillId="0" borderId="0" applyFont="0" applyFill="0" applyBorder="0" applyAlignment="0" applyProtection="0"/>
    <xf numFmtId="0" fontId="173" fillId="0" borderId="0" applyFont="0" applyFill="0" applyBorder="0" applyAlignment="0" applyProtection="0"/>
    <xf numFmtId="0" fontId="26" fillId="0" borderId="0">
      <alignment vertical="center"/>
    </xf>
    <xf numFmtId="40" fontId="174" fillId="0" borderId="0" applyFont="0" applyFill="0" applyBorder="0" applyAlignment="0" applyProtection="0"/>
    <xf numFmtId="38" fontId="174" fillId="0" borderId="0" applyFont="0" applyFill="0" applyBorder="0" applyAlignment="0" applyProtection="0"/>
    <xf numFmtId="0" fontId="174" fillId="0" borderId="0" applyFont="0" applyFill="0" applyBorder="0" applyAlignment="0" applyProtection="0"/>
    <xf numFmtId="0" fontId="174" fillId="0" borderId="0" applyFont="0" applyFill="0" applyBorder="0" applyAlignment="0" applyProtection="0"/>
    <xf numFmtId="9" fontId="175" fillId="0" borderId="0" applyFont="0" applyFill="0" applyBorder="0" applyAlignment="0" applyProtection="0"/>
    <xf numFmtId="0" fontId="176" fillId="0" borderId="0"/>
    <xf numFmtId="0" fontId="177" fillId="0" borderId="0" applyFont="0" applyFill="0" applyBorder="0" applyAlignment="0" applyProtection="0"/>
    <xf numFmtId="0" fontId="177" fillId="0" borderId="0" applyFont="0" applyFill="0" applyBorder="0" applyAlignment="0" applyProtection="0"/>
    <xf numFmtId="200" fontId="177" fillId="0" borderId="0" applyFont="0" applyFill="0" applyBorder="0" applyAlignment="0" applyProtection="0"/>
    <xf numFmtId="201" fontId="177" fillId="0" borderId="0" applyFont="0" applyFill="0" applyBorder="0" applyAlignment="0" applyProtection="0"/>
    <xf numFmtId="0" fontId="178" fillId="0" borderId="0"/>
    <xf numFmtId="0" fontId="72" fillId="0" borderId="0"/>
    <xf numFmtId="202" fontId="142" fillId="0" borderId="0" applyFont="0" applyFill="0" applyBorder="0" applyAlignment="0" applyProtection="0"/>
    <xf numFmtId="203" fontId="142" fillId="0" borderId="0" applyFont="0" applyFill="0" applyBorder="0" applyAlignment="0" applyProtection="0"/>
    <xf numFmtId="204" fontId="142" fillId="0" borderId="0" applyFont="0" applyFill="0" applyBorder="0" applyAlignment="0" applyProtection="0"/>
    <xf numFmtId="205" fontId="179" fillId="0" borderId="0" applyFont="0" applyFill="0" applyBorder="0" applyAlignment="0" applyProtection="0"/>
    <xf numFmtId="206" fontId="142" fillId="0" borderId="0" applyFont="0" applyFill="0" applyBorder="0" applyAlignment="0" applyProtection="0"/>
    <xf numFmtId="0" fontId="30" fillId="0" borderId="0"/>
    <xf numFmtId="0" fontId="30" fillId="0" borderId="0"/>
    <xf numFmtId="0" fontId="2" fillId="0" borderId="0"/>
    <xf numFmtId="0" fontId="139" fillId="0" borderId="0"/>
    <xf numFmtId="0" fontId="43" fillId="0" borderId="0"/>
    <xf numFmtId="43" fontId="43" fillId="0" borderId="0" applyFont="0" applyFill="0" applyBorder="0" applyAlignment="0" applyProtection="0"/>
    <xf numFmtId="0" fontId="8" fillId="0" borderId="0"/>
    <xf numFmtId="0" fontId="139" fillId="0" borderId="0"/>
    <xf numFmtId="0" fontId="2" fillId="0" borderId="0"/>
    <xf numFmtId="43" fontId="2" fillId="0" borderId="0" applyFont="0" applyFill="0" applyBorder="0" applyAlignment="0" applyProtection="0"/>
    <xf numFmtId="0" fontId="2" fillId="0" borderId="0"/>
  </cellStyleXfs>
  <cellXfs count="2053">
    <xf numFmtId="0" fontId="0" fillId="0" borderId="0" xfId="0"/>
    <xf numFmtId="166" fontId="3" fillId="0" borderId="0" xfId="1" applyNumberFormat="1" applyFont="1" applyAlignment="1" applyProtection="1">
      <alignment horizontal="left" vertical="center"/>
      <protection locked="0"/>
    </xf>
    <xf numFmtId="0" fontId="3" fillId="0" borderId="0" xfId="3" applyFont="1" applyAlignment="1" applyProtection="1">
      <alignment horizontal="left" vertical="center"/>
      <protection locked="0"/>
    </xf>
    <xf numFmtId="43" fontId="3" fillId="0" borderId="0" xfId="1" applyFont="1" applyAlignment="1" applyProtection="1">
      <alignment horizontal="left" vertical="center"/>
      <protection locked="0"/>
    </xf>
    <xf numFmtId="43" fontId="3" fillId="0" borderId="0" xfId="1" applyFont="1" applyAlignment="1" applyProtection="1">
      <alignment vertical="center"/>
      <protection locked="0"/>
    </xf>
    <xf numFmtId="43" fontId="9" fillId="0" borderId="0" xfId="1" applyFont="1" applyAlignment="1" applyProtection="1">
      <alignment horizontal="center" vertical="center"/>
      <protection locked="0"/>
    </xf>
    <xf numFmtId="3" fontId="10" fillId="0" borderId="0" xfId="0" applyNumberFormat="1" applyFont="1" applyFill="1" applyAlignment="1" applyProtection="1">
      <alignment vertical="center"/>
      <protection locked="0"/>
    </xf>
    <xf numFmtId="0" fontId="6" fillId="0" borderId="0" xfId="0" applyFont="1" applyFill="1" applyAlignment="1" applyProtection="1">
      <alignment vertical="center"/>
      <protection locked="0"/>
    </xf>
    <xf numFmtId="0" fontId="11" fillId="0" borderId="0" xfId="3" applyFont="1" applyAlignment="1" applyProtection="1">
      <alignment horizontal="center" vertical="center"/>
      <protection locked="0"/>
    </xf>
    <xf numFmtId="166" fontId="11" fillId="0" borderId="0" xfId="1" applyNumberFormat="1" applyFont="1" applyAlignment="1" applyProtection="1">
      <alignment horizontal="center" vertical="center"/>
      <protection locked="0"/>
    </xf>
    <xf numFmtId="43" fontId="11" fillId="0" borderId="0" xfId="1" applyFont="1" applyAlignment="1" applyProtection="1">
      <alignment horizontal="center" vertical="center"/>
      <protection locked="0"/>
    </xf>
    <xf numFmtId="0" fontId="4" fillId="0"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4" fillId="0" borderId="0" xfId="3" applyFont="1" applyAlignment="1" applyProtection="1">
      <alignment horizontal="center" vertical="center" wrapText="1"/>
      <protection locked="0"/>
    </xf>
    <xf numFmtId="166" fontId="4" fillId="0" borderId="0" xfId="1" applyNumberFormat="1" applyFont="1" applyAlignment="1" applyProtection="1">
      <alignment horizontal="center" vertical="center" wrapText="1"/>
      <protection locked="0"/>
    </xf>
    <xf numFmtId="43" fontId="4" fillId="0" borderId="0" xfId="1" applyFont="1" applyAlignment="1" applyProtection="1">
      <alignment horizontal="center" vertical="center" wrapText="1"/>
      <protection locked="0"/>
    </xf>
    <xf numFmtId="3" fontId="13" fillId="0" borderId="0" xfId="0" applyNumberFormat="1" applyFont="1" applyFill="1" applyAlignment="1" applyProtection="1">
      <alignment vertical="center"/>
      <protection locked="0"/>
    </xf>
    <xf numFmtId="0" fontId="3" fillId="0" borderId="0" xfId="0" applyFont="1" applyFill="1" applyAlignment="1" applyProtection="1">
      <alignment vertical="center"/>
      <protection locked="0"/>
    </xf>
    <xf numFmtId="43" fontId="3" fillId="0" borderId="6" xfId="1" applyFont="1" applyBorder="1" applyAlignment="1" applyProtection="1">
      <alignment horizontal="center" vertical="center" wrapText="1"/>
      <protection locked="0"/>
    </xf>
    <xf numFmtId="0" fontId="4" fillId="0" borderId="24" xfId="3" quotePrefix="1" applyNumberFormat="1" applyFont="1" applyBorder="1" applyAlignment="1" applyProtection="1">
      <alignment horizontal="center" vertical="center"/>
      <protection locked="0"/>
    </xf>
    <xf numFmtId="0" fontId="4" fillId="0" borderId="25" xfId="3" quotePrefix="1" applyNumberFormat="1" applyFont="1" applyBorder="1" applyAlignment="1" applyProtection="1">
      <alignment horizontal="center" vertical="center"/>
      <protection locked="0"/>
    </xf>
    <xf numFmtId="0" fontId="4" fillId="0" borderId="25" xfId="1" quotePrefix="1" applyNumberFormat="1" applyFont="1" applyBorder="1" applyAlignment="1" applyProtection="1">
      <alignment horizontal="center" vertical="center"/>
      <protection locked="0"/>
    </xf>
    <xf numFmtId="0" fontId="4" fillId="0" borderId="29" xfId="1" applyNumberFormat="1" applyFont="1" applyBorder="1" applyAlignment="1" applyProtection="1">
      <alignment horizontal="center" vertical="center"/>
      <protection locked="0"/>
    </xf>
    <xf numFmtId="0" fontId="10" fillId="0" borderId="0" xfId="0" applyNumberFormat="1" applyFont="1" applyFill="1" applyAlignment="1" applyProtection="1">
      <alignment horizontal="center" vertical="center"/>
      <protection locked="0"/>
    </xf>
    <xf numFmtId="0" fontId="4" fillId="0" borderId="0" xfId="0" applyNumberFormat="1" applyFont="1" applyFill="1" applyAlignment="1" applyProtection="1">
      <alignment horizontal="center" vertical="center"/>
      <protection locked="0"/>
    </xf>
    <xf numFmtId="41" fontId="4" fillId="0" borderId="0" xfId="0" applyNumberFormat="1" applyFont="1" applyFill="1" applyAlignment="1" applyProtection="1">
      <alignment vertical="center"/>
      <protection locked="0"/>
    </xf>
    <xf numFmtId="41" fontId="4" fillId="0" borderId="0" xfId="0" applyNumberFormat="1" applyFont="1" applyFill="1" applyBorder="1" applyAlignment="1" applyProtection="1">
      <alignment vertical="center"/>
      <protection locked="0"/>
    </xf>
    <xf numFmtId="0" fontId="4" fillId="0" borderId="0" xfId="0" applyFont="1" applyFill="1" applyBorder="1" applyAlignment="1" applyProtection="1">
      <alignment vertical="center"/>
      <protection locked="0"/>
    </xf>
    <xf numFmtId="0" fontId="4" fillId="0" borderId="0" xfId="0" applyFont="1" applyFill="1" applyBorder="1" applyAlignment="1" applyProtection="1">
      <alignment vertical="center" wrapText="1"/>
      <protection locked="0"/>
    </xf>
    <xf numFmtId="0" fontId="3" fillId="0" borderId="0" xfId="0" applyFont="1" applyFill="1" applyBorder="1" applyAlignment="1" applyProtection="1">
      <alignment vertical="center"/>
      <protection locked="0"/>
    </xf>
    <xf numFmtId="0" fontId="3" fillId="11" borderId="9" xfId="0" applyFont="1" applyFill="1" applyBorder="1" applyAlignment="1" applyProtection="1">
      <alignment horizontal="center" vertical="center"/>
      <protection locked="0"/>
    </xf>
    <xf numFmtId="49" fontId="3" fillId="11" borderId="10" xfId="0" applyNumberFormat="1" applyFont="1" applyFill="1" applyBorder="1" applyAlignment="1" applyProtection="1">
      <alignment vertical="center"/>
      <protection locked="0"/>
    </xf>
    <xf numFmtId="166" fontId="3" fillId="11" borderId="10" xfId="1" applyNumberFormat="1" applyFont="1" applyFill="1" applyBorder="1" applyAlignment="1" applyProtection="1">
      <alignment vertical="center"/>
      <protection locked="0"/>
    </xf>
    <xf numFmtId="43" fontId="3" fillId="11" borderId="10" xfId="1" applyFont="1" applyFill="1" applyBorder="1" applyAlignment="1" applyProtection="1">
      <alignment vertical="center"/>
      <protection locked="0"/>
    </xf>
    <xf numFmtId="0" fontId="3" fillId="8" borderId="10" xfId="0" applyFont="1" applyFill="1" applyBorder="1" applyAlignment="1" applyProtection="1">
      <alignment horizontal="center" vertical="center" wrapText="1"/>
      <protection locked="0"/>
    </xf>
    <xf numFmtId="0" fontId="3" fillId="8" borderId="10" xfId="0" applyFont="1" applyFill="1" applyBorder="1" applyAlignment="1" applyProtection="1">
      <alignment horizontal="left" vertical="center" wrapText="1"/>
      <protection locked="0"/>
    </xf>
    <xf numFmtId="166" fontId="3" fillId="8" borderId="10" xfId="1" applyNumberFormat="1" applyFont="1" applyFill="1" applyBorder="1" applyAlignment="1" applyProtection="1">
      <alignment vertical="center"/>
      <protection locked="0"/>
    </xf>
    <xf numFmtId="43" fontId="3" fillId="8" borderId="10" xfId="1" applyFont="1" applyFill="1" applyBorder="1" applyAlignment="1" applyProtection="1">
      <alignment vertical="center"/>
      <protection locked="0"/>
    </xf>
    <xf numFmtId="166" fontId="4" fillId="8" borderId="10" xfId="1" applyNumberFormat="1" applyFont="1" applyFill="1" applyBorder="1" applyAlignment="1" applyProtection="1">
      <alignment vertical="center"/>
      <protection locked="0"/>
    </xf>
    <xf numFmtId="43" fontId="4" fillId="8" borderId="10" xfId="1" applyFont="1" applyFill="1" applyBorder="1" applyAlignment="1" applyProtection="1">
      <alignment vertical="center"/>
      <protection locked="0"/>
    </xf>
    <xf numFmtId="0" fontId="4" fillId="8" borderId="10" xfId="0" applyFont="1" applyFill="1" applyBorder="1" applyAlignment="1" applyProtection="1">
      <alignment horizontal="center" vertical="center" wrapText="1"/>
      <protection locked="0"/>
    </xf>
    <xf numFmtId="0" fontId="4" fillId="8" borderId="10" xfId="0" applyFont="1" applyFill="1" applyBorder="1" applyAlignment="1" applyProtection="1">
      <alignment horizontal="left" vertical="center" wrapText="1"/>
      <protection locked="0"/>
    </xf>
    <xf numFmtId="0" fontId="4" fillId="0" borderId="10" xfId="0" applyFont="1" applyFill="1" applyBorder="1" applyAlignment="1" applyProtection="1">
      <alignment horizontal="center" vertical="center" wrapText="1"/>
      <protection locked="0"/>
    </xf>
    <xf numFmtId="3" fontId="4" fillId="0" borderId="10" xfId="0" applyNumberFormat="1" applyFont="1" applyFill="1" applyBorder="1" applyAlignment="1" applyProtection="1">
      <alignment vertical="center" wrapText="1"/>
      <protection locked="0"/>
    </xf>
    <xf numFmtId="166" fontId="4" fillId="0" borderId="10" xfId="1" applyNumberFormat="1" applyFont="1" applyFill="1" applyBorder="1" applyAlignment="1" applyProtection="1">
      <alignment horizontal="center" vertical="center"/>
      <protection locked="0"/>
    </xf>
    <xf numFmtId="43" fontId="4" fillId="8" borderId="10" xfId="1" applyFont="1" applyFill="1" applyBorder="1" applyAlignment="1" applyProtection="1">
      <alignment horizontal="center" vertical="center"/>
      <protection locked="0"/>
    </xf>
    <xf numFmtId="43" fontId="4" fillId="0" borderId="10" xfId="1" applyFont="1" applyFill="1" applyBorder="1" applyAlignment="1" applyProtection="1">
      <alignment horizontal="center" vertical="center"/>
      <protection locked="0"/>
    </xf>
    <xf numFmtId="43" fontId="4" fillId="9" borderId="10" xfId="1" applyFont="1" applyFill="1" applyBorder="1" applyAlignment="1" applyProtection="1">
      <alignment horizontal="center" vertical="center"/>
      <protection locked="0"/>
    </xf>
    <xf numFmtId="168" fontId="14" fillId="0" borderId="0" xfId="0" applyNumberFormat="1" applyFont="1" applyFill="1" applyAlignment="1" applyProtection="1">
      <alignment vertical="center"/>
      <protection locked="0"/>
    </xf>
    <xf numFmtId="3" fontId="14" fillId="0" borderId="0" xfId="0" applyNumberFormat="1" applyFont="1" applyFill="1" applyAlignment="1" applyProtection="1">
      <alignment vertical="center"/>
      <protection locked="0"/>
    </xf>
    <xf numFmtId="0" fontId="14" fillId="0" borderId="0" xfId="0" applyFont="1" applyFill="1" applyAlignment="1" applyProtection="1">
      <alignment vertical="center"/>
      <protection locked="0"/>
    </xf>
    <xf numFmtId="43" fontId="3" fillId="0" borderId="0" xfId="1" applyFont="1" applyFill="1" applyBorder="1" applyAlignment="1" applyProtection="1">
      <alignment vertical="center"/>
      <protection locked="0"/>
    </xf>
    <xf numFmtId="43" fontId="3" fillId="8" borderId="10" xfId="1" applyFont="1" applyFill="1" applyBorder="1" applyAlignment="1" applyProtection="1">
      <alignment horizontal="center" vertical="center"/>
      <protection locked="0"/>
    </xf>
    <xf numFmtId="43" fontId="3" fillId="0" borderId="10" xfId="1" applyFont="1" applyFill="1" applyBorder="1" applyAlignment="1" applyProtection="1">
      <alignment horizontal="center" vertical="center"/>
      <protection locked="0"/>
    </xf>
    <xf numFmtId="43" fontId="3" fillId="9" borderId="10" xfId="1" applyFont="1" applyFill="1" applyBorder="1" applyAlignment="1" applyProtection="1">
      <alignment horizontal="center" vertical="center"/>
      <protection locked="0"/>
    </xf>
    <xf numFmtId="0" fontId="4" fillId="0" borderId="10" xfId="0" applyFont="1" applyFill="1" applyBorder="1" applyAlignment="1" applyProtection="1">
      <alignment horizontal="left" vertical="center" wrapText="1"/>
      <protection locked="0"/>
    </xf>
    <xf numFmtId="0" fontId="3" fillId="9" borderId="10" xfId="0" applyFont="1" applyFill="1" applyBorder="1" applyAlignment="1" applyProtection="1">
      <alignment horizontal="center" vertical="center" wrapText="1"/>
      <protection locked="0"/>
    </xf>
    <xf numFmtId="0" fontId="3" fillId="9" borderId="10" xfId="0" applyFont="1" applyFill="1" applyBorder="1" applyAlignment="1" applyProtection="1">
      <alignment horizontal="left" vertical="center" wrapText="1"/>
      <protection locked="0"/>
    </xf>
    <xf numFmtId="166" fontId="3" fillId="9" borderId="10" xfId="1" applyNumberFormat="1" applyFont="1" applyFill="1" applyBorder="1" applyAlignment="1" applyProtection="1">
      <alignment vertical="center"/>
      <protection locked="0"/>
    </xf>
    <xf numFmtId="43" fontId="3" fillId="9" borderId="10" xfId="1" applyFont="1" applyFill="1" applyBorder="1" applyAlignment="1" applyProtection="1">
      <alignment vertical="center"/>
      <protection locked="0"/>
    </xf>
    <xf numFmtId="166" fontId="3" fillId="0" borderId="10" xfId="1" applyNumberFormat="1" applyFont="1" applyFill="1" applyBorder="1" applyAlignment="1" applyProtection="1">
      <alignment horizontal="center" vertical="center"/>
      <protection locked="0"/>
    </xf>
    <xf numFmtId="168" fontId="3" fillId="0" borderId="10" xfId="1" applyNumberFormat="1" applyFont="1" applyFill="1" applyBorder="1" applyAlignment="1" applyProtection="1">
      <alignment horizontal="right" vertical="center"/>
      <protection locked="0"/>
    </xf>
    <xf numFmtId="43" fontId="3" fillId="0" borderId="10" xfId="1" applyFont="1" applyFill="1" applyBorder="1" applyAlignment="1" applyProtection="1">
      <alignment horizontal="right" vertical="center"/>
      <protection locked="0"/>
    </xf>
    <xf numFmtId="168" fontId="4" fillId="0" borderId="10" xfId="1" applyNumberFormat="1" applyFont="1" applyFill="1" applyBorder="1" applyAlignment="1" applyProtection="1">
      <alignment horizontal="right" vertical="center"/>
      <protection locked="0"/>
    </xf>
    <xf numFmtId="43" fontId="4" fillId="0" borderId="10" xfId="1" applyFont="1" applyFill="1" applyBorder="1" applyAlignment="1" applyProtection="1">
      <alignment horizontal="right" vertical="center"/>
      <protection locked="0"/>
    </xf>
    <xf numFmtId="0" fontId="16" fillId="0" borderId="0" xfId="0" applyFont="1" applyFill="1" applyBorder="1" applyAlignment="1" applyProtection="1">
      <alignment vertical="center"/>
      <protection locked="0"/>
    </xf>
    <xf numFmtId="3" fontId="4" fillId="0" borderId="10" xfId="1" applyNumberFormat="1" applyFont="1" applyFill="1" applyBorder="1" applyAlignment="1" applyProtection="1">
      <alignment horizontal="right" vertical="center"/>
      <protection locked="0"/>
    </xf>
    <xf numFmtId="43" fontId="4" fillId="9" borderId="10" xfId="1" applyFont="1" applyFill="1" applyBorder="1" applyAlignment="1" applyProtection="1">
      <alignment vertical="center"/>
      <protection locked="0"/>
    </xf>
    <xf numFmtId="0" fontId="4" fillId="0" borderId="10" xfId="0" applyFont="1" applyFill="1" applyBorder="1" applyAlignment="1" applyProtection="1">
      <alignment vertical="center" wrapText="1"/>
      <protection locked="0"/>
    </xf>
    <xf numFmtId="166" fontId="3" fillId="8" borderId="10" xfId="1" applyNumberFormat="1" applyFont="1" applyFill="1" applyBorder="1" applyAlignment="1" applyProtection="1">
      <alignment horizontal="center" vertical="center"/>
      <protection locked="0"/>
    </xf>
    <xf numFmtId="167" fontId="3" fillId="8" borderId="10" xfId="1" applyNumberFormat="1" applyFont="1" applyFill="1" applyBorder="1" applyAlignment="1" applyProtection="1">
      <alignment horizontal="center" vertical="center"/>
      <protection locked="0"/>
    </xf>
    <xf numFmtId="43" fontId="4" fillId="0" borderId="10" xfId="1" applyNumberFormat="1" applyFont="1" applyFill="1" applyBorder="1" applyAlignment="1" applyProtection="1">
      <alignment horizontal="center" vertical="center"/>
      <protection locked="0"/>
    </xf>
    <xf numFmtId="3" fontId="18" fillId="0" borderId="0" xfId="0" applyNumberFormat="1" applyFont="1" applyFill="1" applyAlignment="1" applyProtection="1">
      <alignment vertical="center"/>
      <protection locked="0"/>
    </xf>
    <xf numFmtId="0" fontId="19" fillId="0" borderId="0" xfId="0" applyFont="1" applyFill="1" applyAlignment="1" applyProtection="1">
      <alignment vertical="center"/>
      <protection locked="0"/>
    </xf>
    <xf numFmtId="166" fontId="4" fillId="8" borderId="10" xfId="1" applyNumberFormat="1" applyFont="1" applyFill="1" applyBorder="1" applyAlignment="1" applyProtection="1">
      <alignment horizontal="center" vertical="center"/>
      <protection locked="0"/>
    </xf>
    <xf numFmtId="0" fontId="4" fillId="0" borderId="10" xfId="0" applyFont="1" applyFill="1" applyBorder="1" applyAlignment="1" applyProtection="1">
      <alignment vertical="center"/>
      <protection locked="0"/>
    </xf>
    <xf numFmtId="43" fontId="3" fillId="0" borderId="10" xfId="1" applyNumberFormat="1" applyFont="1" applyFill="1" applyBorder="1" applyAlignment="1" applyProtection="1">
      <alignment horizontal="center" vertical="center"/>
      <protection locked="0"/>
    </xf>
    <xf numFmtId="166" fontId="3" fillId="0" borderId="10" xfId="0" applyNumberFormat="1" applyFont="1" applyFill="1" applyBorder="1" applyAlignment="1" applyProtection="1">
      <alignment vertical="center"/>
      <protection locked="0"/>
    </xf>
    <xf numFmtId="43" fontId="4" fillId="0" borderId="10" xfId="1" applyFont="1" applyFill="1" applyBorder="1" applyAlignment="1" applyProtection="1">
      <alignment vertical="center"/>
      <protection locked="0"/>
    </xf>
    <xf numFmtId="43" fontId="4" fillId="0" borderId="10" xfId="1" quotePrefix="1" applyFont="1" applyFill="1" applyBorder="1" applyAlignment="1" applyProtection="1">
      <alignment vertical="center"/>
      <protection locked="0"/>
    </xf>
    <xf numFmtId="43" fontId="3" fillId="0" borderId="10" xfId="1" applyFont="1" applyFill="1" applyBorder="1" applyAlignment="1" applyProtection="1">
      <alignment vertical="center"/>
      <protection locked="0"/>
    </xf>
    <xf numFmtId="43" fontId="3" fillId="0" borderId="10" xfId="1" quotePrefix="1" applyFont="1" applyFill="1" applyBorder="1" applyAlignment="1" applyProtection="1">
      <alignment vertical="center"/>
      <protection locked="0"/>
    </xf>
    <xf numFmtId="0" fontId="4" fillId="8" borderId="10" xfId="0" applyFont="1" applyFill="1" applyBorder="1" applyAlignment="1" applyProtection="1">
      <alignment vertical="center" wrapText="1"/>
      <protection locked="0"/>
    </xf>
    <xf numFmtId="166" fontId="4" fillId="0" borderId="10" xfId="0" applyNumberFormat="1" applyFont="1" applyFill="1" applyBorder="1" applyAlignment="1" applyProtection="1">
      <alignment vertical="center"/>
      <protection locked="0"/>
    </xf>
    <xf numFmtId="0" fontId="3" fillId="0" borderId="10" xfId="0" applyFont="1" applyFill="1" applyBorder="1" applyAlignment="1" applyProtection="1">
      <alignment horizontal="center" vertical="center" wrapText="1"/>
      <protection locked="0"/>
    </xf>
    <xf numFmtId="0" fontId="3" fillId="0" borderId="10" xfId="0" applyFont="1" applyFill="1" applyBorder="1" applyAlignment="1" applyProtection="1">
      <alignment horizontal="left" vertical="center" wrapText="1"/>
      <protection locked="0"/>
    </xf>
    <xf numFmtId="0" fontId="4" fillId="0" borderId="10" xfId="0" quotePrefix="1" applyFont="1" applyFill="1" applyBorder="1" applyAlignment="1" applyProtection="1">
      <alignment horizontal="left" vertical="center" wrapText="1"/>
      <protection locked="0"/>
    </xf>
    <xf numFmtId="166" fontId="3" fillId="9" borderId="10" xfId="1" applyNumberFormat="1" applyFont="1" applyFill="1" applyBorder="1" applyAlignment="1" applyProtection="1">
      <alignment horizontal="center" vertical="center"/>
      <protection locked="0"/>
    </xf>
    <xf numFmtId="0" fontId="4" fillId="9" borderId="10" xfId="0" applyFont="1" applyFill="1" applyBorder="1" applyAlignment="1" applyProtection="1">
      <alignment horizontal="center" vertical="center" wrapText="1"/>
      <protection locked="0"/>
    </xf>
    <xf numFmtId="0" fontId="4" fillId="9" borderId="10" xfId="0" applyFont="1" applyFill="1" applyBorder="1" applyAlignment="1" applyProtection="1">
      <alignment horizontal="left" vertical="center" wrapText="1"/>
      <protection locked="0"/>
    </xf>
    <xf numFmtId="43" fontId="4" fillId="9" borderId="10" xfId="1" quotePrefix="1" applyNumberFormat="1" applyFont="1" applyFill="1" applyBorder="1" applyAlignment="1" applyProtection="1">
      <alignment horizontal="center" vertical="center"/>
      <protection locked="0"/>
    </xf>
    <xf numFmtId="166" fontId="4" fillId="9" borderId="10" xfId="1" quotePrefix="1" applyNumberFormat="1" applyFont="1" applyFill="1" applyBorder="1" applyAlignment="1" applyProtection="1">
      <alignment horizontal="center" vertical="center"/>
      <protection locked="0"/>
    </xf>
    <xf numFmtId="43" fontId="4" fillId="9" borderId="10" xfId="1" quotePrefix="1" applyFont="1" applyFill="1" applyBorder="1" applyAlignment="1" applyProtection="1">
      <alignment horizontal="center" vertical="center"/>
      <protection locked="0"/>
    </xf>
    <xf numFmtId="166" fontId="4" fillId="9" borderId="10" xfId="1" applyNumberFormat="1" applyFont="1" applyFill="1" applyBorder="1" applyAlignment="1" applyProtection="1">
      <alignment vertical="center"/>
      <protection locked="0"/>
    </xf>
    <xf numFmtId="166" fontId="4" fillId="9" borderId="10" xfId="1" applyNumberFormat="1" applyFont="1" applyFill="1" applyBorder="1" applyAlignment="1" applyProtection="1">
      <alignment horizontal="center" vertical="center"/>
      <protection locked="0"/>
    </xf>
    <xf numFmtId="0" fontId="15" fillId="0" borderId="0" xfId="0" applyFont="1" applyFill="1" applyAlignment="1" applyProtection="1">
      <alignment vertical="center"/>
      <protection locked="0"/>
    </xf>
    <xf numFmtId="166" fontId="4" fillId="0" borderId="10" xfId="1" applyNumberFormat="1" applyFont="1" applyFill="1" applyBorder="1" applyAlignment="1" applyProtection="1">
      <alignment vertical="center"/>
      <protection locked="0"/>
    </xf>
    <xf numFmtId="0" fontId="5" fillId="0" borderId="10" xfId="0" applyFont="1" applyFill="1" applyBorder="1" applyAlignment="1" applyProtection="1">
      <alignment vertical="center" wrapText="1"/>
      <protection locked="0"/>
    </xf>
    <xf numFmtId="0" fontId="3" fillId="9" borderId="9" xfId="0" applyFont="1" applyFill="1" applyBorder="1" applyAlignment="1" applyProtection="1">
      <alignment horizontal="center" vertical="center"/>
      <protection locked="0"/>
    </xf>
    <xf numFmtId="49" fontId="3" fillId="9" borderId="10" xfId="0" applyNumberFormat="1" applyFont="1" applyFill="1" applyBorder="1" applyAlignment="1" applyProtection="1">
      <alignment vertical="center"/>
      <protection locked="0"/>
    </xf>
    <xf numFmtId="0" fontId="3" fillId="0" borderId="9" xfId="0" applyFont="1" applyFill="1" applyBorder="1" applyAlignment="1" applyProtection="1">
      <alignment horizontal="center" vertical="center"/>
      <protection locked="0"/>
    </xf>
    <xf numFmtId="49" fontId="4" fillId="0" borderId="10" xfId="0" applyNumberFormat="1" applyFont="1" applyFill="1" applyBorder="1" applyAlignment="1" applyProtection="1">
      <alignment vertical="center"/>
      <protection locked="0"/>
    </xf>
    <xf numFmtId="43" fontId="3" fillId="0" borderId="9" xfId="1" applyFont="1" applyFill="1" applyBorder="1" applyAlignment="1" applyProtection="1">
      <alignment horizontal="center" vertical="center"/>
      <protection locked="0"/>
    </xf>
    <xf numFmtId="166" fontId="4" fillId="0" borderId="10" xfId="1" applyNumberFormat="1" applyFont="1" applyFill="1" applyBorder="1" applyAlignment="1" applyProtection="1">
      <alignment horizontal="right" vertical="center"/>
      <protection locked="0"/>
    </xf>
    <xf numFmtId="0" fontId="3" fillId="0" borderId="12" xfId="0" applyFont="1" applyFill="1" applyBorder="1" applyAlignment="1" applyProtection="1">
      <alignment horizontal="center" vertical="center"/>
      <protection locked="0"/>
    </xf>
    <xf numFmtId="49" fontId="4" fillId="0" borderId="13" xfId="0" applyNumberFormat="1" applyFont="1" applyFill="1" applyBorder="1" applyAlignment="1" applyProtection="1">
      <alignment vertical="center"/>
      <protection locked="0"/>
    </xf>
    <xf numFmtId="166" fontId="4" fillId="0" borderId="13" xfId="1" applyNumberFormat="1" applyFont="1" applyFill="1" applyBorder="1" applyAlignment="1" applyProtection="1">
      <alignment vertical="center"/>
      <protection locked="0"/>
    </xf>
    <xf numFmtId="43" fontId="4" fillId="0" borderId="13" xfId="1" applyFont="1" applyFill="1" applyBorder="1" applyAlignment="1" applyProtection="1">
      <alignment vertical="center"/>
      <protection locked="0"/>
    </xf>
    <xf numFmtId="0" fontId="19" fillId="0" borderId="0" xfId="3" quotePrefix="1" applyFont="1" applyBorder="1" applyAlignment="1" applyProtection="1">
      <alignment horizontal="center" vertical="center"/>
      <protection locked="0"/>
    </xf>
    <xf numFmtId="49" fontId="19" fillId="0" borderId="0" xfId="0" applyNumberFormat="1" applyFont="1" applyFill="1" applyBorder="1" applyAlignment="1" applyProtection="1">
      <alignment horizontal="right" vertical="center" wrapText="1"/>
      <protection locked="0"/>
    </xf>
    <xf numFmtId="166" fontId="19" fillId="0" borderId="0" xfId="1" applyNumberFormat="1" applyFont="1" applyFill="1" applyBorder="1" applyAlignment="1" applyProtection="1">
      <alignment horizontal="right" vertical="center" wrapText="1"/>
      <protection locked="0"/>
    </xf>
    <xf numFmtId="43" fontId="19" fillId="0" borderId="0" xfId="1" applyFont="1" applyFill="1" applyBorder="1" applyAlignment="1" applyProtection="1">
      <alignment horizontal="right" vertical="center" wrapText="1"/>
      <protection locked="0"/>
    </xf>
    <xf numFmtId="43" fontId="19" fillId="0" borderId="0" xfId="1" applyFont="1" applyBorder="1" applyAlignment="1" applyProtection="1">
      <alignment vertical="center"/>
      <protection locked="0"/>
    </xf>
    <xf numFmtId="0" fontId="19" fillId="0" borderId="0" xfId="3" applyFont="1" applyBorder="1" applyAlignment="1" applyProtection="1">
      <alignment horizontal="left" vertical="center"/>
      <protection locked="0"/>
    </xf>
    <xf numFmtId="0" fontId="4" fillId="0" borderId="0" xfId="3" applyFont="1" applyAlignment="1" applyProtection="1">
      <alignment vertical="center"/>
      <protection locked="0"/>
    </xf>
    <xf numFmtId="166" fontId="4" fillId="0" borderId="0" xfId="1" applyNumberFormat="1" applyFont="1" applyAlignment="1" applyProtection="1">
      <alignment vertical="center"/>
      <protection locked="0"/>
    </xf>
    <xf numFmtId="43" fontId="4" fillId="0" borderId="0" xfId="1" applyFont="1" applyAlignment="1" applyProtection="1">
      <alignment vertical="center"/>
      <protection locked="0"/>
    </xf>
    <xf numFmtId="43" fontId="4" fillId="0" borderId="0" xfId="1" applyFont="1" applyAlignment="1" applyProtection="1">
      <alignment horizontal="center" vertical="center"/>
      <protection locked="0"/>
    </xf>
    <xf numFmtId="166" fontId="17" fillId="0" borderId="0" xfId="1" applyNumberFormat="1" applyFont="1" applyAlignment="1" applyProtection="1">
      <alignment horizontal="center" vertical="center"/>
      <protection locked="0"/>
    </xf>
    <xf numFmtId="43" fontId="17" fillId="0" borderId="0" xfId="1" applyFont="1" applyAlignment="1" applyProtection="1">
      <alignment horizontal="center" vertical="center"/>
      <protection locked="0"/>
    </xf>
    <xf numFmtId="43" fontId="6" fillId="0" borderId="0" xfId="1" applyFont="1" applyAlignment="1" applyProtection="1">
      <alignment vertical="center"/>
      <protection locked="0"/>
    </xf>
    <xf numFmtId="0" fontId="6" fillId="0" borderId="0" xfId="0" applyFont="1" applyAlignment="1" applyProtection="1">
      <alignment vertical="center"/>
      <protection locked="0"/>
    </xf>
    <xf numFmtId="166" fontId="6" fillId="0" borderId="0" xfId="1" applyNumberFormat="1" applyFont="1" applyAlignment="1" applyProtection="1">
      <alignment vertical="center"/>
      <protection locked="0"/>
    </xf>
    <xf numFmtId="0" fontId="3" fillId="6" borderId="9" xfId="0" applyFont="1" applyFill="1" applyBorder="1" applyAlignment="1" applyProtection="1">
      <alignment horizontal="center" vertical="center"/>
    </xf>
    <xf numFmtId="49" fontId="3" fillId="6" borderId="10" xfId="0" applyNumberFormat="1" applyFont="1" applyFill="1" applyBorder="1" applyAlignment="1" applyProtection="1">
      <alignment horizontal="center" vertical="center"/>
    </xf>
    <xf numFmtId="166" fontId="3" fillId="6" borderId="10" xfId="1" applyNumberFormat="1" applyFont="1" applyFill="1" applyBorder="1" applyAlignment="1" applyProtection="1">
      <alignment horizontal="center" vertical="center"/>
    </xf>
    <xf numFmtId="43" fontId="3" fillId="6" borderId="10" xfId="1" applyFont="1" applyFill="1" applyBorder="1" applyAlignment="1" applyProtection="1">
      <alignment horizontal="center" vertical="center"/>
    </xf>
    <xf numFmtId="0" fontId="4" fillId="3" borderId="9" xfId="0" applyFont="1" applyFill="1" applyBorder="1" applyAlignment="1" applyProtection="1">
      <alignment horizontal="center" vertical="center"/>
    </xf>
    <xf numFmtId="49" fontId="4" fillId="3" borderId="10" xfId="0" applyNumberFormat="1" applyFont="1" applyFill="1" applyBorder="1" applyAlignment="1" applyProtection="1">
      <alignment vertical="center"/>
    </xf>
    <xf numFmtId="166" fontId="4" fillId="3" borderId="10" xfId="1" applyNumberFormat="1" applyFont="1" applyFill="1" applyBorder="1" applyAlignment="1" applyProtection="1">
      <alignment vertical="center"/>
    </xf>
    <xf numFmtId="43" fontId="4" fillId="3" borderId="10" xfId="1" applyFont="1" applyFill="1" applyBorder="1" applyAlignment="1" applyProtection="1">
      <alignment vertical="center"/>
    </xf>
    <xf numFmtId="49" fontId="4" fillId="3" borderId="10" xfId="0" quotePrefix="1" applyNumberFormat="1" applyFont="1" applyFill="1" applyBorder="1" applyAlignment="1" applyProtection="1">
      <alignment vertical="center" wrapText="1"/>
    </xf>
    <xf numFmtId="166" fontId="4" fillId="3" borderId="10" xfId="1" quotePrefix="1" applyNumberFormat="1" applyFont="1" applyFill="1" applyBorder="1" applyAlignment="1" applyProtection="1">
      <alignment vertical="center" wrapText="1"/>
    </xf>
    <xf numFmtId="43" fontId="4" fillId="3" borderId="10" xfId="1" quotePrefix="1" applyFont="1" applyFill="1" applyBorder="1" applyAlignment="1" applyProtection="1">
      <alignment vertical="center" wrapText="1"/>
    </xf>
    <xf numFmtId="0" fontId="4" fillId="3" borderId="9" xfId="0" applyFont="1" applyFill="1" applyBorder="1" applyAlignment="1" applyProtection="1">
      <alignment horizontal="center" vertical="center" wrapText="1"/>
    </xf>
    <xf numFmtId="0" fontId="4" fillId="7" borderId="9" xfId="0" applyFont="1" applyFill="1" applyBorder="1" applyAlignment="1" applyProtection="1">
      <alignment horizontal="center" vertical="center"/>
    </xf>
    <xf numFmtId="49" fontId="4" fillId="7" borderId="10" xfId="0" applyNumberFormat="1" applyFont="1" applyFill="1" applyBorder="1" applyAlignment="1" applyProtection="1">
      <alignment vertical="center"/>
    </xf>
    <xf numFmtId="166" fontId="4" fillId="7" borderId="10" xfId="1" applyNumberFormat="1" applyFont="1" applyFill="1" applyBorder="1" applyAlignment="1" applyProtection="1">
      <alignment vertical="center"/>
    </xf>
    <xf numFmtId="43" fontId="4" fillId="7" borderId="10" xfId="1" applyFont="1" applyFill="1" applyBorder="1" applyAlignment="1" applyProtection="1">
      <alignment vertical="center"/>
    </xf>
    <xf numFmtId="0" fontId="3" fillId="10" borderId="9" xfId="0" applyFont="1" applyFill="1" applyBorder="1" applyAlignment="1" applyProtection="1">
      <alignment horizontal="center" vertical="center"/>
    </xf>
    <xf numFmtId="49" fontId="3" fillId="10" borderId="10" xfId="0" applyNumberFormat="1" applyFont="1" applyFill="1" applyBorder="1" applyAlignment="1" applyProtection="1">
      <alignment vertical="center"/>
    </xf>
    <xf numFmtId="166" fontId="3" fillId="10" borderId="10" xfId="1" applyNumberFormat="1" applyFont="1" applyFill="1" applyBorder="1" applyAlignment="1" applyProtection="1">
      <alignment vertical="center"/>
    </xf>
    <xf numFmtId="43" fontId="3" fillId="10" borderId="10" xfId="1" applyFont="1" applyFill="1" applyBorder="1" applyAlignment="1" applyProtection="1">
      <alignment vertical="center"/>
    </xf>
    <xf numFmtId="43" fontId="3" fillId="11" borderId="10" xfId="1" applyFont="1" applyFill="1" applyBorder="1" applyAlignment="1" applyProtection="1">
      <alignment vertical="center"/>
    </xf>
    <xf numFmtId="43" fontId="3" fillId="8" borderId="10" xfId="1" applyFont="1" applyFill="1" applyBorder="1" applyAlignment="1" applyProtection="1">
      <alignment vertical="center"/>
    </xf>
    <xf numFmtId="43" fontId="4" fillId="8" borderId="10" xfId="1" applyFont="1" applyFill="1" applyBorder="1" applyAlignment="1" applyProtection="1">
      <alignment vertical="center"/>
    </xf>
    <xf numFmtId="43" fontId="4" fillId="8" borderId="10" xfId="1" applyFont="1" applyFill="1" applyBorder="1" applyAlignment="1" applyProtection="1">
      <alignment horizontal="center" vertical="center"/>
    </xf>
    <xf numFmtId="43" fontId="3" fillId="8" borderId="10" xfId="1" applyFont="1" applyFill="1" applyBorder="1" applyAlignment="1" applyProtection="1">
      <alignment horizontal="center" vertical="center"/>
    </xf>
    <xf numFmtId="43" fontId="3" fillId="8" borderId="10" xfId="1" applyFont="1" applyFill="1" applyBorder="1" applyAlignment="1" applyProtection="1">
      <alignment horizontal="right" vertical="center"/>
    </xf>
    <xf numFmtId="43" fontId="4" fillId="8" borderId="10" xfId="1" applyFont="1" applyFill="1" applyBorder="1" applyAlignment="1" applyProtection="1">
      <alignment horizontal="right" vertical="center"/>
    </xf>
    <xf numFmtId="43" fontId="4" fillId="8" borderId="10" xfId="1" quotePrefix="1" applyFont="1" applyFill="1" applyBorder="1" applyAlignment="1" applyProtection="1">
      <alignment horizontal="center" vertical="center"/>
    </xf>
    <xf numFmtId="43" fontId="4" fillId="8" borderId="13" xfId="1" applyFont="1" applyFill="1" applyBorder="1" applyAlignment="1" applyProtection="1">
      <alignment vertical="center"/>
    </xf>
    <xf numFmtId="43" fontId="4" fillId="8" borderId="13" xfId="1" applyFont="1" applyFill="1" applyBorder="1" applyAlignment="1" applyProtection="1">
      <alignment horizontal="center" vertical="center"/>
    </xf>
    <xf numFmtId="43" fontId="4" fillId="9" borderId="10" xfId="1" applyFont="1" applyFill="1" applyBorder="1" applyAlignment="1" applyProtection="1">
      <alignment horizontal="center" vertical="center"/>
    </xf>
    <xf numFmtId="43" fontId="3" fillId="9" borderId="10" xfId="1" applyFont="1" applyFill="1" applyBorder="1" applyAlignment="1" applyProtection="1">
      <alignment horizontal="center" vertical="center"/>
    </xf>
    <xf numFmtId="43" fontId="3" fillId="9" borderId="10" xfId="1" applyFont="1" applyFill="1" applyBorder="1" applyAlignment="1" applyProtection="1">
      <alignment vertical="center"/>
    </xf>
    <xf numFmtId="43" fontId="3" fillId="9" borderId="10" xfId="1" applyFont="1" applyFill="1" applyBorder="1" applyAlignment="1" applyProtection="1">
      <alignment horizontal="right" vertical="center"/>
    </xf>
    <xf numFmtId="43" fontId="4" fillId="9" borderId="10" xfId="1" applyFont="1" applyFill="1" applyBorder="1" applyAlignment="1" applyProtection="1">
      <alignment horizontal="right" vertical="center"/>
    </xf>
    <xf numFmtId="43" fontId="4" fillId="9" borderId="10" xfId="1" applyFont="1" applyFill="1" applyBorder="1" applyAlignment="1" applyProtection="1">
      <alignment vertical="center"/>
    </xf>
    <xf numFmtId="43" fontId="4" fillId="9" borderId="10" xfId="1" quotePrefix="1" applyFont="1" applyFill="1" applyBorder="1" applyAlignment="1" applyProtection="1">
      <alignment vertical="center"/>
    </xf>
    <xf numFmtId="43" fontId="4" fillId="9" borderId="10" xfId="1" quotePrefix="1" applyFont="1" applyFill="1" applyBorder="1" applyAlignment="1" applyProtection="1">
      <alignment horizontal="center" vertical="center"/>
    </xf>
    <xf numFmtId="43" fontId="3" fillId="9" borderId="11" xfId="1" applyFont="1" applyFill="1" applyBorder="1" applyAlignment="1" applyProtection="1">
      <alignment vertical="center"/>
    </xf>
    <xf numFmtId="43" fontId="4" fillId="9" borderId="11" xfId="1" quotePrefix="1" applyFont="1" applyFill="1" applyBorder="1" applyAlignment="1" applyProtection="1">
      <alignment vertical="center"/>
    </xf>
    <xf numFmtId="43" fontId="3" fillId="9" borderId="11" xfId="1" quotePrefix="1" applyFont="1" applyFill="1" applyBorder="1" applyAlignment="1" applyProtection="1">
      <alignment vertical="center"/>
    </xf>
    <xf numFmtId="43" fontId="4" fillId="9" borderId="13" xfId="1" applyFont="1" applyFill="1" applyBorder="1" applyAlignment="1" applyProtection="1">
      <alignment horizontal="center" vertical="center"/>
    </xf>
    <xf numFmtId="43" fontId="4" fillId="9" borderId="13" xfId="1" applyFont="1" applyFill="1" applyBorder="1" applyAlignment="1" applyProtection="1">
      <alignment vertical="center"/>
    </xf>
    <xf numFmtId="43" fontId="4" fillId="9" borderId="14" xfId="1" quotePrefix="1" applyFont="1" applyFill="1" applyBorder="1" applyAlignment="1" applyProtection="1">
      <alignment vertical="center"/>
    </xf>
    <xf numFmtId="37" fontId="3" fillId="6" borderId="10" xfId="1" applyNumberFormat="1" applyFont="1" applyFill="1" applyBorder="1" applyAlignment="1" applyProtection="1">
      <alignment horizontal="right" vertical="center"/>
    </xf>
    <xf numFmtId="37" fontId="4" fillId="3" borderId="10" xfId="1" applyNumberFormat="1" applyFont="1" applyFill="1" applyBorder="1" applyAlignment="1" applyProtection="1">
      <alignment horizontal="right" vertical="center"/>
    </xf>
    <xf numFmtId="37" fontId="4" fillId="3" borderId="10" xfId="1" quotePrefix="1" applyNumberFormat="1" applyFont="1" applyFill="1" applyBorder="1" applyAlignment="1" applyProtection="1">
      <alignment horizontal="right" vertical="center" wrapText="1"/>
    </xf>
    <xf numFmtId="37" fontId="4" fillId="7" borderId="10" xfId="1" applyNumberFormat="1" applyFont="1" applyFill="1" applyBorder="1" applyAlignment="1" applyProtection="1">
      <alignment horizontal="right" vertical="center"/>
    </xf>
    <xf numFmtId="37" fontId="3" fillId="10" borderId="10" xfId="1" applyNumberFormat="1" applyFont="1" applyFill="1" applyBorder="1" applyAlignment="1" applyProtection="1">
      <alignment horizontal="right" vertical="center"/>
    </xf>
    <xf numFmtId="37" fontId="3" fillId="11" borderId="10" xfId="1" applyNumberFormat="1" applyFont="1" applyFill="1" applyBorder="1" applyAlignment="1" applyProtection="1">
      <alignment horizontal="right" vertical="center"/>
      <protection locked="0"/>
    </xf>
    <xf numFmtId="37" fontId="3" fillId="8" borderId="10" xfId="1" applyNumberFormat="1" applyFont="1" applyFill="1" applyBorder="1" applyAlignment="1" applyProtection="1">
      <alignment horizontal="right" vertical="center"/>
      <protection locked="0"/>
    </xf>
    <xf numFmtId="37" fontId="4" fillId="8" borderId="10" xfId="1" applyNumberFormat="1" applyFont="1" applyFill="1" applyBorder="1" applyAlignment="1" applyProtection="1">
      <alignment horizontal="right" vertical="center"/>
      <protection locked="0"/>
    </xf>
    <xf numFmtId="37" fontId="4" fillId="0" borderId="10" xfId="1" applyNumberFormat="1" applyFont="1" applyFill="1" applyBorder="1" applyAlignment="1" applyProtection="1">
      <alignment horizontal="right" vertical="center"/>
      <protection locked="0"/>
    </xf>
    <xf numFmtId="37" fontId="3" fillId="9" borderId="10" xfId="1" applyNumberFormat="1" applyFont="1" applyFill="1" applyBorder="1" applyAlignment="1" applyProtection="1">
      <alignment horizontal="right" vertical="center"/>
      <protection locked="0"/>
    </xf>
    <xf numFmtId="37" fontId="3" fillId="0" borderId="10" xfId="1" applyNumberFormat="1" applyFont="1" applyFill="1" applyBorder="1" applyAlignment="1" applyProtection="1">
      <alignment horizontal="right" vertical="center"/>
      <protection locked="0"/>
    </xf>
    <xf numFmtId="37" fontId="4" fillId="9" borderId="10" xfId="1" quotePrefix="1" applyNumberFormat="1" applyFont="1" applyFill="1" applyBorder="1" applyAlignment="1" applyProtection="1">
      <alignment horizontal="right" vertical="center"/>
      <protection locked="0"/>
    </xf>
    <xf numFmtId="37" fontId="4" fillId="9" borderId="10" xfId="1" applyNumberFormat="1" applyFont="1" applyFill="1" applyBorder="1" applyAlignment="1" applyProtection="1">
      <alignment horizontal="right" vertical="center"/>
      <protection locked="0"/>
    </xf>
    <xf numFmtId="37" fontId="4" fillId="0" borderId="10" xfId="0" applyNumberFormat="1" applyFont="1" applyFill="1" applyBorder="1" applyAlignment="1" applyProtection="1">
      <alignment horizontal="right" vertical="center"/>
      <protection locked="0"/>
    </xf>
    <xf numFmtId="37" fontId="4" fillId="0" borderId="13" xfId="1" applyNumberFormat="1" applyFont="1" applyFill="1" applyBorder="1" applyAlignment="1" applyProtection="1">
      <alignment horizontal="right" vertical="center"/>
      <protection locked="0"/>
    </xf>
    <xf numFmtId="0" fontId="3" fillId="11" borderId="24" xfId="0" applyFont="1" applyFill="1" applyBorder="1" applyAlignment="1" applyProtection="1">
      <alignment horizontal="center" vertical="center"/>
      <protection locked="0"/>
    </xf>
    <xf numFmtId="49" fontId="3" fillId="11" borderId="25" xfId="0" applyNumberFormat="1" applyFont="1" applyFill="1" applyBorder="1" applyAlignment="1" applyProtection="1">
      <alignment vertical="center"/>
      <protection locked="0"/>
    </xf>
    <xf numFmtId="166" fontId="3" fillId="11" borderId="25" xfId="1" applyNumberFormat="1" applyFont="1" applyFill="1" applyBorder="1" applyAlignment="1" applyProtection="1">
      <alignment vertical="center"/>
      <protection locked="0"/>
    </xf>
    <xf numFmtId="37" fontId="3" fillId="11" borderId="25" xfId="1" applyNumberFormat="1" applyFont="1" applyFill="1" applyBorder="1" applyAlignment="1" applyProtection="1">
      <alignment horizontal="right" vertical="center"/>
      <protection locked="0"/>
    </xf>
    <xf numFmtId="43" fontId="3" fillId="8" borderId="25" xfId="1" applyFont="1" applyFill="1" applyBorder="1" applyAlignment="1" applyProtection="1">
      <alignment vertical="center"/>
    </xf>
    <xf numFmtId="43" fontId="3" fillId="11" borderId="25" xfId="1" applyFont="1" applyFill="1" applyBorder="1" applyAlignment="1" applyProtection="1">
      <alignment vertical="center"/>
      <protection locked="0"/>
    </xf>
    <xf numFmtId="43" fontId="3" fillId="11" borderId="25" xfId="1" applyFont="1" applyFill="1" applyBorder="1" applyAlignment="1" applyProtection="1">
      <alignment vertical="center"/>
    </xf>
    <xf numFmtId="43" fontId="3" fillId="11" borderId="29" xfId="1" applyFont="1" applyFill="1" applyBorder="1" applyAlignment="1" applyProtection="1">
      <alignment vertical="center"/>
    </xf>
    <xf numFmtId="0" fontId="4" fillId="0" borderId="13" xfId="0" applyFont="1" applyFill="1" applyBorder="1" applyAlignment="1" applyProtection="1">
      <alignment horizontal="center" vertical="center" wrapText="1"/>
      <protection locked="0"/>
    </xf>
    <xf numFmtId="0" fontId="4" fillId="0" borderId="13" xfId="0" applyFont="1" applyFill="1" applyBorder="1" applyAlignment="1" applyProtection="1">
      <alignment horizontal="left" vertical="center" wrapText="1"/>
      <protection locked="0"/>
    </xf>
    <xf numFmtId="166" fontId="3" fillId="0" borderId="13" xfId="1" applyNumberFormat="1" applyFont="1" applyFill="1" applyBorder="1" applyAlignment="1" applyProtection="1">
      <alignment horizontal="center" vertical="center"/>
      <protection locked="0"/>
    </xf>
    <xf numFmtId="37" fontId="3" fillId="0" borderId="13" xfId="1" applyNumberFormat="1" applyFont="1" applyFill="1" applyBorder="1" applyAlignment="1" applyProtection="1">
      <alignment horizontal="right" vertical="center"/>
      <protection locked="0"/>
    </xf>
    <xf numFmtId="43" fontId="3" fillId="8" borderId="13" xfId="1" applyFont="1" applyFill="1" applyBorder="1" applyAlignment="1" applyProtection="1">
      <alignment horizontal="center" vertical="center"/>
    </xf>
    <xf numFmtId="43" fontId="3" fillId="0" borderId="13" xfId="1" applyFont="1" applyFill="1" applyBorder="1" applyAlignment="1" applyProtection="1">
      <alignment horizontal="center" vertical="center"/>
      <protection locked="0"/>
    </xf>
    <xf numFmtId="43" fontId="3" fillId="9" borderId="13" xfId="1" applyFont="1" applyFill="1" applyBorder="1" applyAlignment="1" applyProtection="1">
      <alignment horizontal="center" vertical="center"/>
    </xf>
    <xf numFmtId="0" fontId="26" fillId="0" borderId="10" xfId="0" applyFont="1" applyFill="1" applyBorder="1" applyAlignment="1">
      <alignment horizontal="center" vertical="center" wrapText="1"/>
    </xf>
    <xf numFmtId="166" fontId="24" fillId="0" borderId="10" xfId="1" applyNumberFormat="1" applyFont="1" applyFill="1" applyBorder="1" applyAlignment="1">
      <alignment horizontal="center" vertical="center"/>
    </xf>
    <xf numFmtId="0" fontId="28" fillId="0" borderId="0" xfId="0" applyFont="1" applyFill="1"/>
    <xf numFmtId="0" fontId="24" fillId="0" borderId="0" xfId="0" applyFont="1" applyFill="1"/>
    <xf numFmtId="0" fontId="24" fillId="0" borderId="0" xfId="0" applyFont="1" applyFill="1" applyAlignment="1">
      <alignment horizontal="center"/>
    </xf>
    <xf numFmtId="166" fontId="24" fillId="0" borderId="0" xfId="1" applyNumberFormat="1" applyFont="1" applyFill="1" applyAlignment="1">
      <alignment horizontal="center"/>
    </xf>
    <xf numFmtId="0" fontId="47" fillId="0" borderId="10" xfId="0" applyFont="1" applyFill="1" applyBorder="1" applyAlignment="1">
      <alignment vertical="center"/>
    </xf>
    <xf numFmtId="0" fontId="47" fillId="0" borderId="10" xfId="0" applyFont="1" applyFill="1" applyBorder="1" applyAlignment="1">
      <alignment horizontal="center" vertical="center"/>
    </xf>
    <xf numFmtId="166" fontId="47" fillId="0" borderId="10" xfId="1" applyNumberFormat="1" applyFont="1" applyFill="1" applyBorder="1" applyAlignment="1">
      <alignment horizontal="center" vertical="center"/>
    </xf>
    <xf numFmtId="0" fontId="24" fillId="0" borderId="10" xfId="0" applyFont="1" applyFill="1" applyBorder="1" applyAlignment="1">
      <alignment horizontal="center" vertical="center"/>
    </xf>
    <xf numFmtId="0" fontId="24" fillId="0" borderId="10" xfId="0" applyFont="1" applyFill="1" applyBorder="1" applyAlignment="1">
      <alignment vertical="center"/>
    </xf>
    <xf numFmtId="0" fontId="48" fillId="0" borderId="10" xfId="0" applyFont="1" applyFill="1" applyBorder="1"/>
    <xf numFmtId="0" fontId="48" fillId="0" borderId="0" xfId="0" applyFont="1" applyFill="1"/>
    <xf numFmtId="0" fontId="24" fillId="7" borderId="10" xfId="0" applyFont="1" applyFill="1" applyBorder="1" applyAlignment="1">
      <alignment vertical="center"/>
    </xf>
    <xf numFmtId="0" fontId="24" fillId="0" borderId="10" xfId="0" applyFont="1" applyFill="1" applyBorder="1" applyAlignment="1">
      <alignment horizontal="center"/>
    </xf>
    <xf numFmtId="0" fontId="48" fillId="0" borderId="10" xfId="0" applyFont="1" applyFill="1" applyBorder="1" applyAlignment="1">
      <alignment horizontal="center"/>
    </xf>
    <xf numFmtId="0" fontId="47" fillId="7" borderId="10" xfId="0" applyFont="1" applyFill="1" applyBorder="1" applyAlignment="1">
      <alignment vertical="center"/>
    </xf>
    <xf numFmtId="0" fontId="47" fillId="0" borderId="13" xfId="0" applyFont="1" applyFill="1" applyBorder="1" applyAlignment="1">
      <alignment vertical="center"/>
    </xf>
    <xf numFmtId="0" fontId="47" fillId="0" borderId="13" xfId="0" applyFont="1" applyFill="1" applyBorder="1" applyAlignment="1">
      <alignment horizontal="center" vertical="center"/>
    </xf>
    <xf numFmtId="43" fontId="47" fillId="0" borderId="13" xfId="1" applyFont="1" applyFill="1" applyBorder="1" applyAlignment="1">
      <alignment vertical="center"/>
    </xf>
    <xf numFmtId="166" fontId="47" fillId="0" borderId="13" xfId="1" applyNumberFormat="1" applyFont="1" applyFill="1" applyBorder="1" applyAlignment="1">
      <alignment horizontal="center" vertical="center"/>
    </xf>
    <xf numFmtId="0" fontId="49" fillId="0" borderId="0" xfId="0" applyFont="1" applyFill="1"/>
    <xf numFmtId="0" fontId="24" fillId="0" borderId="25" xfId="0" applyFont="1" applyFill="1" applyBorder="1" applyAlignment="1">
      <alignment horizontal="center" vertical="center"/>
    </xf>
    <xf numFmtId="0" fontId="24" fillId="0" borderId="25" xfId="0" applyFont="1" applyFill="1" applyBorder="1" applyAlignment="1">
      <alignment vertical="center"/>
    </xf>
    <xf numFmtId="166" fontId="24" fillId="0" borderId="25" xfId="1" applyNumberFormat="1" applyFont="1" applyFill="1" applyBorder="1" applyAlignment="1">
      <alignment horizontal="center" vertical="center"/>
    </xf>
    <xf numFmtId="0" fontId="48" fillId="0" borderId="0" xfId="0" applyFont="1" applyFill="1" applyBorder="1" applyAlignment="1">
      <alignment horizontal="center"/>
    </xf>
    <xf numFmtId="0" fontId="24" fillId="0" borderId="0" xfId="0" applyFont="1" applyFill="1" applyBorder="1" applyAlignment="1">
      <alignment horizontal="center" vertical="center"/>
    </xf>
    <xf numFmtId="0" fontId="50" fillId="0" borderId="0" xfId="0" applyFont="1" applyFill="1"/>
    <xf numFmtId="0" fontId="44" fillId="0" borderId="0" xfId="0" applyFont="1" applyFill="1"/>
    <xf numFmtId="166" fontId="50" fillId="0" borderId="0" xfId="1" applyNumberFormat="1" applyFont="1" applyFill="1" applyAlignment="1">
      <alignment horizontal="center"/>
    </xf>
    <xf numFmtId="0" fontId="47" fillId="7" borderId="10" xfId="0" applyFont="1" applyFill="1" applyBorder="1" applyAlignment="1">
      <alignment horizontal="center" vertical="center"/>
    </xf>
    <xf numFmtId="0" fontId="24" fillId="7" borderId="10" xfId="0" applyFont="1" applyFill="1" applyBorder="1" applyAlignment="1">
      <alignment horizontal="center" vertical="center"/>
    </xf>
    <xf numFmtId="0" fontId="24" fillId="7" borderId="13" xfId="0" applyFont="1" applyFill="1" applyBorder="1" applyAlignment="1">
      <alignment vertical="center"/>
    </xf>
    <xf numFmtId="0" fontId="24" fillId="7" borderId="13" xfId="0" applyFont="1" applyFill="1" applyBorder="1" applyAlignment="1">
      <alignment horizontal="center" vertical="center"/>
    </xf>
    <xf numFmtId="0" fontId="48" fillId="7" borderId="32" xfId="0" applyFont="1" applyFill="1" applyBorder="1"/>
    <xf numFmtId="0" fontId="26" fillId="0" borderId="10" xfId="0" applyFont="1" applyFill="1" applyBorder="1" applyAlignment="1" applyProtection="1">
      <alignment horizontal="left" vertical="center" wrapText="1"/>
      <protection locked="0"/>
    </xf>
    <xf numFmtId="0" fontId="55" fillId="0" borderId="10" xfId="3" applyFont="1" applyFill="1" applyBorder="1" applyAlignment="1">
      <alignment horizontal="left" vertical="center"/>
    </xf>
    <xf numFmtId="0" fontId="55" fillId="0" borderId="10" xfId="3" quotePrefix="1" applyFont="1" applyFill="1" applyBorder="1" applyAlignment="1">
      <alignment horizontal="right" vertical="center"/>
    </xf>
    <xf numFmtId="168" fontId="56" fillId="0" borderId="0" xfId="0" applyNumberFormat="1" applyFont="1" applyFill="1" applyBorder="1"/>
    <xf numFmtId="0" fontId="55" fillId="0" borderId="10" xfId="0" applyFont="1" applyFill="1" applyBorder="1" applyAlignment="1">
      <alignment horizontal="right" vertical="center"/>
    </xf>
    <xf numFmtId="0" fontId="55" fillId="0" borderId="10" xfId="0" applyFont="1" applyFill="1" applyBorder="1" applyAlignment="1">
      <alignment horizontal="left" vertical="center"/>
    </xf>
    <xf numFmtId="41" fontId="29" fillId="0" borderId="10" xfId="0" applyNumberFormat="1" applyFont="1" applyFill="1" applyBorder="1" applyAlignment="1" applyProtection="1">
      <alignment vertical="center"/>
      <protection locked="0"/>
    </xf>
    <xf numFmtId="168" fontId="26" fillId="0" borderId="0" xfId="0" applyNumberFormat="1" applyFont="1" applyFill="1" applyBorder="1" applyAlignment="1" applyProtection="1">
      <alignment vertical="center"/>
      <protection locked="0"/>
    </xf>
    <xf numFmtId="41" fontId="57" fillId="0" borderId="10" xfId="0" applyNumberFormat="1" applyFont="1" applyFill="1" applyBorder="1" applyAlignment="1" applyProtection="1">
      <alignment horizontal="center" vertical="center"/>
      <protection locked="0"/>
    </xf>
    <xf numFmtId="168" fontId="55" fillId="0" borderId="0" xfId="0" applyNumberFormat="1" applyFont="1" applyFill="1" applyBorder="1" applyAlignment="1" applyProtection="1">
      <alignment vertical="center"/>
      <protection locked="0"/>
    </xf>
    <xf numFmtId="0" fontId="26" fillId="0" borderId="10" xfId="0" applyFont="1" applyFill="1" applyBorder="1" applyAlignment="1">
      <alignment horizontal="left" vertical="center"/>
    </xf>
    <xf numFmtId="0" fontId="26" fillId="0" borderId="10" xfId="0" applyFont="1" applyFill="1" applyBorder="1" applyAlignment="1">
      <alignment horizontal="left" vertical="center" wrapText="1"/>
    </xf>
    <xf numFmtId="49" fontId="26" fillId="0" borderId="10" xfId="0" applyNumberFormat="1" applyFont="1" applyFill="1" applyBorder="1" applyAlignment="1" applyProtection="1">
      <alignment vertical="center"/>
      <protection locked="0"/>
    </xf>
    <xf numFmtId="0" fontId="26" fillId="0" borderId="10" xfId="0" applyFont="1" applyFill="1" applyBorder="1" applyAlignment="1">
      <alignment vertical="center"/>
    </xf>
    <xf numFmtId="0" fontId="26" fillId="0" borderId="10" xfId="0" applyFont="1" applyFill="1" applyBorder="1" applyAlignment="1" applyProtection="1">
      <alignment vertical="center"/>
      <protection locked="0"/>
    </xf>
    <xf numFmtId="0" fontId="26" fillId="0" borderId="10" xfId="0" applyFont="1" applyFill="1" applyBorder="1" applyAlignment="1" applyProtection="1">
      <alignment horizontal="left" vertical="center"/>
      <protection locked="0"/>
    </xf>
    <xf numFmtId="0" fontId="26" fillId="0" borderId="10" xfId="0" applyFont="1" applyFill="1" applyBorder="1" applyAlignment="1" applyProtection="1">
      <alignment horizontal="center" vertical="center"/>
      <protection locked="0"/>
    </xf>
    <xf numFmtId="0" fontId="26" fillId="0" borderId="10" xfId="0" quotePrefix="1" applyFont="1" applyFill="1" applyBorder="1" applyAlignment="1" applyProtection="1">
      <alignment horizontal="left" vertical="center" wrapText="1"/>
      <protection locked="0"/>
    </xf>
    <xf numFmtId="0" fontId="26" fillId="0" borderId="10" xfId="0" quotePrefix="1" applyFont="1" applyFill="1" applyBorder="1" applyAlignment="1" applyProtection="1">
      <alignment horizontal="left" vertical="center"/>
      <protection locked="0"/>
    </xf>
    <xf numFmtId="0" fontId="26" fillId="0" borderId="10" xfId="0" applyFont="1" applyFill="1" applyBorder="1" applyAlignment="1" applyProtection="1">
      <alignment vertical="center" wrapText="1"/>
      <protection locked="0"/>
    </xf>
    <xf numFmtId="166" fontId="26" fillId="0" borderId="10" xfId="1" applyNumberFormat="1" applyFont="1" applyFill="1" applyBorder="1" applyAlignment="1" applyProtection="1">
      <alignment vertical="center"/>
      <protection locked="0"/>
    </xf>
    <xf numFmtId="167" fontId="26" fillId="0" borderId="0" xfId="1" applyNumberFormat="1" applyFont="1" applyFill="1" applyBorder="1" applyAlignment="1" applyProtection="1">
      <alignment vertical="center"/>
      <protection locked="0"/>
    </xf>
    <xf numFmtId="167" fontId="26" fillId="0" borderId="0" xfId="1" applyNumberFormat="1" applyFont="1" applyFill="1" applyAlignment="1" applyProtection="1">
      <alignment vertical="center"/>
      <protection locked="0"/>
    </xf>
    <xf numFmtId="41" fontId="26" fillId="0" borderId="0" xfId="0" applyNumberFormat="1" applyFont="1" applyFill="1" applyAlignment="1" applyProtection="1">
      <alignment vertical="center"/>
      <protection locked="0"/>
    </xf>
    <xf numFmtId="0" fontId="26" fillId="0" borderId="0" xfId="0" applyFont="1" applyFill="1" applyAlignment="1" applyProtection="1">
      <alignment vertical="center"/>
      <protection locked="0"/>
    </xf>
    <xf numFmtId="166" fontId="29" fillId="0" borderId="10" xfId="1" applyNumberFormat="1" applyFont="1" applyFill="1" applyBorder="1" applyAlignment="1" applyProtection="1">
      <alignment vertical="center"/>
      <protection locked="0"/>
    </xf>
    <xf numFmtId="167" fontId="29" fillId="0" borderId="0" xfId="1" applyNumberFormat="1" applyFont="1" applyFill="1" applyAlignment="1" applyProtection="1">
      <alignment vertical="center"/>
      <protection locked="0"/>
    </xf>
    <xf numFmtId="41" fontId="29" fillId="0" borderId="0" xfId="0" applyNumberFormat="1" applyFont="1" applyFill="1" applyAlignment="1" applyProtection="1">
      <alignment vertical="center"/>
      <protection locked="0"/>
    </xf>
    <xf numFmtId="0" fontId="29" fillId="0" borderId="0" xfId="0" applyFont="1" applyFill="1" applyAlignment="1" applyProtection="1">
      <alignment vertical="center"/>
      <protection locked="0"/>
    </xf>
    <xf numFmtId="49" fontId="58" fillId="0" borderId="10" xfId="0" applyNumberFormat="1" applyFont="1" applyFill="1" applyBorder="1" applyAlignment="1" applyProtection="1">
      <alignment vertical="center"/>
      <protection locked="0"/>
    </xf>
    <xf numFmtId="167" fontId="29" fillId="0" borderId="10" xfId="1" applyNumberFormat="1" applyFont="1" applyFill="1" applyBorder="1" applyAlignment="1" applyProtection="1">
      <alignment vertical="center"/>
      <protection locked="0"/>
    </xf>
    <xf numFmtId="167" fontId="29" fillId="0" borderId="0" xfId="1" applyNumberFormat="1" applyFont="1" applyFill="1" applyBorder="1" applyAlignment="1" applyProtection="1">
      <alignment vertical="center"/>
      <protection locked="0"/>
    </xf>
    <xf numFmtId="3" fontId="59" fillId="0" borderId="10" xfId="0" applyNumberFormat="1" applyFont="1" applyFill="1" applyBorder="1" applyAlignment="1">
      <alignment horizontal="right" vertical="center"/>
    </xf>
    <xf numFmtId="170" fontId="59" fillId="0" borderId="0" xfId="0" applyNumberFormat="1" applyFont="1" applyFill="1" applyBorder="1" applyAlignment="1">
      <alignment horizontal="right" vertical="center"/>
    </xf>
    <xf numFmtId="3" fontId="60" fillId="0" borderId="10" xfId="0" applyNumberFormat="1" applyFont="1" applyFill="1" applyBorder="1" applyAlignment="1">
      <alignment horizontal="right" vertical="center"/>
    </xf>
    <xf numFmtId="170" fontId="60" fillId="0" borderId="0" xfId="0" applyNumberFormat="1" applyFont="1" applyFill="1" applyBorder="1" applyAlignment="1">
      <alignment horizontal="right" vertical="center"/>
    </xf>
    <xf numFmtId="0" fontId="29" fillId="0" borderId="10" xfId="0" applyFont="1" applyFill="1" applyBorder="1" applyAlignment="1" applyProtection="1">
      <alignment horizontal="center" vertical="center"/>
      <protection locked="0"/>
    </xf>
    <xf numFmtId="49" fontId="29" fillId="0" borderId="10" xfId="0" applyNumberFormat="1" applyFont="1" applyFill="1" applyBorder="1" applyAlignment="1" applyProtection="1">
      <alignment vertical="center"/>
      <protection locked="0"/>
    </xf>
    <xf numFmtId="49" fontId="61" fillId="0" borderId="10" xfId="0" applyNumberFormat="1" applyFont="1" applyFill="1" applyBorder="1" applyAlignment="1" applyProtection="1">
      <alignment vertical="center"/>
      <protection locked="0"/>
    </xf>
    <xf numFmtId="0" fontId="29" fillId="0" borderId="10" xfId="0" applyFont="1" applyFill="1" applyBorder="1" applyAlignment="1" applyProtection="1">
      <alignment horizontal="left" vertical="center" wrapText="1"/>
      <protection locked="0"/>
    </xf>
    <xf numFmtId="3" fontId="62" fillId="0" borderId="10" xfId="0" applyNumberFormat="1" applyFont="1" applyFill="1" applyBorder="1" applyAlignment="1">
      <alignment horizontal="right" vertical="center"/>
    </xf>
    <xf numFmtId="170" fontId="62" fillId="0" borderId="0" xfId="0" applyNumberFormat="1" applyFont="1" applyFill="1" applyBorder="1" applyAlignment="1">
      <alignment horizontal="right" vertical="center"/>
    </xf>
    <xf numFmtId="166" fontId="26" fillId="0" borderId="0" xfId="1" applyNumberFormat="1" applyFont="1" applyFill="1" applyProtection="1">
      <protection locked="0"/>
    </xf>
    <xf numFmtId="167" fontId="26" fillId="0" borderId="0" xfId="1" applyNumberFormat="1" applyFont="1" applyFill="1" applyProtection="1">
      <protection locked="0"/>
    </xf>
    <xf numFmtId="167" fontId="29" fillId="0" borderId="0" xfId="1" applyNumberFormat="1" applyFont="1" applyFill="1" applyAlignment="1" applyProtection="1">
      <alignment horizontal="center"/>
      <protection locked="0"/>
    </xf>
    <xf numFmtId="0" fontId="26" fillId="0" borderId="0" xfId="0" applyFont="1" applyFill="1" applyProtection="1">
      <protection locked="0"/>
    </xf>
    <xf numFmtId="0" fontId="25" fillId="0" borderId="0" xfId="0" applyFont="1" applyFill="1" applyAlignment="1" applyProtection="1">
      <alignment horizontal="center"/>
      <protection locked="0"/>
    </xf>
    <xf numFmtId="167" fontId="26" fillId="0" borderId="0" xfId="1" applyNumberFormat="1" applyFont="1" applyFill="1" applyAlignment="1" applyProtection="1">
      <alignment horizontal="right"/>
      <protection locked="0"/>
    </xf>
    <xf numFmtId="167" fontId="29" fillId="0" borderId="0" xfId="1" applyNumberFormat="1" applyFont="1" applyFill="1" applyBorder="1" applyAlignment="1" applyProtection="1">
      <alignment horizontal="center" wrapText="1"/>
      <protection locked="0"/>
    </xf>
    <xf numFmtId="167" fontId="29" fillId="0" borderId="0" xfId="1" applyNumberFormat="1" applyFont="1" applyFill="1" applyBorder="1" applyAlignment="1" applyProtection="1">
      <alignment horizontal="center" vertical="center" wrapText="1"/>
      <protection locked="0"/>
    </xf>
    <xf numFmtId="0" fontId="26" fillId="0" borderId="10" xfId="0" applyNumberFormat="1" applyFont="1" applyFill="1" applyBorder="1" applyAlignment="1" applyProtection="1">
      <alignment horizontal="center" vertical="center"/>
      <protection locked="0"/>
    </xf>
    <xf numFmtId="0" fontId="26" fillId="0" borderId="10" xfId="1" applyNumberFormat="1" applyFont="1" applyFill="1" applyBorder="1" applyAlignment="1" applyProtection="1">
      <alignment horizontal="center" vertical="center"/>
      <protection locked="0"/>
    </xf>
    <xf numFmtId="167" fontId="26" fillId="0" borderId="0" xfId="1" applyNumberFormat="1" applyFont="1" applyFill="1" applyBorder="1" applyAlignment="1" applyProtection="1">
      <alignment horizontal="center"/>
      <protection locked="0"/>
    </xf>
    <xf numFmtId="0" fontId="26" fillId="0" borderId="0" xfId="0" applyFont="1" applyFill="1" applyAlignment="1" applyProtection="1">
      <alignment horizontal="center"/>
      <protection locked="0"/>
    </xf>
    <xf numFmtId="167" fontId="26" fillId="0" borderId="0" xfId="1" applyNumberFormat="1" applyFont="1" applyFill="1" applyAlignment="1" applyProtection="1">
      <alignment horizontal="center"/>
      <protection locked="0"/>
    </xf>
    <xf numFmtId="49" fontId="25" fillId="0" borderId="10" xfId="0" applyNumberFormat="1" applyFont="1" applyFill="1" applyBorder="1" applyAlignment="1" applyProtection="1">
      <alignment horizontal="left" vertical="center"/>
      <protection locked="0"/>
    </xf>
    <xf numFmtId="49" fontId="26" fillId="0" borderId="10" xfId="0" quotePrefix="1" applyNumberFormat="1" applyFont="1" applyFill="1" applyBorder="1" applyAlignment="1" applyProtection="1">
      <alignment vertical="center" wrapText="1"/>
      <protection locked="0"/>
    </xf>
    <xf numFmtId="169" fontId="29" fillId="0" borderId="0" xfId="0" applyNumberFormat="1" applyFont="1" applyFill="1" applyAlignment="1" applyProtection="1">
      <alignment vertical="center"/>
      <protection locked="0"/>
    </xf>
    <xf numFmtId="0" fontId="26" fillId="0" borderId="10" xfId="0" applyFont="1" applyFill="1" applyBorder="1" applyAlignment="1" applyProtection="1">
      <alignment horizontal="center" vertical="center" wrapText="1"/>
      <protection locked="0"/>
    </xf>
    <xf numFmtId="49" fontId="25" fillId="0" borderId="10" xfId="0" applyNumberFormat="1" applyFont="1" applyFill="1" applyBorder="1" applyAlignment="1" applyProtection="1">
      <alignment vertical="center" wrapText="1"/>
      <protection locked="0"/>
    </xf>
    <xf numFmtId="166" fontId="29" fillId="0" borderId="0" xfId="1" applyNumberFormat="1" applyFont="1" applyFill="1" applyBorder="1" applyAlignment="1" applyProtection="1">
      <alignment vertical="center"/>
      <protection locked="0"/>
    </xf>
    <xf numFmtId="166" fontId="29" fillId="0" borderId="10" xfId="1" applyNumberFormat="1" applyFont="1" applyFill="1" applyBorder="1" applyAlignment="1" applyProtection="1">
      <alignment horizontal="center" vertical="center"/>
      <protection locked="0"/>
    </xf>
    <xf numFmtId="167" fontId="26" fillId="0" borderId="10" xfId="1" quotePrefix="1" applyNumberFormat="1" applyFont="1" applyFill="1" applyBorder="1" applyAlignment="1" applyProtection="1">
      <alignment horizontal="center" vertical="center"/>
      <protection locked="0"/>
    </xf>
    <xf numFmtId="166" fontId="55" fillId="0" borderId="10" xfId="1" applyNumberFormat="1" applyFont="1" applyFill="1" applyBorder="1" applyAlignment="1" applyProtection="1">
      <alignment vertical="center"/>
      <protection locked="0"/>
    </xf>
    <xf numFmtId="167" fontId="55" fillId="0" borderId="0" xfId="1" applyNumberFormat="1" applyFont="1" applyFill="1" applyBorder="1" applyAlignment="1" applyProtection="1">
      <alignment vertical="center"/>
      <protection locked="0"/>
    </xf>
    <xf numFmtId="169" fontId="26" fillId="0" borderId="0" xfId="0" applyNumberFormat="1" applyFont="1" applyFill="1" applyAlignment="1" applyProtection="1">
      <alignment vertical="center"/>
      <protection locked="0"/>
    </xf>
    <xf numFmtId="166" fontId="26" fillId="0" borderId="0" xfId="1" applyNumberFormat="1" applyFont="1" applyFill="1" applyBorder="1" applyAlignment="1" applyProtection="1">
      <alignment vertical="center"/>
      <protection locked="0"/>
    </xf>
    <xf numFmtId="166" fontId="55" fillId="0" borderId="10" xfId="1" applyNumberFormat="1" applyFont="1" applyFill="1" applyBorder="1" applyAlignment="1" applyProtection="1">
      <alignment horizontal="center" vertical="center"/>
      <protection locked="0"/>
    </xf>
    <xf numFmtId="0" fontId="25" fillId="0" borderId="10" xfId="0" applyFont="1" applyFill="1" applyBorder="1" applyAlignment="1" applyProtection="1">
      <alignment horizontal="center" vertical="center"/>
      <protection locked="0"/>
    </xf>
    <xf numFmtId="49" fontId="25" fillId="0" borderId="10" xfId="0" applyNumberFormat="1" applyFont="1" applyFill="1" applyBorder="1" applyAlignment="1" applyProtection="1">
      <alignment vertical="center"/>
      <protection locked="0"/>
    </xf>
    <xf numFmtId="0" fontId="26" fillId="0" borderId="13" xfId="0" applyFont="1" applyFill="1" applyBorder="1" applyAlignment="1" applyProtection="1">
      <alignment horizontal="center" vertical="center"/>
      <protection locked="0"/>
    </xf>
    <xf numFmtId="49" fontId="26" fillId="0" borderId="13" xfId="0" applyNumberFormat="1" applyFont="1" applyFill="1" applyBorder="1" applyAlignment="1" applyProtection="1">
      <alignment vertical="center"/>
      <protection locked="0"/>
    </xf>
    <xf numFmtId="166" fontId="26" fillId="0" borderId="13" xfId="1" applyNumberFormat="1" applyFont="1" applyFill="1" applyBorder="1" applyAlignment="1" applyProtection="1">
      <alignment vertical="center"/>
      <protection locked="0"/>
    </xf>
    <xf numFmtId="167" fontId="26" fillId="0" borderId="0" xfId="1" applyNumberFormat="1" applyFont="1" applyFill="1" applyBorder="1" applyProtection="1">
      <protection locked="0"/>
    </xf>
    <xf numFmtId="49" fontId="26" fillId="0" borderId="0" xfId="0" applyNumberFormat="1" applyFont="1" applyFill="1" applyProtection="1">
      <protection locked="0"/>
    </xf>
    <xf numFmtId="0" fontId="42" fillId="0" borderId="0" xfId="0" applyFont="1" applyFill="1" applyAlignment="1" applyProtection="1">
      <alignment vertical="top"/>
      <protection locked="0"/>
    </xf>
    <xf numFmtId="166" fontId="29" fillId="0" borderId="0" xfId="1" applyNumberFormat="1" applyFont="1" applyFill="1" applyProtection="1">
      <protection locked="0"/>
    </xf>
    <xf numFmtId="167" fontId="29" fillId="0" borderId="0" xfId="1" applyNumberFormat="1" applyFont="1" applyFill="1" applyProtection="1">
      <protection locked="0"/>
    </xf>
    <xf numFmtId="0" fontId="29" fillId="0" borderId="0" xfId="0" applyFont="1" applyFill="1" applyProtection="1">
      <protection locked="0"/>
    </xf>
    <xf numFmtId="0" fontId="66" fillId="0" borderId="0" xfId="0" applyFont="1" applyFill="1" applyAlignment="1" applyProtection="1">
      <alignment vertical="top"/>
      <protection locked="0"/>
    </xf>
    <xf numFmtId="0" fontId="42" fillId="0" borderId="0" xfId="0" applyFont="1" applyFill="1" applyAlignment="1" applyProtection="1">
      <protection locked="0"/>
    </xf>
    <xf numFmtId="0" fontId="25" fillId="0" borderId="0" xfId="0" applyFont="1" applyFill="1" applyAlignment="1" applyProtection="1">
      <alignment horizontal="left"/>
      <protection locked="0"/>
    </xf>
    <xf numFmtId="0" fontId="29" fillId="6" borderId="10" xfId="0" applyFont="1" applyFill="1" applyBorder="1" applyAlignment="1" applyProtection="1">
      <alignment horizontal="center" vertical="center"/>
      <protection locked="0"/>
    </xf>
    <xf numFmtId="49" fontId="29" fillId="6" borderId="10" xfId="0" applyNumberFormat="1" applyFont="1" applyFill="1" applyBorder="1" applyAlignment="1" applyProtection="1">
      <alignment horizontal="left" vertical="center"/>
      <protection locked="0"/>
    </xf>
    <xf numFmtId="166" fontId="29" fillId="6" borderId="10" xfId="1" applyNumberFormat="1" applyFont="1" applyFill="1" applyBorder="1" applyAlignment="1" applyProtection="1">
      <alignment vertical="center"/>
      <protection locked="0"/>
    </xf>
    <xf numFmtId="0" fontId="26" fillId="0" borderId="0" xfId="0" applyFont="1" applyFill="1" applyBorder="1" applyAlignment="1" applyProtection="1">
      <alignment horizontal="center" vertical="center"/>
      <protection locked="0"/>
    </xf>
    <xf numFmtId="49" fontId="26" fillId="0" borderId="0" xfId="0" applyNumberFormat="1" applyFont="1" applyFill="1" applyBorder="1" applyAlignment="1" applyProtection="1">
      <alignment vertical="center"/>
      <protection locked="0"/>
    </xf>
    <xf numFmtId="0" fontId="26" fillId="6" borderId="0" xfId="0" applyFont="1" applyFill="1" applyBorder="1" applyAlignment="1" applyProtection="1">
      <alignment horizontal="center" vertical="center"/>
      <protection locked="0"/>
    </xf>
    <xf numFmtId="49" fontId="26" fillId="6" borderId="0" xfId="0" applyNumberFormat="1" applyFont="1" applyFill="1" applyBorder="1" applyAlignment="1" applyProtection="1">
      <alignment vertical="center"/>
      <protection locked="0"/>
    </xf>
    <xf numFmtId="166" fontId="26" fillId="6" borderId="0" xfId="1" applyNumberFormat="1" applyFont="1" applyFill="1" applyBorder="1" applyAlignment="1" applyProtection="1">
      <alignment vertical="center"/>
      <protection locked="0"/>
    </xf>
    <xf numFmtId="0" fontId="29" fillId="14" borderId="10" xfId="0" applyFont="1" applyFill="1" applyBorder="1" applyAlignment="1" applyProtection="1">
      <alignment horizontal="center" vertical="center"/>
      <protection locked="0"/>
    </xf>
    <xf numFmtId="49" fontId="29" fillId="14" borderId="10" xfId="0" applyNumberFormat="1" applyFont="1" applyFill="1" applyBorder="1" applyAlignment="1" applyProtection="1">
      <alignment horizontal="center" vertical="center"/>
      <protection locked="0"/>
    </xf>
    <xf numFmtId="166" fontId="29" fillId="14" borderId="10" xfId="1" applyNumberFormat="1" applyFont="1" applyFill="1" applyBorder="1" applyAlignment="1" applyProtection="1">
      <alignment vertical="center"/>
      <protection locked="0"/>
    </xf>
    <xf numFmtId="0" fontId="67" fillId="0" borderId="8" xfId="0" applyFont="1" applyFill="1" applyBorder="1" applyAlignment="1" applyProtection="1">
      <alignment horizontal="center"/>
      <protection locked="0"/>
    </xf>
    <xf numFmtId="49" fontId="67" fillId="0" borderId="8" xfId="0" applyNumberFormat="1" applyFont="1" applyFill="1" applyBorder="1" applyAlignment="1" applyProtection="1">
      <protection locked="0"/>
    </xf>
    <xf numFmtId="41" fontId="67" fillId="0" borderId="8" xfId="0" applyNumberFormat="1" applyFont="1" applyFill="1" applyBorder="1" applyAlignment="1" applyProtection="1">
      <alignment horizontal="right"/>
      <protection locked="0"/>
    </xf>
    <xf numFmtId="49" fontId="67" fillId="0" borderId="8" xfId="0" quotePrefix="1" applyNumberFormat="1" applyFont="1" applyFill="1" applyBorder="1" applyAlignment="1" applyProtection="1">
      <alignment wrapText="1"/>
      <protection locked="0"/>
    </xf>
    <xf numFmtId="0" fontId="67" fillId="0" borderId="8" xfId="0" applyFont="1" applyFill="1" applyBorder="1" applyAlignment="1" applyProtection="1">
      <alignment horizontal="right"/>
      <protection locked="0"/>
    </xf>
    <xf numFmtId="0" fontId="67" fillId="0" borderId="8" xfId="0" applyFont="1" applyFill="1" applyBorder="1" applyAlignment="1" applyProtection="1">
      <alignment horizontal="center" wrapText="1"/>
      <protection locked="0"/>
    </xf>
    <xf numFmtId="49" fontId="46" fillId="0" borderId="8" xfId="0" applyNumberFormat="1" applyFont="1" applyFill="1" applyBorder="1" applyAlignment="1" applyProtection="1">
      <alignment wrapText="1"/>
      <protection locked="0"/>
    </xf>
    <xf numFmtId="0" fontId="67" fillId="0" borderId="8" xfId="0" applyFont="1" applyFill="1" applyBorder="1" applyAlignment="1" applyProtection="1">
      <alignment horizontal="right" wrapText="1"/>
      <protection locked="0"/>
    </xf>
    <xf numFmtId="41" fontId="35" fillId="4" borderId="8" xfId="0" applyNumberFormat="1" applyFont="1" applyFill="1" applyBorder="1" applyAlignment="1" applyProtection="1">
      <alignment horizontal="right"/>
      <protection locked="0"/>
    </xf>
    <xf numFmtId="167" fontId="55" fillId="0" borderId="10" xfId="1" quotePrefix="1" applyNumberFormat="1" applyFont="1" applyFill="1" applyBorder="1" applyAlignment="1">
      <alignment horizontal="right" vertical="center"/>
    </xf>
    <xf numFmtId="167" fontId="60" fillId="0" borderId="10" xfId="0" applyNumberFormat="1" applyFont="1" applyFill="1" applyBorder="1" applyAlignment="1">
      <alignment horizontal="right" vertical="center"/>
    </xf>
    <xf numFmtId="167" fontId="59" fillId="0" borderId="10" xfId="0" quotePrefix="1" applyNumberFormat="1" applyFont="1" applyFill="1" applyBorder="1" applyAlignment="1">
      <alignment horizontal="right" vertical="center"/>
    </xf>
    <xf numFmtId="167" fontId="59" fillId="0" borderId="10" xfId="0" applyNumberFormat="1" applyFont="1" applyFill="1" applyBorder="1" applyAlignment="1">
      <alignment horizontal="right" vertical="center"/>
    </xf>
    <xf numFmtId="167" fontId="60" fillId="0" borderId="10" xfId="0" quotePrefix="1" applyNumberFormat="1" applyFont="1" applyFill="1" applyBorder="1" applyAlignment="1">
      <alignment horizontal="right" vertical="center"/>
    </xf>
    <xf numFmtId="167" fontId="62" fillId="0" borderId="10" xfId="0" applyNumberFormat="1" applyFont="1" applyFill="1" applyBorder="1" applyAlignment="1">
      <alignment horizontal="right" vertical="center"/>
    </xf>
    <xf numFmtId="167" fontId="62" fillId="0" borderId="10" xfId="0" quotePrefix="1" applyNumberFormat="1" applyFont="1" applyFill="1" applyBorder="1" applyAlignment="1">
      <alignment horizontal="right" vertical="center"/>
    </xf>
    <xf numFmtId="167" fontId="35" fillId="4" borderId="8" xfId="0" applyNumberFormat="1" applyFont="1" applyFill="1" applyBorder="1" applyAlignment="1" applyProtection="1">
      <alignment horizontal="right"/>
      <protection locked="0"/>
    </xf>
    <xf numFmtId="167" fontId="67" fillId="4" borderId="8" xfId="0" applyNumberFormat="1" applyFont="1" applyFill="1" applyBorder="1" applyAlignment="1" applyProtection="1">
      <alignment horizontal="right"/>
      <protection locked="0"/>
    </xf>
    <xf numFmtId="167" fontId="67" fillId="0" borderId="8" xfId="0" applyNumberFormat="1" applyFont="1" applyFill="1" applyBorder="1" applyAlignment="1" applyProtection="1">
      <alignment horizontal="right"/>
      <protection locked="0"/>
    </xf>
    <xf numFmtId="167" fontId="67" fillId="0" borderId="8" xfId="0" applyNumberFormat="1" applyFont="1" applyFill="1" applyBorder="1" applyAlignment="1" applyProtection="1">
      <alignment horizontal="right" wrapText="1"/>
      <protection locked="0"/>
    </xf>
    <xf numFmtId="167" fontId="29" fillId="14" borderId="10" xfId="1" applyNumberFormat="1" applyFont="1" applyFill="1" applyBorder="1" applyAlignment="1" applyProtection="1">
      <alignment horizontal="right" vertical="center"/>
      <protection locked="0"/>
    </xf>
    <xf numFmtId="167" fontId="29" fillId="6" borderId="10" xfId="1" applyNumberFormat="1" applyFont="1" applyFill="1" applyBorder="1" applyAlignment="1" applyProtection="1">
      <alignment horizontal="right" vertical="center"/>
      <protection locked="0"/>
    </xf>
    <xf numFmtId="167" fontId="29" fillId="0" borderId="10" xfId="1" applyNumberFormat="1" applyFont="1" applyFill="1" applyBorder="1" applyAlignment="1" applyProtection="1">
      <alignment horizontal="right" vertical="center"/>
      <protection locked="0"/>
    </xf>
    <xf numFmtId="167" fontId="55" fillId="0" borderId="10" xfId="0" applyNumberFormat="1" applyFont="1" applyFill="1" applyBorder="1" applyAlignment="1" applyProtection="1">
      <alignment horizontal="right" vertical="center"/>
      <protection locked="0"/>
    </xf>
    <xf numFmtId="167" fontId="56" fillId="0" borderId="10" xfId="0" applyNumberFormat="1" applyFont="1" applyFill="1" applyBorder="1" applyAlignment="1">
      <alignment horizontal="right" vertical="center"/>
    </xf>
    <xf numFmtId="167" fontId="55" fillId="0" borderId="10" xfId="0" applyNumberFormat="1" applyFont="1" applyFill="1" applyBorder="1" applyAlignment="1" applyProtection="1">
      <alignment horizontal="right" vertical="center" wrapText="1"/>
      <protection locked="0"/>
    </xf>
    <xf numFmtId="167" fontId="55" fillId="0" borderId="10" xfId="0" applyNumberFormat="1" applyFont="1" applyFill="1" applyBorder="1" applyAlignment="1">
      <alignment horizontal="right" vertical="center"/>
    </xf>
    <xf numFmtId="167" fontId="57" fillId="0" borderId="10" xfId="0" applyNumberFormat="1" applyFont="1" applyFill="1" applyBorder="1" applyAlignment="1">
      <alignment horizontal="right" vertical="center"/>
    </xf>
    <xf numFmtId="167" fontId="26" fillId="0" borderId="10" xfId="0" applyNumberFormat="1" applyFont="1" applyFill="1" applyBorder="1" applyAlignment="1" applyProtection="1">
      <alignment horizontal="right" vertical="center"/>
      <protection locked="0"/>
    </xf>
    <xf numFmtId="167" fontId="55" fillId="0" borderId="10" xfId="1" applyNumberFormat="1" applyFont="1" applyFill="1" applyBorder="1" applyAlignment="1">
      <alignment horizontal="right" vertical="center" wrapText="1"/>
    </xf>
    <xf numFmtId="167" fontId="29" fillId="0" borderId="10" xfId="0" applyNumberFormat="1" applyFont="1" applyFill="1" applyBorder="1" applyAlignment="1" applyProtection="1">
      <alignment horizontal="right" vertical="center"/>
      <protection locked="0"/>
    </xf>
    <xf numFmtId="167" fontId="57" fillId="0" borderId="10" xfId="0" applyNumberFormat="1" applyFont="1" applyFill="1" applyBorder="1" applyAlignment="1" applyProtection="1">
      <alignment horizontal="right" vertical="center"/>
      <protection locked="0"/>
    </xf>
    <xf numFmtId="167" fontId="55" fillId="0" borderId="10" xfId="1" applyNumberFormat="1" applyFont="1" applyFill="1" applyBorder="1" applyAlignment="1" applyProtection="1">
      <alignment horizontal="right" vertical="center"/>
      <protection locked="0"/>
    </xf>
    <xf numFmtId="167" fontId="63" fillId="0" borderId="10" xfId="1" quotePrefix="1" applyNumberFormat="1" applyFont="1" applyFill="1" applyBorder="1" applyAlignment="1" applyProtection="1">
      <alignment horizontal="right" vertical="center"/>
      <protection locked="0"/>
    </xf>
    <xf numFmtId="167" fontId="26" fillId="0" borderId="10" xfId="1" applyNumberFormat="1" applyFont="1" applyFill="1" applyBorder="1" applyAlignment="1" applyProtection="1">
      <alignment horizontal="right" vertical="center"/>
      <protection locked="0"/>
    </xf>
    <xf numFmtId="167" fontId="26" fillId="0" borderId="13" xfId="1" applyNumberFormat="1" applyFont="1" applyFill="1" applyBorder="1" applyAlignment="1" applyProtection="1">
      <alignment horizontal="right" vertical="center"/>
      <protection locked="0"/>
    </xf>
    <xf numFmtId="167" fontId="26" fillId="6" borderId="0" xfId="1" applyNumberFormat="1" applyFont="1" applyFill="1" applyBorder="1" applyAlignment="1" applyProtection="1">
      <alignment horizontal="right" vertical="center"/>
      <protection locked="0"/>
    </xf>
    <xf numFmtId="167" fontId="3" fillId="0" borderId="0" xfId="1" applyNumberFormat="1" applyFont="1" applyAlignment="1" applyProtection="1">
      <alignment horizontal="left" vertical="center"/>
      <protection locked="0"/>
    </xf>
    <xf numFmtId="167" fontId="3" fillId="0" borderId="0" xfId="1" applyNumberFormat="1" applyFont="1" applyAlignment="1" applyProtection="1">
      <alignment vertical="center"/>
      <protection locked="0"/>
    </xf>
    <xf numFmtId="167" fontId="9" fillId="0" borderId="0" xfId="1" applyNumberFormat="1" applyFont="1" applyAlignment="1" applyProtection="1">
      <alignment horizontal="center" vertical="center"/>
      <protection locked="0"/>
    </xf>
    <xf numFmtId="167" fontId="11" fillId="0" borderId="0" xfId="1" applyNumberFormat="1" applyFont="1" applyAlignment="1" applyProtection="1">
      <alignment horizontal="center" vertical="center"/>
      <protection locked="0"/>
    </xf>
    <xf numFmtId="167" fontId="4" fillId="0" borderId="0" xfId="1" applyNumberFormat="1" applyFont="1" applyAlignment="1" applyProtection="1">
      <alignment horizontal="center" vertical="center" wrapText="1"/>
      <protection locked="0"/>
    </xf>
    <xf numFmtId="0" fontId="4" fillId="0" borderId="10" xfId="3" quotePrefix="1" applyNumberFormat="1" applyFont="1" applyBorder="1" applyAlignment="1" applyProtection="1">
      <alignment horizontal="center" vertical="center"/>
      <protection locked="0"/>
    </xf>
    <xf numFmtId="0" fontId="4" fillId="0" borderId="10" xfId="1" quotePrefix="1" applyNumberFormat="1" applyFont="1" applyBorder="1" applyAlignment="1" applyProtection="1">
      <alignment horizontal="center" vertical="center"/>
      <protection locked="0"/>
    </xf>
    <xf numFmtId="167" fontId="4" fillId="0" borderId="10" xfId="1" quotePrefix="1" applyNumberFormat="1" applyFont="1" applyBorder="1" applyAlignment="1" applyProtection="1">
      <alignment horizontal="center" vertical="center"/>
      <protection locked="0"/>
    </xf>
    <xf numFmtId="167" fontId="4" fillId="0" borderId="10" xfId="1" applyNumberFormat="1" applyFont="1" applyBorder="1" applyAlignment="1" applyProtection="1">
      <alignment horizontal="center" vertical="center"/>
      <protection locked="0"/>
    </xf>
    <xf numFmtId="0" fontId="4" fillId="7" borderId="10" xfId="1" quotePrefix="1" applyNumberFormat="1" applyFont="1" applyFill="1" applyBorder="1" applyAlignment="1" applyProtection="1">
      <alignment horizontal="center" vertical="center"/>
      <protection locked="0"/>
    </xf>
    <xf numFmtId="0" fontId="4" fillId="7" borderId="10" xfId="3" quotePrefix="1" applyNumberFormat="1" applyFont="1" applyFill="1" applyBorder="1" applyAlignment="1" applyProtection="1">
      <alignment horizontal="center" vertical="center"/>
      <protection locked="0"/>
    </xf>
    <xf numFmtId="167" fontId="4" fillId="7" borderId="10" xfId="1" quotePrefix="1" applyNumberFormat="1" applyFont="1" applyFill="1" applyBorder="1" applyAlignment="1" applyProtection="1">
      <alignment horizontal="center" vertical="center"/>
      <protection locked="0"/>
    </xf>
    <xf numFmtId="167" fontId="4" fillId="7" borderId="10" xfId="1" applyNumberFormat="1" applyFont="1" applyFill="1" applyBorder="1" applyAlignment="1" applyProtection="1">
      <alignment horizontal="center" vertical="center"/>
      <protection locked="0"/>
    </xf>
    <xf numFmtId="0" fontId="4" fillId="7" borderId="0" xfId="0" applyNumberFormat="1" applyFont="1" applyFill="1" applyAlignment="1" applyProtection="1">
      <alignment horizontal="center" vertical="center"/>
      <protection locked="0"/>
    </xf>
    <xf numFmtId="167" fontId="4" fillId="12" borderId="10" xfId="1" quotePrefix="1" applyNumberFormat="1" applyFont="1" applyFill="1" applyBorder="1" applyAlignment="1" applyProtection="1">
      <alignment horizontal="center" vertical="center"/>
      <protection locked="0"/>
    </xf>
    <xf numFmtId="0" fontId="4" fillId="12" borderId="0" xfId="0" applyNumberFormat="1" applyFont="1" applyFill="1" applyAlignment="1" applyProtection="1">
      <alignment horizontal="center" vertical="center"/>
      <protection locked="0"/>
    </xf>
    <xf numFmtId="171" fontId="4" fillId="12" borderId="10" xfId="1" quotePrefix="1" applyNumberFormat="1" applyFont="1" applyFill="1" applyBorder="1" applyAlignment="1" applyProtection="1">
      <alignment horizontal="center" vertical="center"/>
      <protection locked="0"/>
    </xf>
    <xf numFmtId="172" fontId="4" fillId="12" borderId="10" xfId="1" quotePrefix="1" applyNumberFormat="1" applyFont="1" applyFill="1" applyBorder="1" applyAlignment="1" applyProtection="1">
      <alignment horizontal="center" vertical="center"/>
      <protection locked="0"/>
    </xf>
    <xf numFmtId="166" fontId="4" fillId="10" borderId="10" xfId="1" quotePrefix="1" applyNumberFormat="1" applyFont="1" applyFill="1" applyBorder="1" applyAlignment="1" applyProtection="1">
      <alignment horizontal="center" vertical="center"/>
      <protection locked="0"/>
    </xf>
    <xf numFmtId="167" fontId="4" fillId="10" borderId="10" xfId="1" quotePrefix="1" applyNumberFormat="1" applyFont="1" applyFill="1" applyBorder="1" applyAlignment="1" applyProtection="1">
      <alignment horizontal="center" vertical="center"/>
      <protection locked="0"/>
    </xf>
    <xf numFmtId="165" fontId="4" fillId="10" borderId="10" xfId="1" quotePrefix="1" applyNumberFormat="1" applyFont="1" applyFill="1" applyBorder="1" applyAlignment="1" applyProtection="1">
      <alignment horizontal="center" vertical="center"/>
      <protection locked="0"/>
    </xf>
    <xf numFmtId="0" fontId="4" fillId="10" borderId="0" xfId="0" applyNumberFormat="1" applyFont="1" applyFill="1" applyAlignment="1" applyProtection="1">
      <alignment horizontal="center" vertical="center"/>
      <protection locked="0"/>
    </xf>
    <xf numFmtId="166" fontId="4" fillId="0" borderId="10" xfId="1" quotePrefix="1" applyNumberFormat="1" applyFont="1" applyFill="1" applyBorder="1" applyAlignment="1" applyProtection="1">
      <alignment horizontal="center" vertical="center"/>
      <protection locked="0"/>
    </xf>
    <xf numFmtId="170" fontId="4" fillId="0" borderId="10" xfId="1" quotePrefix="1" applyNumberFormat="1" applyFont="1" applyFill="1" applyBorder="1" applyAlignment="1" applyProtection="1">
      <alignment horizontal="center" vertical="center"/>
      <protection locked="0"/>
    </xf>
    <xf numFmtId="0" fontId="4" fillId="0" borderId="10" xfId="1" quotePrefix="1" applyNumberFormat="1" applyFont="1" applyFill="1" applyBorder="1" applyAlignment="1" applyProtection="1">
      <alignment horizontal="center" vertical="center"/>
      <protection locked="0"/>
    </xf>
    <xf numFmtId="167" fontId="4" fillId="0" borderId="10" xfId="1" quotePrefix="1" applyNumberFormat="1" applyFont="1" applyFill="1" applyBorder="1" applyAlignment="1" applyProtection="1">
      <alignment horizontal="center" vertical="center"/>
      <protection locked="0"/>
    </xf>
    <xf numFmtId="0" fontId="68" fillId="0" borderId="10" xfId="1" quotePrefix="1" applyNumberFormat="1" applyFont="1" applyFill="1" applyBorder="1" applyAlignment="1" applyProtection="1">
      <alignment horizontal="center" vertical="center"/>
      <protection locked="0"/>
    </xf>
    <xf numFmtId="0" fontId="68" fillId="0" borderId="10" xfId="3" quotePrefix="1" applyNumberFormat="1" applyFont="1" applyFill="1" applyBorder="1" applyAlignment="1" applyProtection="1">
      <alignment horizontal="center" vertical="center"/>
      <protection locked="0"/>
    </xf>
    <xf numFmtId="167" fontId="68" fillId="0" borderId="10" xfId="1" quotePrefix="1" applyNumberFormat="1" applyFont="1" applyFill="1" applyBorder="1" applyAlignment="1" applyProtection="1">
      <alignment horizontal="center" vertical="center"/>
      <protection locked="0"/>
    </xf>
    <xf numFmtId="167" fontId="68" fillId="0" borderId="10" xfId="1" applyNumberFormat="1" applyFont="1" applyFill="1" applyBorder="1" applyAlignment="1" applyProtection="1">
      <alignment horizontal="center" vertical="center"/>
      <protection locked="0"/>
    </xf>
    <xf numFmtId="0" fontId="4" fillId="0" borderId="10" xfId="3" quotePrefix="1" applyNumberFormat="1" applyFont="1" applyFill="1" applyBorder="1" applyAlignment="1" applyProtection="1">
      <alignment horizontal="center" vertical="center"/>
      <protection locked="0"/>
    </xf>
    <xf numFmtId="167" fontId="4" fillId="0" borderId="10" xfId="1" applyNumberFormat="1" applyFont="1" applyFill="1" applyBorder="1" applyAlignment="1" applyProtection="1">
      <alignment horizontal="center" vertical="center"/>
      <protection locked="0"/>
    </xf>
    <xf numFmtId="0" fontId="4" fillId="13" borderId="10" xfId="1" quotePrefix="1" applyNumberFormat="1" applyFont="1" applyFill="1" applyBorder="1" applyAlignment="1" applyProtection="1">
      <alignment horizontal="center" vertical="center"/>
      <protection locked="0"/>
    </xf>
    <xf numFmtId="165" fontId="4" fillId="13" borderId="10" xfId="1" quotePrefix="1" applyNumberFormat="1" applyFont="1" applyFill="1" applyBorder="1" applyAlignment="1" applyProtection="1">
      <alignment horizontal="center" vertical="center"/>
      <protection locked="0"/>
    </xf>
    <xf numFmtId="166" fontId="4" fillId="13" borderId="10" xfId="1" quotePrefix="1" applyNumberFormat="1" applyFont="1" applyFill="1" applyBorder="1" applyAlignment="1" applyProtection="1">
      <alignment horizontal="center" vertical="center"/>
      <protection locked="0"/>
    </xf>
    <xf numFmtId="167" fontId="4" fillId="13" borderId="10" xfId="1" quotePrefix="1" applyNumberFormat="1" applyFont="1" applyFill="1" applyBorder="1" applyAlignment="1" applyProtection="1">
      <alignment horizontal="center" vertical="center"/>
      <protection locked="0"/>
    </xf>
    <xf numFmtId="170" fontId="4" fillId="13" borderId="10" xfId="1" quotePrefix="1" applyNumberFormat="1" applyFont="1" applyFill="1" applyBorder="1" applyAlignment="1" applyProtection="1">
      <alignment horizontal="center" vertical="center"/>
      <protection locked="0"/>
    </xf>
    <xf numFmtId="0" fontId="4" fillId="13" borderId="0" xfId="0" applyNumberFormat="1" applyFont="1" applyFill="1" applyAlignment="1" applyProtection="1">
      <alignment horizontal="center" vertical="center"/>
      <protection locked="0"/>
    </xf>
    <xf numFmtId="165" fontId="4" fillId="0" borderId="10" xfId="1" quotePrefix="1" applyNumberFormat="1" applyFont="1" applyBorder="1" applyAlignment="1" applyProtection="1">
      <alignment horizontal="center" vertical="center"/>
      <protection locked="0"/>
    </xf>
    <xf numFmtId="41" fontId="4" fillId="0" borderId="10" xfId="1" quotePrefix="1" applyNumberFormat="1" applyFont="1" applyBorder="1" applyAlignment="1" applyProtection="1">
      <alignment horizontal="center" vertical="center"/>
      <protection locked="0"/>
    </xf>
    <xf numFmtId="172" fontId="4" fillId="0" borderId="0" xfId="0" applyNumberFormat="1" applyFont="1" applyFill="1" applyAlignment="1" applyProtection="1">
      <alignment horizontal="center" vertical="center"/>
      <protection locked="0"/>
    </xf>
    <xf numFmtId="1" fontId="4" fillId="13" borderId="10" xfId="1" quotePrefix="1" applyNumberFormat="1" applyFont="1" applyFill="1" applyBorder="1" applyAlignment="1" applyProtection="1">
      <alignment horizontal="center" vertical="center"/>
      <protection locked="0"/>
    </xf>
    <xf numFmtId="0" fontId="4" fillId="10" borderId="10" xfId="1" quotePrefix="1" applyNumberFormat="1" applyFont="1" applyFill="1" applyBorder="1" applyAlignment="1" applyProtection="1">
      <alignment horizontal="center" vertical="center"/>
      <protection locked="0"/>
    </xf>
    <xf numFmtId="170" fontId="4" fillId="0" borderId="10" xfId="1" quotePrefix="1" applyNumberFormat="1" applyFont="1" applyBorder="1" applyAlignment="1" applyProtection="1">
      <alignment horizontal="right" vertical="center"/>
      <protection locked="0"/>
    </xf>
    <xf numFmtId="173" fontId="4" fillId="0" borderId="10" xfId="1" quotePrefix="1" applyNumberFormat="1" applyFont="1" applyBorder="1" applyAlignment="1" applyProtection="1">
      <alignment horizontal="right" vertical="center"/>
      <protection locked="0"/>
    </xf>
    <xf numFmtId="0" fontId="15" fillId="0" borderId="10" xfId="1" quotePrefix="1" applyNumberFormat="1" applyFont="1" applyBorder="1" applyAlignment="1" applyProtection="1">
      <alignment horizontal="center" vertical="center"/>
      <protection locked="0"/>
    </xf>
    <xf numFmtId="0" fontId="15" fillId="0" borderId="10" xfId="3" quotePrefix="1" applyNumberFormat="1" applyFont="1" applyBorder="1" applyAlignment="1" applyProtection="1">
      <alignment horizontal="center" vertical="center"/>
      <protection locked="0"/>
    </xf>
    <xf numFmtId="167" fontId="15" fillId="0" borderId="10" xfId="1" quotePrefix="1" applyNumberFormat="1" applyFont="1" applyBorder="1" applyAlignment="1" applyProtection="1">
      <alignment horizontal="center" vertical="center"/>
      <protection locked="0"/>
    </xf>
    <xf numFmtId="167" fontId="15" fillId="0" borderId="10" xfId="1" applyNumberFormat="1" applyFont="1" applyBorder="1" applyAlignment="1" applyProtection="1">
      <alignment horizontal="center" vertical="center"/>
      <protection locked="0"/>
    </xf>
    <xf numFmtId="1" fontId="4" fillId="10" borderId="10" xfId="1" quotePrefix="1" applyNumberFormat="1" applyFont="1" applyFill="1" applyBorder="1" applyAlignment="1" applyProtection="1">
      <alignment horizontal="right" vertical="center"/>
      <protection locked="0"/>
    </xf>
    <xf numFmtId="170" fontId="4" fillId="10" borderId="10" xfId="1" quotePrefix="1" applyNumberFormat="1" applyFont="1" applyFill="1" applyBorder="1" applyAlignment="1" applyProtection="1">
      <alignment horizontal="center" vertical="center"/>
      <protection locked="0"/>
    </xf>
    <xf numFmtId="1" fontId="4" fillId="0" borderId="10" xfId="1" quotePrefix="1" applyNumberFormat="1" applyFont="1" applyBorder="1" applyAlignment="1" applyProtection="1">
      <alignment horizontal="right" vertical="center"/>
      <protection locked="0"/>
    </xf>
    <xf numFmtId="1" fontId="4" fillId="10" borderId="10" xfId="1" quotePrefix="1" applyNumberFormat="1" applyFont="1" applyFill="1" applyBorder="1" applyAlignment="1" applyProtection="1">
      <alignment horizontal="center" vertical="center"/>
      <protection locked="0"/>
    </xf>
    <xf numFmtId="170" fontId="4" fillId="13" borderId="10" xfId="1" quotePrefix="1" applyNumberFormat="1" applyFont="1" applyFill="1" applyBorder="1" applyAlignment="1" applyProtection="1">
      <alignment horizontal="right" vertical="center"/>
      <protection locked="0"/>
    </xf>
    <xf numFmtId="1" fontId="4" fillId="13" borderId="10" xfId="1" quotePrefix="1" applyNumberFormat="1" applyFont="1" applyFill="1" applyBorder="1" applyAlignment="1" applyProtection="1">
      <alignment horizontal="right" vertical="center"/>
      <protection locked="0"/>
    </xf>
    <xf numFmtId="0" fontId="4" fillId="0" borderId="10" xfId="1" applyNumberFormat="1" applyFont="1" applyBorder="1" applyAlignment="1" applyProtection="1">
      <alignment horizontal="center" vertical="center"/>
      <protection locked="0"/>
    </xf>
    <xf numFmtId="166" fontId="4" fillId="0" borderId="10" xfId="1" quotePrefix="1" applyNumberFormat="1" applyFont="1" applyBorder="1" applyAlignment="1" applyProtection="1">
      <alignment horizontal="center" vertical="center"/>
      <protection locked="0"/>
    </xf>
    <xf numFmtId="0" fontId="4" fillId="0" borderId="13" xfId="1" quotePrefix="1" applyNumberFormat="1" applyFont="1" applyBorder="1" applyAlignment="1" applyProtection="1">
      <alignment horizontal="center" vertical="center"/>
      <protection locked="0"/>
    </xf>
    <xf numFmtId="0" fontId="4" fillId="0" borderId="13" xfId="3" quotePrefix="1" applyNumberFormat="1" applyFont="1" applyBorder="1" applyAlignment="1" applyProtection="1">
      <alignment horizontal="center" vertical="center"/>
      <protection locked="0"/>
    </xf>
    <xf numFmtId="167" fontId="4" fillId="0" borderId="13" xfId="1" quotePrefix="1" applyNumberFormat="1" applyFont="1" applyBorder="1" applyAlignment="1" applyProtection="1">
      <alignment horizontal="center" vertical="center"/>
      <protection locked="0"/>
    </xf>
    <xf numFmtId="167" fontId="4" fillId="0" borderId="13" xfId="1" applyNumberFormat="1" applyFont="1" applyBorder="1" applyAlignment="1" applyProtection="1">
      <alignment horizontal="center" vertical="center"/>
      <protection locked="0"/>
    </xf>
    <xf numFmtId="0" fontId="4" fillId="7" borderId="25" xfId="1" quotePrefix="1" applyNumberFormat="1" applyFont="1" applyFill="1" applyBorder="1" applyAlignment="1" applyProtection="1">
      <alignment horizontal="center" vertical="center"/>
      <protection locked="0"/>
    </xf>
    <xf numFmtId="0" fontId="4" fillId="7" borderId="25" xfId="3" quotePrefix="1" applyNumberFormat="1" applyFont="1" applyFill="1" applyBorder="1" applyAlignment="1" applyProtection="1">
      <alignment horizontal="center" vertical="center"/>
      <protection locked="0"/>
    </xf>
    <xf numFmtId="167" fontId="4" fillId="7" borderId="25" xfId="1" quotePrefix="1" applyNumberFormat="1" applyFont="1" applyFill="1" applyBorder="1" applyAlignment="1" applyProtection="1">
      <alignment horizontal="center" vertical="center"/>
      <protection locked="0"/>
    </xf>
    <xf numFmtId="167" fontId="4" fillId="7" borderId="25" xfId="1" applyNumberFormat="1" applyFont="1" applyFill="1" applyBorder="1" applyAlignment="1" applyProtection="1">
      <alignment horizontal="center" vertical="center"/>
      <protection locked="0"/>
    </xf>
    <xf numFmtId="0" fontId="4" fillId="12" borderId="10" xfId="1" quotePrefix="1" applyNumberFormat="1" applyFont="1" applyFill="1" applyBorder="1" applyAlignment="1" applyProtection="1">
      <alignment horizontal="center" vertical="center"/>
      <protection locked="0"/>
    </xf>
    <xf numFmtId="0" fontId="4" fillId="12" borderId="10" xfId="3" quotePrefix="1" applyNumberFormat="1" applyFont="1" applyFill="1" applyBorder="1" applyAlignment="1" applyProtection="1">
      <alignment horizontal="center" vertical="center"/>
      <protection locked="0"/>
    </xf>
    <xf numFmtId="167" fontId="4" fillId="12" borderId="10" xfId="1" applyNumberFormat="1" applyFont="1" applyFill="1" applyBorder="1" applyAlignment="1" applyProtection="1">
      <alignment horizontal="center" vertical="center"/>
      <protection locked="0"/>
    </xf>
    <xf numFmtId="0" fontId="4" fillId="13" borderId="10" xfId="3" quotePrefix="1" applyNumberFormat="1" applyFont="1" applyFill="1" applyBorder="1" applyAlignment="1" applyProtection="1">
      <alignment horizontal="center" vertical="center"/>
      <protection locked="0"/>
    </xf>
    <xf numFmtId="167" fontId="4" fillId="13" borderId="10" xfId="1" applyNumberFormat="1" applyFont="1" applyFill="1" applyBorder="1" applyAlignment="1" applyProtection="1">
      <alignment horizontal="center" vertical="center"/>
      <protection locked="0"/>
    </xf>
    <xf numFmtId="0" fontId="4" fillId="10" borderId="10" xfId="3" quotePrefix="1" applyNumberFormat="1" applyFont="1" applyFill="1" applyBorder="1" applyAlignment="1" applyProtection="1">
      <alignment horizontal="center" vertical="center"/>
      <protection locked="0"/>
    </xf>
    <xf numFmtId="167" fontId="4" fillId="10" borderId="10" xfId="1" applyNumberFormat="1" applyFont="1" applyFill="1" applyBorder="1" applyAlignment="1" applyProtection="1">
      <alignment horizontal="center" vertical="center"/>
      <protection locked="0"/>
    </xf>
    <xf numFmtId="0" fontId="3" fillId="9" borderId="10" xfId="0" applyFont="1" applyFill="1" applyBorder="1" applyAlignment="1" applyProtection="1">
      <alignment horizontal="center" vertical="center"/>
      <protection locked="0"/>
    </xf>
    <xf numFmtId="167" fontId="3" fillId="8" borderId="10" xfId="1" applyNumberFormat="1" applyFont="1" applyFill="1" applyBorder="1" applyAlignment="1" applyProtection="1">
      <alignment vertical="center"/>
    </xf>
    <xf numFmtId="167" fontId="3" fillId="9" borderId="10" xfId="1" applyNumberFormat="1" applyFont="1" applyFill="1" applyBorder="1" applyAlignment="1" applyProtection="1">
      <alignment vertical="center"/>
      <protection locked="0"/>
    </xf>
    <xf numFmtId="167" fontId="3" fillId="9" borderId="10" xfId="1" applyNumberFormat="1" applyFont="1" applyFill="1" applyBorder="1" applyAlignment="1" applyProtection="1">
      <alignment vertical="center"/>
    </xf>
    <xf numFmtId="0" fontId="3" fillId="0" borderId="10" xfId="0" applyFont="1" applyFill="1" applyBorder="1" applyAlignment="1" applyProtection="1">
      <alignment horizontal="center" vertical="center"/>
      <protection locked="0"/>
    </xf>
    <xf numFmtId="167" fontId="4" fillId="8" borderId="10" xfId="1" applyNumberFormat="1" applyFont="1" applyFill="1" applyBorder="1" applyAlignment="1" applyProtection="1">
      <alignment horizontal="center" vertical="center"/>
    </xf>
    <xf numFmtId="167" fontId="4" fillId="0" borderId="10" xfId="1" applyNumberFormat="1" applyFont="1" applyFill="1" applyBorder="1" applyAlignment="1" applyProtection="1">
      <alignment vertical="center"/>
      <protection locked="0"/>
    </xf>
    <xf numFmtId="167" fontId="4" fillId="8" borderId="10" xfId="1" applyNumberFormat="1" applyFont="1" applyFill="1" applyBorder="1" applyAlignment="1" applyProtection="1">
      <alignment vertical="center"/>
    </xf>
    <xf numFmtId="167" fontId="4" fillId="9" borderId="10" xfId="1" applyNumberFormat="1" applyFont="1" applyFill="1" applyBorder="1" applyAlignment="1" applyProtection="1">
      <alignment vertical="center"/>
    </xf>
    <xf numFmtId="167" fontId="4" fillId="9" borderId="10" xfId="1" applyNumberFormat="1" applyFont="1" applyFill="1" applyBorder="1" applyAlignment="1" applyProtection="1">
      <alignment horizontal="center" vertical="center"/>
    </xf>
    <xf numFmtId="167" fontId="4" fillId="9" borderId="10" xfId="1" quotePrefix="1" applyNumberFormat="1" applyFont="1" applyFill="1" applyBorder="1" applyAlignment="1" applyProtection="1">
      <alignment vertical="center"/>
    </xf>
    <xf numFmtId="167" fontId="3" fillId="9" borderId="10" xfId="1" quotePrefix="1" applyNumberFormat="1" applyFont="1" applyFill="1" applyBorder="1" applyAlignment="1" applyProtection="1">
      <alignment vertical="center"/>
    </xf>
    <xf numFmtId="167" fontId="4" fillId="0" borderId="10" xfId="1" applyNumberFormat="1" applyFont="1" applyFill="1" applyBorder="1" applyAlignment="1" applyProtection="1">
      <alignment horizontal="right" vertical="center"/>
      <protection locked="0"/>
    </xf>
    <xf numFmtId="0" fontId="19" fillId="0" borderId="13" xfId="3" quotePrefix="1" applyFont="1" applyBorder="1" applyAlignment="1" applyProtection="1">
      <alignment horizontal="center" vertical="center"/>
      <protection locked="0"/>
    </xf>
    <xf numFmtId="49" fontId="19" fillId="0" borderId="13" xfId="0" applyNumberFormat="1" applyFont="1" applyFill="1" applyBorder="1" applyAlignment="1" applyProtection="1">
      <alignment horizontal="right" vertical="center" wrapText="1"/>
      <protection locked="0"/>
    </xf>
    <xf numFmtId="166" fontId="19" fillId="0" borderId="13" xfId="1" applyNumberFormat="1" applyFont="1" applyFill="1" applyBorder="1" applyAlignment="1" applyProtection="1">
      <alignment horizontal="right" vertical="center" wrapText="1"/>
      <protection locked="0"/>
    </xf>
    <xf numFmtId="167" fontId="19" fillId="0" borderId="13" xfId="1" applyNumberFormat="1" applyFont="1" applyFill="1" applyBorder="1" applyAlignment="1" applyProtection="1">
      <alignment horizontal="right" vertical="center" wrapText="1"/>
      <protection locked="0"/>
    </xf>
    <xf numFmtId="167" fontId="19" fillId="0" borderId="13" xfId="1" applyNumberFormat="1" applyFont="1" applyBorder="1" applyAlignment="1" applyProtection="1">
      <alignment vertical="center"/>
      <protection locked="0"/>
    </xf>
    <xf numFmtId="167" fontId="19" fillId="0" borderId="0" xfId="1" applyNumberFormat="1" applyFont="1" applyFill="1" applyBorder="1" applyAlignment="1" applyProtection="1">
      <alignment horizontal="right" vertical="center" wrapText="1"/>
      <protection locked="0"/>
    </xf>
    <xf numFmtId="167" fontId="19" fillId="0" borderId="0" xfId="1" applyNumberFormat="1" applyFont="1" applyBorder="1" applyAlignment="1" applyProtection="1">
      <alignment vertical="center"/>
      <protection locked="0"/>
    </xf>
    <xf numFmtId="167" fontId="4" fillId="0" borderId="0" xfId="1" applyNumberFormat="1" applyFont="1" applyAlignment="1" applyProtection="1">
      <alignment vertical="center"/>
      <protection locked="0"/>
    </xf>
    <xf numFmtId="167" fontId="4" fillId="0" borderId="0" xfId="1" applyNumberFormat="1" applyFont="1" applyAlignment="1" applyProtection="1">
      <alignment horizontal="center" vertical="center"/>
      <protection locked="0"/>
    </xf>
    <xf numFmtId="167" fontId="17" fillId="0" borderId="0" xfId="1" applyNumberFormat="1" applyFont="1" applyAlignment="1" applyProtection="1">
      <alignment horizontal="center" vertical="center"/>
      <protection locked="0"/>
    </xf>
    <xf numFmtId="167" fontId="6" fillId="0" borderId="0" xfId="1" applyNumberFormat="1" applyFont="1" applyAlignment="1" applyProtection="1">
      <alignment vertical="center"/>
      <protection locked="0"/>
    </xf>
    <xf numFmtId="0" fontId="3" fillId="12" borderId="10" xfId="0" applyFont="1" applyFill="1" applyBorder="1" applyAlignment="1" applyProtection="1">
      <alignment horizontal="center" vertical="center"/>
      <protection locked="0"/>
    </xf>
    <xf numFmtId="49" fontId="3" fillId="12" borderId="10" xfId="0" applyNumberFormat="1" applyFont="1" applyFill="1" applyBorder="1" applyAlignment="1" applyProtection="1">
      <alignment horizontal="center" vertical="center"/>
      <protection locked="0"/>
    </xf>
    <xf numFmtId="0" fontId="4" fillId="0" borderId="10" xfId="0" applyFont="1" applyFill="1" applyBorder="1" applyAlignment="1" applyProtection="1">
      <alignment horizontal="center" vertical="center"/>
      <protection locked="0"/>
    </xf>
    <xf numFmtId="49" fontId="5" fillId="0" borderId="10" xfId="0" applyNumberFormat="1" applyFont="1" applyFill="1" applyBorder="1" applyAlignment="1" applyProtection="1">
      <alignment horizontal="left" vertical="center"/>
      <protection locked="0"/>
    </xf>
    <xf numFmtId="0" fontId="4" fillId="10" borderId="10" xfId="0" applyFont="1" applyFill="1" applyBorder="1" applyAlignment="1" applyProtection="1">
      <alignment horizontal="center" vertical="center"/>
      <protection locked="0"/>
    </xf>
    <xf numFmtId="49" fontId="4" fillId="10" borderId="10" xfId="0" applyNumberFormat="1" applyFont="1" applyFill="1" applyBorder="1" applyAlignment="1" applyProtection="1">
      <alignment vertical="center"/>
      <protection locked="0"/>
    </xf>
    <xf numFmtId="49" fontId="4" fillId="0" borderId="10" xfId="0" quotePrefix="1" applyNumberFormat="1" applyFont="1" applyFill="1" applyBorder="1" applyAlignment="1" applyProtection="1">
      <alignment vertical="center" wrapText="1"/>
      <protection locked="0"/>
    </xf>
    <xf numFmtId="39" fontId="4" fillId="0" borderId="10" xfId="1" applyNumberFormat="1" applyFont="1" applyFill="1" applyBorder="1" applyAlignment="1" applyProtection="1">
      <alignment horizontal="right" vertical="center"/>
      <protection locked="0"/>
    </xf>
    <xf numFmtId="167" fontId="4" fillId="0" borderId="10" xfId="1" applyNumberFormat="1" applyFont="1" applyFill="1" applyBorder="1" applyAlignment="1" applyProtection="1">
      <alignment horizontal="center" vertical="center"/>
    </xf>
    <xf numFmtId="167" fontId="4" fillId="0" borderId="10" xfId="1" quotePrefix="1" applyNumberFormat="1" applyFont="1" applyFill="1" applyBorder="1" applyAlignment="1" applyProtection="1">
      <alignment vertical="center"/>
      <protection locked="0"/>
    </xf>
    <xf numFmtId="167" fontId="68" fillId="0" borderId="10" xfId="1" applyNumberFormat="1" applyFont="1" applyFill="1" applyBorder="1" applyAlignment="1">
      <alignment horizontal="center" vertical="center" wrapText="1"/>
    </xf>
    <xf numFmtId="0" fontId="4" fillId="13" borderId="10" xfId="0" applyFont="1" applyFill="1" applyBorder="1" applyAlignment="1" applyProtection="1">
      <alignment horizontal="center" vertical="center" wrapText="1"/>
      <protection locked="0"/>
    </xf>
    <xf numFmtId="49" fontId="5" fillId="13" borderId="10" xfId="0" applyNumberFormat="1" applyFont="1" applyFill="1" applyBorder="1" applyAlignment="1" applyProtection="1">
      <alignment vertical="center" wrapText="1"/>
      <protection locked="0"/>
    </xf>
    <xf numFmtId="166" fontId="4" fillId="13" borderId="10" xfId="1" applyNumberFormat="1" applyFont="1" applyFill="1" applyBorder="1" applyAlignment="1" applyProtection="1">
      <alignment horizontal="center" vertical="center"/>
      <protection locked="0"/>
    </xf>
    <xf numFmtId="0" fontId="15" fillId="0" borderId="10" xfId="0" applyFont="1" applyFill="1" applyBorder="1" applyAlignment="1" applyProtection="1">
      <alignment horizontal="center" vertical="center" wrapText="1"/>
      <protection locked="0"/>
    </xf>
    <xf numFmtId="49" fontId="69" fillId="0" borderId="10" xfId="0" applyNumberFormat="1" applyFont="1" applyFill="1" applyBorder="1" applyAlignment="1" applyProtection="1">
      <alignment vertical="center" wrapText="1"/>
      <protection locked="0"/>
    </xf>
    <xf numFmtId="166" fontId="15" fillId="0" borderId="10" xfId="1" applyNumberFormat="1" applyFont="1" applyFill="1" applyBorder="1" applyAlignment="1" applyProtection="1">
      <alignment horizontal="center" vertical="center"/>
      <protection locked="0"/>
    </xf>
    <xf numFmtId="167" fontId="15" fillId="0" borderId="10" xfId="1" applyNumberFormat="1" applyFont="1" applyFill="1" applyBorder="1" applyAlignment="1" applyProtection="1">
      <alignment horizontal="center" vertical="center"/>
      <protection locked="0"/>
    </xf>
    <xf numFmtId="0" fontId="15" fillId="0" borderId="0" xfId="0" applyNumberFormat="1" applyFont="1" applyFill="1" applyAlignment="1" applyProtection="1">
      <alignment horizontal="center" vertical="center"/>
      <protection locked="0"/>
    </xf>
    <xf numFmtId="167" fontId="68" fillId="0" borderId="10" xfId="1" quotePrefix="1" applyNumberFormat="1" applyFont="1" applyFill="1" applyBorder="1" applyAlignment="1" applyProtection="1">
      <alignment vertical="center"/>
      <protection locked="0"/>
    </xf>
    <xf numFmtId="43" fontId="4" fillId="0" borderId="10" xfId="1" quotePrefix="1" applyNumberFormat="1" applyFont="1" applyFill="1" applyBorder="1" applyAlignment="1" applyProtection="1">
      <alignment vertical="center"/>
      <protection locked="0"/>
    </xf>
    <xf numFmtId="168" fontId="4" fillId="0" borderId="10" xfId="0" applyNumberFormat="1" applyFont="1" applyFill="1" applyBorder="1" applyAlignment="1">
      <alignment horizontal="center" vertical="center"/>
    </xf>
    <xf numFmtId="168" fontId="4" fillId="0" borderId="10" xfId="0" quotePrefix="1" applyNumberFormat="1" applyFont="1" applyFill="1" applyBorder="1" applyAlignment="1">
      <alignment horizontal="center" vertical="center"/>
    </xf>
    <xf numFmtId="167" fontId="4" fillId="0" borderId="10" xfId="1" quotePrefix="1" applyNumberFormat="1" applyFont="1" applyFill="1" applyBorder="1" applyAlignment="1" applyProtection="1">
      <alignment horizontal="right" vertical="center"/>
      <protection locked="0"/>
    </xf>
    <xf numFmtId="49" fontId="70" fillId="10" borderId="10" xfId="0" applyNumberFormat="1" applyFont="1" applyFill="1" applyBorder="1" applyAlignment="1" applyProtection="1">
      <alignment vertical="center"/>
      <protection locked="0"/>
    </xf>
    <xf numFmtId="0" fontId="5" fillId="13" borderId="10" xfId="0" applyFont="1" applyFill="1" applyBorder="1" applyAlignment="1" applyProtection="1">
      <alignment horizontal="center" vertical="center"/>
      <protection locked="0"/>
    </xf>
    <xf numFmtId="49" fontId="5" fillId="13" borderId="10" xfId="0" applyNumberFormat="1" applyFont="1" applyFill="1" applyBorder="1" applyAlignment="1" applyProtection="1">
      <alignment vertical="center"/>
      <protection locked="0"/>
    </xf>
    <xf numFmtId="0" fontId="5" fillId="0" borderId="10" xfId="0" applyFont="1" applyFill="1" applyBorder="1" applyAlignment="1" applyProtection="1">
      <alignment horizontal="center" vertical="center"/>
      <protection locked="0"/>
    </xf>
    <xf numFmtId="0" fontId="5" fillId="0" borderId="13" xfId="0" applyFont="1" applyFill="1" applyBorder="1" applyAlignment="1" applyProtection="1">
      <alignment horizontal="center" vertical="center"/>
      <protection locked="0"/>
    </xf>
    <xf numFmtId="49" fontId="5" fillId="0" borderId="10" xfId="0" applyNumberFormat="1" applyFont="1" applyFill="1" applyBorder="1" applyAlignment="1" applyProtection="1">
      <alignment vertical="center" wrapText="1"/>
      <protection locked="0"/>
    </xf>
    <xf numFmtId="0" fontId="3" fillId="7" borderId="10" xfId="0" applyFont="1" applyFill="1" applyBorder="1" applyAlignment="1" applyProtection="1">
      <alignment horizontal="center" vertical="center"/>
      <protection locked="0"/>
    </xf>
    <xf numFmtId="49" fontId="3" fillId="7" borderId="10" xfId="0" applyNumberFormat="1" applyFont="1" applyFill="1" applyBorder="1" applyAlignment="1" applyProtection="1">
      <alignment horizontal="center" vertical="center"/>
      <protection locked="0"/>
    </xf>
    <xf numFmtId="49" fontId="68" fillId="0" borderId="10" xfId="0" applyNumberFormat="1" applyFont="1" applyFill="1" applyBorder="1" applyAlignment="1">
      <alignment horizontal="left" vertical="center"/>
    </xf>
    <xf numFmtId="167" fontId="68" fillId="0" borderId="10" xfId="1" applyNumberFormat="1" applyFont="1" applyFill="1" applyBorder="1" applyAlignment="1" applyProtection="1">
      <alignment horizontal="center" vertical="center"/>
    </xf>
    <xf numFmtId="43" fontId="68" fillId="0" borderId="10" xfId="1" applyFont="1" applyFill="1" applyBorder="1" applyAlignment="1" applyProtection="1">
      <alignment horizontal="center" vertical="center"/>
    </xf>
    <xf numFmtId="39" fontId="4" fillId="0" borderId="10" xfId="1" quotePrefix="1" applyNumberFormat="1" applyFont="1" applyFill="1" applyBorder="1" applyAlignment="1">
      <alignment horizontal="center" vertical="center"/>
    </xf>
    <xf numFmtId="39" fontId="68" fillId="0" borderId="10" xfId="1" quotePrefix="1" applyNumberFormat="1" applyFont="1" applyFill="1" applyBorder="1" applyAlignment="1">
      <alignment horizontal="center" vertical="center"/>
    </xf>
    <xf numFmtId="0" fontId="4" fillId="0" borderId="10" xfId="0" applyFont="1" applyFill="1" applyBorder="1" applyAlignment="1">
      <alignment horizontal="left" vertical="center"/>
    </xf>
    <xf numFmtId="0" fontId="4" fillId="0" borderId="10" xfId="0" applyFont="1" applyFill="1" applyBorder="1" applyAlignment="1">
      <alignment horizontal="left" vertical="center" wrapText="1"/>
    </xf>
    <xf numFmtId="0" fontId="4" fillId="0" borderId="10" xfId="0" applyFont="1" applyFill="1" applyBorder="1" applyAlignment="1">
      <alignment vertical="center"/>
    </xf>
    <xf numFmtId="0" fontId="4" fillId="0" borderId="10" xfId="0" applyFont="1" applyFill="1" applyBorder="1" applyAlignment="1" applyProtection="1">
      <alignment horizontal="left" vertical="center"/>
      <protection locked="0"/>
    </xf>
    <xf numFmtId="0" fontId="4" fillId="0" borderId="10" xfId="0" quotePrefix="1" applyFont="1" applyFill="1" applyBorder="1" applyAlignment="1" applyProtection="1">
      <alignment horizontal="left" vertical="center"/>
      <protection locked="0"/>
    </xf>
    <xf numFmtId="0" fontId="3" fillId="7" borderId="25" xfId="0" applyFont="1" applyFill="1" applyBorder="1" applyAlignment="1" applyProtection="1">
      <alignment horizontal="center" vertical="center"/>
      <protection locked="0"/>
    </xf>
    <xf numFmtId="49" fontId="3" fillId="7" borderId="25" xfId="0" applyNumberFormat="1" applyFont="1" applyFill="1" applyBorder="1" applyAlignment="1" applyProtection="1">
      <alignment horizontal="center" vertical="center"/>
      <protection locked="0"/>
    </xf>
    <xf numFmtId="49" fontId="29" fillId="0" borderId="0" xfId="0" applyNumberFormat="1" applyFont="1" applyFill="1" applyBorder="1" applyAlignment="1" applyProtection="1">
      <alignment vertical="center"/>
      <protection locked="0"/>
    </xf>
    <xf numFmtId="0" fontId="29" fillId="0" borderId="8" xfId="0" applyFont="1" applyFill="1" applyBorder="1" applyAlignment="1" applyProtection="1">
      <alignment horizontal="center" vertical="center"/>
      <protection locked="0"/>
    </xf>
    <xf numFmtId="0" fontId="26" fillId="0" borderId="8" xfId="1" applyNumberFormat="1" applyFont="1" applyFill="1" applyBorder="1" applyAlignment="1" applyProtection="1">
      <alignment horizontal="center" vertical="center"/>
      <protection locked="0"/>
    </xf>
    <xf numFmtId="0" fontId="26" fillId="0" borderId="8" xfId="1" applyNumberFormat="1" applyFont="1" applyFill="1" applyBorder="1" applyAlignment="1" applyProtection="1">
      <alignment horizontal="center"/>
      <protection locked="0"/>
    </xf>
    <xf numFmtId="0" fontId="26" fillId="0" borderId="8" xfId="0" applyNumberFormat="1" applyFont="1" applyFill="1" applyBorder="1" applyAlignment="1" applyProtection="1">
      <alignment horizontal="center"/>
      <protection locked="0"/>
    </xf>
    <xf numFmtId="0" fontId="26" fillId="0" borderId="0" xfId="0" applyNumberFormat="1" applyFont="1" applyFill="1" applyAlignment="1" applyProtection="1">
      <alignment horizontal="center"/>
      <protection locked="0"/>
    </xf>
    <xf numFmtId="0" fontId="67" fillId="0" borderId="0" xfId="0" applyFont="1" applyFill="1" applyBorder="1" applyAlignment="1" applyProtection="1">
      <alignment horizontal="center"/>
      <protection locked="0"/>
    </xf>
    <xf numFmtId="49" fontId="67" fillId="0" borderId="0" xfId="0" applyNumberFormat="1" applyFont="1" applyFill="1" applyBorder="1" applyAlignment="1" applyProtection="1">
      <protection locked="0"/>
    </xf>
    <xf numFmtId="0" fontId="67" fillId="0" borderId="0" xfId="0" applyFont="1" applyFill="1" applyBorder="1" applyAlignment="1" applyProtection="1">
      <alignment horizontal="right"/>
      <protection locked="0"/>
    </xf>
    <xf numFmtId="167" fontId="67" fillId="0" borderId="0" xfId="0" applyNumberFormat="1" applyFont="1" applyFill="1" applyBorder="1" applyAlignment="1" applyProtection="1">
      <alignment horizontal="right"/>
      <protection locked="0"/>
    </xf>
    <xf numFmtId="0" fontId="52" fillId="0" borderId="0" xfId="0" applyFont="1" applyFill="1" applyAlignment="1"/>
    <xf numFmtId="0" fontId="26" fillId="0" borderId="8" xfId="0" applyNumberFormat="1" applyFont="1" applyFill="1" applyBorder="1" applyAlignment="1" applyProtection="1">
      <alignment vertical="center"/>
      <protection locked="0"/>
    </xf>
    <xf numFmtId="0" fontId="26" fillId="0" borderId="0" xfId="1" applyNumberFormat="1" applyFont="1" applyFill="1" applyProtection="1">
      <protection locked="0"/>
    </xf>
    <xf numFmtId="0" fontId="26" fillId="0" borderId="0" xfId="0" applyNumberFormat="1" applyFont="1" applyFill="1" applyProtection="1">
      <protection locked="0"/>
    </xf>
    <xf numFmtId="0" fontId="26" fillId="0" borderId="0" xfId="1" applyNumberFormat="1" applyFont="1" applyFill="1" applyAlignment="1" applyProtection="1">
      <alignment horizontal="right"/>
      <protection locked="0"/>
    </xf>
    <xf numFmtId="0" fontId="29" fillId="0" borderId="8" xfId="1" applyNumberFormat="1" applyFont="1" applyFill="1" applyBorder="1" applyAlignment="1" applyProtection="1">
      <alignment vertical="center"/>
      <protection locked="0"/>
    </xf>
    <xf numFmtId="0" fontId="29" fillId="0" borderId="8" xfId="0" applyNumberFormat="1" applyFont="1" applyFill="1" applyBorder="1" applyAlignment="1" applyProtection="1">
      <alignment vertical="center"/>
      <protection locked="0"/>
    </xf>
    <xf numFmtId="0" fontId="29" fillId="0" borderId="0" xfId="0" applyNumberFormat="1" applyFont="1" applyFill="1" applyAlignment="1" applyProtection="1">
      <alignment vertical="center"/>
      <protection locked="0"/>
    </xf>
    <xf numFmtId="0" fontId="29" fillId="0" borderId="0" xfId="0" applyNumberFormat="1" applyFont="1" applyFill="1" applyProtection="1">
      <protection locked="0"/>
    </xf>
    <xf numFmtId="0" fontId="26" fillId="0" borderId="0" xfId="0" applyNumberFormat="1" applyFont="1" applyFill="1" applyAlignment="1" applyProtection="1">
      <alignment horizontal="center" wrapText="1"/>
      <protection locked="0"/>
    </xf>
    <xf numFmtId="0" fontId="29" fillId="0" borderId="8" xfId="0" applyNumberFormat="1" applyFont="1" applyFill="1" applyBorder="1" applyAlignment="1" applyProtection="1">
      <alignment horizontal="center"/>
      <protection locked="0"/>
    </xf>
    <xf numFmtId="0" fontId="26" fillId="0" borderId="0" xfId="1" applyNumberFormat="1" applyFont="1" applyFill="1" applyAlignment="1" applyProtection="1">
      <alignment horizontal="center"/>
      <protection locked="0"/>
    </xf>
    <xf numFmtId="0" fontId="26" fillId="0" borderId="8" xfId="1" applyNumberFormat="1" applyFont="1" applyFill="1" applyBorder="1" applyAlignment="1" applyProtection="1">
      <alignment vertical="center"/>
      <protection locked="0"/>
    </xf>
    <xf numFmtId="0" fontId="28" fillId="0" borderId="8" xfId="0" applyNumberFormat="1" applyFont="1" applyFill="1" applyBorder="1" applyAlignment="1">
      <alignment vertical="center"/>
    </xf>
    <xf numFmtId="0" fontId="29" fillId="0" borderId="8" xfId="1" applyNumberFormat="1" applyFont="1" applyFill="1" applyBorder="1" applyProtection="1">
      <protection locked="0"/>
    </xf>
    <xf numFmtId="0" fontId="29" fillId="0" borderId="8" xfId="0" applyNumberFormat="1" applyFont="1" applyFill="1" applyBorder="1" applyProtection="1">
      <protection locked="0"/>
    </xf>
    <xf numFmtId="0" fontId="24" fillId="0" borderId="8" xfId="0" applyNumberFormat="1" applyFont="1" applyFill="1" applyBorder="1" applyAlignment="1">
      <alignment horizontal="center" vertical="center"/>
    </xf>
    <xf numFmtId="0" fontId="24" fillId="0" borderId="8" xfId="0" applyNumberFormat="1" applyFont="1" applyFill="1" applyBorder="1" applyAlignment="1">
      <alignment vertical="center"/>
    </xf>
    <xf numFmtId="0" fontId="26" fillId="0" borderId="8" xfId="1" applyNumberFormat="1" applyFont="1" applyFill="1" applyBorder="1" applyProtection="1">
      <protection locked="0"/>
    </xf>
    <xf numFmtId="0" fontId="26" fillId="0" borderId="8" xfId="0" applyNumberFormat="1" applyFont="1" applyFill="1" applyBorder="1" applyProtection="1">
      <protection locked="0"/>
    </xf>
    <xf numFmtId="0" fontId="24" fillId="0" borderId="8" xfId="1" applyNumberFormat="1" applyFont="1" applyFill="1" applyBorder="1" applyAlignment="1">
      <alignment horizontal="center" vertical="center"/>
    </xf>
    <xf numFmtId="166" fontId="24" fillId="0" borderId="8" xfId="1" applyNumberFormat="1" applyFont="1" applyFill="1" applyBorder="1" applyAlignment="1">
      <alignment horizontal="center" vertical="center"/>
    </xf>
    <xf numFmtId="0" fontId="26" fillId="0" borderId="8" xfId="1" applyNumberFormat="1" applyFont="1" applyFill="1" applyBorder="1" applyAlignment="1">
      <alignment horizontal="center"/>
    </xf>
    <xf numFmtId="0" fontId="26" fillId="0" borderId="8" xfId="0" applyNumberFormat="1" applyFont="1" applyFill="1" applyBorder="1" applyAlignment="1" applyProtection="1">
      <alignment horizontal="center" wrapText="1"/>
      <protection locked="0"/>
    </xf>
    <xf numFmtId="0" fontId="26" fillId="0" borderId="8" xfId="0" applyNumberFormat="1" applyFont="1" applyFill="1" applyBorder="1" applyAlignment="1" applyProtection="1">
      <alignment horizontal="center" vertical="top"/>
      <protection locked="0"/>
    </xf>
    <xf numFmtId="0" fontId="29" fillId="0" borderId="8" xfId="0" applyNumberFormat="1" applyFont="1" applyFill="1" applyBorder="1" applyAlignment="1" applyProtection="1">
      <alignment horizontal="center" vertical="top"/>
      <protection locked="0"/>
    </xf>
    <xf numFmtId="166" fontId="47" fillId="0" borderId="8" xfId="1" applyNumberFormat="1" applyFont="1" applyFill="1" applyBorder="1" applyAlignment="1">
      <alignment horizontal="center" vertical="center"/>
    </xf>
    <xf numFmtId="0" fontId="64" fillId="0" borderId="8" xfId="0" applyFont="1" applyBorder="1" applyAlignment="1">
      <alignment horizontal="center"/>
    </xf>
    <xf numFmtId="0" fontId="64" fillId="0" borderId="8" xfId="0" applyFont="1" applyBorder="1"/>
    <xf numFmtId="49" fontId="26" fillId="0" borderId="8" xfId="0" applyNumberFormat="1" applyFont="1" applyFill="1" applyBorder="1" applyAlignment="1" applyProtection="1">
      <alignment vertical="center"/>
      <protection locked="0"/>
    </xf>
    <xf numFmtId="0" fontId="26" fillId="0" borderId="8" xfId="0" applyFont="1" applyFill="1" applyBorder="1" applyAlignment="1" applyProtection="1">
      <alignment vertical="center"/>
      <protection locked="0"/>
    </xf>
    <xf numFmtId="41" fontId="29" fillId="3" borderId="8" xfId="0" applyNumberFormat="1" applyFont="1" applyFill="1" applyBorder="1" applyAlignment="1" applyProtection="1">
      <alignment horizontal="center" vertical="center"/>
    </xf>
    <xf numFmtId="0" fontId="26" fillId="0" borderId="8" xfId="0" applyFont="1" applyFill="1" applyBorder="1" applyAlignment="1" applyProtection="1">
      <alignment horizontal="center" vertical="center"/>
      <protection locked="0"/>
    </xf>
    <xf numFmtId="41" fontId="26" fillId="0" borderId="8" xfId="0" applyNumberFormat="1" applyFont="1" applyFill="1" applyBorder="1" applyAlignment="1" applyProtection="1">
      <alignment horizontal="center" vertical="center"/>
      <protection locked="0"/>
    </xf>
    <xf numFmtId="41" fontId="26" fillId="3" borderId="8" xfId="0" applyNumberFormat="1" applyFont="1" applyFill="1" applyBorder="1" applyAlignment="1" applyProtection="1">
      <alignment horizontal="center" vertical="center"/>
    </xf>
    <xf numFmtId="41" fontId="26" fillId="3" borderId="8" xfId="0" quotePrefix="1" applyNumberFormat="1" applyFont="1" applyFill="1" applyBorder="1" applyAlignment="1" applyProtection="1">
      <alignment vertical="center"/>
    </xf>
    <xf numFmtId="49" fontId="26" fillId="0" borderId="8" xfId="0" quotePrefix="1" applyNumberFormat="1" applyFont="1" applyFill="1" applyBorder="1" applyAlignment="1" applyProtection="1">
      <alignment vertical="center" wrapText="1"/>
      <protection locked="0"/>
    </xf>
    <xf numFmtId="41" fontId="26" fillId="0" borderId="8" xfId="0" quotePrefix="1" applyNumberFormat="1" applyFont="1" applyFill="1" applyBorder="1" applyAlignment="1" applyProtection="1">
      <alignment vertical="center"/>
      <protection locked="0"/>
    </xf>
    <xf numFmtId="0" fontId="26" fillId="0" borderId="8" xfId="0" applyFont="1" applyFill="1" applyBorder="1" applyAlignment="1" applyProtection="1">
      <alignment horizontal="center" vertical="center" wrapText="1"/>
      <protection locked="0"/>
    </xf>
    <xf numFmtId="49" fontId="25" fillId="0" borderId="8" xfId="0" applyNumberFormat="1" applyFont="1" applyFill="1" applyBorder="1" applyAlignment="1" applyProtection="1">
      <alignment vertical="center" wrapText="1"/>
      <protection locked="0"/>
    </xf>
    <xf numFmtId="41" fontId="25" fillId="0" borderId="8" xfId="0" quotePrefix="1" applyNumberFormat="1" applyFont="1" applyFill="1" applyBorder="1" applyAlignment="1" applyProtection="1">
      <alignment vertical="center"/>
      <protection locked="0"/>
    </xf>
    <xf numFmtId="41" fontId="25" fillId="3" borderId="8" xfId="0" applyNumberFormat="1" applyFont="1" applyFill="1" applyBorder="1" applyAlignment="1" applyProtection="1">
      <alignment horizontal="center" vertical="center"/>
    </xf>
    <xf numFmtId="49" fontId="29" fillId="0" borderId="8" xfId="0" applyNumberFormat="1" applyFont="1" applyFill="1" applyBorder="1" applyAlignment="1" applyProtection="1">
      <alignment vertical="center"/>
      <protection locked="0"/>
    </xf>
    <xf numFmtId="41" fontId="29" fillId="3" borderId="8" xfId="0" quotePrefix="1" applyNumberFormat="1" applyFont="1" applyFill="1" applyBorder="1" applyAlignment="1" applyProtection="1">
      <alignment vertical="center"/>
    </xf>
    <xf numFmtId="41" fontId="25" fillId="15" borderId="8" xfId="0" quotePrefix="1" applyNumberFormat="1" applyFont="1" applyFill="1" applyBorder="1" applyAlignment="1" applyProtection="1">
      <alignment vertical="center"/>
      <protection locked="0"/>
    </xf>
    <xf numFmtId="41" fontId="26" fillId="15" borderId="8" xfId="0" quotePrefix="1" applyNumberFormat="1" applyFont="1" applyFill="1" applyBorder="1" applyAlignment="1" applyProtection="1">
      <alignment vertical="center"/>
    </xf>
    <xf numFmtId="0" fontId="29" fillId="6" borderId="10" xfId="0" applyFont="1" applyFill="1" applyBorder="1" applyAlignment="1">
      <alignment horizontal="center" vertical="center"/>
    </xf>
    <xf numFmtId="166" fontId="76" fillId="0" borderId="10" xfId="1" applyNumberFormat="1" applyFont="1" applyFill="1" applyBorder="1" applyAlignment="1">
      <alignment vertical="center"/>
    </xf>
    <xf numFmtId="166" fontId="26" fillId="0" borderId="10" xfId="1" quotePrefix="1" applyNumberFormat="1" applyFont="1" applyFill="1" applyBorder="1" applyAlignment="1" applyProtection="1">
      <alignment horizontal="center" vertical="center"/>
      <protection locked="0"/>
    </xf>
    <xf numFmtId="0" fontId="26" fillId="0" borderId="0" xfId="0" applyFont="1" applyProtection="1">
      <protection locked="0"/>
    </xf>
    <xf numFmtId="0" fontId="26" fillId="0" borderId="0" xfId="0" applyFont="1" applyFill="1" applyAlignment="1" applyProtection="1">
      <protection locked="0"/>
    </xf>
    <xf numFmtId="49" fontId="26" fillId="0" borderId="0" xfId="0" applyNumberFormat="1" applyFont="1" applyFill="1" applyAlignment="1" applyProtection="1">
      <alignment wrapText="1"/>
      <protection locked="0"/>
    </xf>
    <xf numFmtId="0" fontId="26" fillId="0" borderId="7" xfId="0" applyFont="1" applyFill="1" applyBorder="1" applyAlignment="1" applyProtection="1">
      <alignment horizontal="center" vertical="center"/>
      <protection locked="0"/>
    </xf>
    <xf numFmtId="49" fontId="26" fillId="0" borderId="8" xfId="0" applyNumberFormat="1" applyFont="1" applyFill="1" applyBorder="1" applyAlignment="1" applyProtection="1">
      <alignment horizontal="center" vertical="center" wrapText="1"/>
      <protection locked="0"/>
    </xf>
    <xf numFmtId="0" fontId="29" fillId="3" borderId="24" xfId="0" applyFont="1" applyFill="1" applyBorder="1" applyAlignment="1" applyProtection="1">
      <alignment horizontal="center" vertical="center"/>
    </xf>
    <xf numFmtId="0" fontId="26" fillId="0" borderId="24" xfId="0" applyFont="1" applyFill="1" applyBorder="1" applyAlignment="1" applyProtection="1">
      <alignment horizontal="center" vertical="center"/>
      <protection locked="0"/>
    </xf>
    <xf numFmtId="0" fontId="26" fillId="0" borderId="9" xfId="0" applyFont="1" applyFill="1" applyBorder="1" applyAlignment="1" applyProtection="1">
      <alignment horizontal="center" vertical="center"/>
      <protection locked="0"/>
    </xf>
    <xf numFmtId="41" fontId="26" fillId="0" borderId="0" xfId="0" applyNumberFormat="1" applyFont="1" applyFill="1" applyBorder="1" applyAlignment="1" applyProtection="1">
      <alignment vertical="center"/>
      <protection locked="0"/>
    </xf>
    <xf numFmtId="0" fontId="26" fillId="0" borderId="0" xfId="0" applyFont="1" applyFill="1" applyBorder="1" applyAlignment="1" applyProtection="1">
      <alignment vertical="center"/>
      <protection locked="0"/>
    </xf>
    <xf numFmtId="0" fontId="26" fillId="0" borderId="9" xfId="0"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wrapText="1"/>
      <protection locked="0"/>
    </xf>
    <xf numFmtId="0" fontId="25" fillId="0" borderId="9" xfId="0" applyFont="1" applyFill="1" applyBorder="1" applyAlignment="1" applyProtection="1">
      <alignment horizontal="center" vertical="center"/>
      <protection locked="0"/>
    </xf>
    <xf numFmtId="0" fontId="25" fillId="0" borderId="0" xfId="0" applyFont="1" applyFill="1" applyBorder="1" applyAlignment="1" applyProtection="1">
      <alignment vertical="center"/>
      <protection locked="0"/>
    </xf>
    <xf numFmtId="0" fontId="29" fillId="0" borderId="9" xfId="0" applyFont="1" applyFill="1" applyBorder="1" applyAlignment="1" applyProtection="1">
      <alignment horizontal="center" vertical="center"/>
      <protection locked="0"/>
    </xf>
    <xf numFmtId="0" fontId="29" fillId="0" borderId="0" xfId="0" applyFont="1" applyFill="1" applyBorder="1" applyAlignment="1" applyProtection="1">
      <alignment vertical="center"/>
      <protection locked="0"/>
    </xf>
    <xf numFmtId="41" fontId="25" fillId="15" borderId="10" xfId="0" quotePrefix="1" applyNumberFormat="1" applyFont="1" applyFill="1" applyBorder="1" applyAlignment="1" applyProtection="1">
      <alignment vertical="center"/>
      <protection locked="0"/>
    </xf>
    <xf numFmtId="166" fontId="25" fillId="0" borderId="10" xfId="1" quotePrefix="1" applyNumberFormat="1" applyFont="1" applyFill="1" applyBorder="1" applyAlignment="1" applyProtection="1">
      <alignment vertical="center"/>
      <protection locked="0"/>
    </xf>
    <xf numFmtId="166" fontId="29" fillId="3" borderId="10" xfId="1" applyNumberFormat="1" applyFont="1" applyFill="1" applyBorder="1" applyAlignment="1" applyProtection="1">
      <alignment horizontal="center" vertical="center"/>
    </xf>
    <xf numFmtId="166" fontId="26" fillId="0" borderId="10" xfId="1" quotePrefix="1" applyNumberFormat="1" applyFont="1" applyFill="1" applyBorder="1" applyAlignment="1" applyProtection="1">
      <alignment vertical="center"/>
      <protection locked="0"/>
    </xf>
    <xf numFmtId="166" fontId="26" fillId="0" borderId="10" xfId="1" applyNumberFormat="1" applyFont="1" applyFill="1" applyBorder="1" applyAlignment="1">
      <alignment horizontal="center" vertical="center" wrapText="1"/>
    </xf>
    <xf numFmtId="166" fontId="26" fillId="0" borderId="10" xfId="1" applyNumberFormat="1" applyFont="1" applyFill="1" applyBorder="1" applyAlignment="1">
      <alignment horizontal="center" vertical="center"/>
    </xf>
    <xf numFmtId="49" fontId="26" fillId="18" borderId="10" xfId="0" applyNumberFormat="1" applyFont="1" applyFill="1" applyBorder="1" applyAlignment="1" applyProtection="1">
      <alignment vertical="center"/>
      <protection locked="0"/>
    </xf>
    <xf numFmtId="49" fontId="26" fillId="18" borderId="10" xfId="0" quotePrefix="1" applyNumberFormat="1" applyFont="1" applyFill="1" applyBorder="1" applyAlignment="1" applyProtection="1">
      <alignment vertical="center" wrapText="1"/>
      <protection locked="0"/>
    </xf>
    <xf numFmtId="41" fontId="26" fillId="18" borderId="10" xfId="0" quotePrefix="1" applyNumberFormat="1" applyFont="1" applyFill="1" applyBorder="1" applyAlignment="1" applyProtection="1">
      <alignment vertical="center"/>
      <protection locked="0"/>
    </xf>
    <xf numFmtId="49" fontId="25" fillId="18" borderId="10" xfId="0" applyNumberFormat="1" applyFont="1" applyFill="1" applyBorder="1" applyAlignment="1" applyProtection="1">
      <alignment vertical="center" wrapText="1"/>
      <protection locked="0"/>
    </xf>
    <xf numFmtId="49" fontId="58" fillId="18" borderId="10" xfId="0" applyNumberFormat="1" applyFont="1" applyFill="1" applyBorder="1" applyAlignment="1" applyProtection="1">
      <alignment vertical="center"/>
      <protection locked="0"/>
    </xf>
    <xf numFmtId="49" fontId="25" fillId="18" borderId="10" xfId="0" applyNumberFormat="1" applyFont="1" applyFill="1" applyBorder="1" applyAlignment="1" applyProtection="1">
      <alignment vertical="center"/>
      <protection locked="0"/>
    </xf>
    <xf numFmtId="41" fontId="25" fillId="18" borderId="10" xfId="0" quotePrefix="1" applyNumberFormat="1" applyFont="1" applyFill="1" applyBorder="1" applyAlignment="1" applyProtection="1">
      <alignment vertical="center"/>
      <protection locked="0"/>
    </xf>
    <xf numFmtId="49" fontId="29" fillId="18" borderId="10" xfId="0" applyNumberFormat="1" applyFont="1" applyFill="1" applyBorder="1" applyAlignment="1" applyProtection="1">
      <alignment vertical="center"/>
      <protection locked="0"/>
    </xf>
    <xf numFmtId="41" fontId="29" fillId="18" borderId="10" xfId="0" quotePrefix="1" applyNumberFormat="1" applyFont="1" applyFill="1" applyBorder="1" applyAlignment="1" applyProtection="1">
      <alignment vertical="center"/>
      <protection locked="0"/>
    </xf>
    <xf numFmtId="166" fontId="25" fillId="18" borderId="10" xfId="1" quotePrefix="1" applyNumberFormat="1" applyFont="1" applyFill="1" applyBorder="1" applyAlignment="1" applyProtection="1">
      <alignment vertical="center"/>
      <protection locked="0"/>
    </xf>
    <xf numFmtId="165" fontId="26" fillId="0" borderId="10" xfId="1" quotePrefix="1" applyNumberFormat="1" applyFont="1" applyFill="1" applyBorder="1" applyAlignment="1" applyProtection="1">
      <alignment vertical="center"/>
      <protection locked="0"/>
    </xf>
    <xf numFmtId="41" fontId="29" fillId="0" borderId="8" xfId="0" quotePrefix="1" applyNumberFormat="1" applyFont="1" applyFill="1" applyBorder="1" applyAlignment="1" applyProtection="1">
      <alignment vertical="center"/>
      <protection locked="0"/>
    </xf>
    <xf numFmtId="0" fontId="64" fillId="0" borderId="0" xfId="0" applyFont="1" applyAlignment="1">
      <alignment vertical="center"/>
    </xf>
    <xf numFmtId="0" fontId="77" fillId="0" borderId="0" xfId="0" applyFont="1"/>
    <xf numFmtId="0" fontId="79" fillId="0" borderId="0" xfId="0" applyFont="1"/>
    <xf numFmtId="0" fontId="77" fillId="0" borderId="0" xfId="0" applyFont="1" applyAlignment="1">
      <alignment horizontal="right"/>
    </xf>
    <xf numFmtId="0" fontId="77" fillId="0" borderId="0" xfId="0" applyFont="1" applyAlignment="1">
      <alignment wrapText="1"/>
    </xf>
    <xf numFmtId="0" fontId="77" fillId="0" borderId="8" xfId="0" applyFont="1" applyBorder="1" applyAlignment="1">
      <alignment horizontal="center"/>
    </xf>
    <xf numFmtId="41" fontId="26" fillId="0" borderId="0" xfId="0" applyNumberFormat="1" applyFont="1" applyFill="1" applyAlignment="1" applyProtection="1">
      <protection locked="0"/>
    </xf>
    <xf numFmtId="41" fontId="29" fillId="0" borderId="0" xfId="0" applyNumberFormat="1" applyFont="1" applyFill="1" applyBorder="1" applyAlignment="1" applyProtection="1">
      <alignment vertical="center"/>
      <protection locked="0"/>
    </xf>
    <xf numFmtId="0" fontId="35" fillId="0" borderId="0" xfId="3" applyFont="1" applyAlignment="1" applyProtection="1">
      <alignment horizontal="left"/>
      <protection locked="0"/>
    </xf>
    <xf numFmtId="0" fontId="28" fillId="0" borderId="0" xfId="2" applyFont="1" applyAlignment="1" applyProtection="1">
      <alignment horizontal="center" vertical="center"/>
      <protection locked="0"/>
    </xf>
    <xf numFmtId="3" fontId="10" fillId="0" borderId="0" xfId="0" applyNumberFormat="1" applyFont="1" applyProtection="1">
      <protection locked="0"/>
    </xf>
    <xf numFmtId="0" fontId="0" fillId="0" borderId="0" xfId="0" applyProtection="1">
      <protection locked="0"/>
    </xf>
    <xf numFmtId="0" fontId="36" fillId="0" borderId="0" xfId="3" applyFont="1" applyAlignment="1" applyProtection="1">
      <alignment horizontal="center"/>
      <protection locked="0"/>
    </xf>
    <xf numFmtId="3" fontId="38" fillId="0" borderId="0" xfId="0" applyNumberFormat="1" applyFont="1" applyProtection="1">
      <protection locked="0"/>
    </xf>
    <xf numFmtId="0" fontId="39" fillId="0" borderId="0" xfId="0" applyFont="1" applyProtection="1">
      <protection locked="0"/>
    </xf>
    <xf numFmtId="0" fontId="46" fillId="0" borderId="0" xfId="7" applyNumberFormat="1" applyFont="1" applyAlignment="1">
      <alignment vertical="center"/>
    </xf>
    <xf numFmtId="0" fontId="32" fillId="0" borderId="0" xfId="3" applyFont="1" applyAlignment="1" applyProtection="1">
      <alignment horizontal="center" vertical="center" wrapText="1"/>
      <protection locked="0"/>
    </xf>
    <xf numFmtId="3" fontId="40" fillId="0" borderId="0" xfId="0" applyNumberFormat="1" applyFont="1" applyProtection="1">
      <protection locked="0"/>
    </xf>
    <xf numFmtId="0" fontId="41" fillId="0" borderId="0" xfId="0" applyFont="1" applyProtection="1">
      <protection locked="0"/>
    </xf>
    <xf numFmtId="0" fontId="26" fillId="0" borderId="8" xfId="3" quotePrefix="1" applyFont="1" applyBorder="1" applyAlignment="1" applyProtection="1">
      <alignment horizontal="center"/>
      <protection locked="0"/>
    </xf>
    <xf numFmtId="166" fontId="29" fillId="4" borderId="8" xfId="1" applyNumberFormat="1" applyFont="1" applyFill="1" applyBorder="1" applyAlignment="1" applyProtection="1">
      <alignment vertical="center"/>
    </xf>
    <xf numFmtId="49" fontId="84" fillId="0" borderId="8" xfId="0" applyNumberFormat="1" applyFont="1" applyFill="1" applyBorder="1" applyAlignment="1" applyProtection="1">
      <alignment horizontal="center" vertical="center" wrapText="1"/>
      <protection locked="0"/>
    </xf>
    <xf numFmtId="49" fontId="84" fillId="0" borderId="8" xfId="0" applyNumberFormat="1" applyFont="1" applyFill="1" applyBorder="1" applyAlignment="1" applyProtection="1">
      <alignment vertical="center" wrapText="1"/>
      <protection locked="0"/>
    </xf>
    <xf numFmtId="166" fontId="73" fillId="4" borderId="8" xfId="1" quotePrefix="1" applyNumberFormat="1" applyFont="1" applyFill="1" applyBorder="1" applyAlignment="1" applyProtection="1">
      <alignment vertical="center"/>
    </xf>
    <xf numFmtId="166" fontId="26" fillId="4" borderId="8" xfId="1" applyNumberFormat="1" applyFont="1" applyFill="1" applyBorder="1" applyAlignment="1" applyProtection="1">
      <alignment vertical="center" wrapText="1"/>
    </xf>
    <xf numFmtId="166" fontId="26" fillId="0" borderId="8" xfId="1" applyNumberFormat="1" applyFont="1" applyFill="1" applyBorder="1" applyAlignment="1" applyProtection="1">
      <alignment vertical="center"/>
      <protection locked="0"/>
    </xf>
    <xf numFmtId="41" fontId="73" fillId="4" borderId="8" xfId="0" quotePrefix="1" applyNumberFormat="1" applyFont="1" applyFill="1" applyBorder="1" applyAlignment="1" applyProtection="1">
      <alignment vertical="center"/>
    </xf>
    <xf numFmtId="49" fontId="84" fillId="18" borderId="8" xfId="0" applyNumberFormat="1" applyFont="1" applyFill="1" applyBorder="1" applyAlignment="1" applyProtection="1">
      <alignment vertical="center" wrapText="1"/>
      <protection locked="0"/>
    </xf>
    <xf numFmtId="49" fontId="84" fillId="0" borderId="8" xfId="0" applyNumberFormat="1" applyFont="1" applyFill="1" applyBorder="1" applyAlignment="1" applyProtection="1">
      <alignment vertical="center"/>
      <protection locked="0"/>
    </xf>
    <xf numFmtId="0" fontId="84" fillId="0" borderId="8" xfId="0" applyFont="1" applyFill="1" applyBorder="1" applyAlignment="1" applyProtection="1">
      <alignment vertical="center"/>
      <protection locked="0"/>
    </xf>
    <xf numFmtId="0" fontId="26" fillId="0" borderId="8" xfId="3" applyFont="1" applyBorder="1" applyProtection="1">
      <protection locked="0"/>
    </xf>
    <xf numFmtId="0" fontId="31" fillId="0" borderId="8" xfId="3" applyFont="1" applyBorder="1" applyAlignment="1" applyProtection="1">
      <alignment horizontal="center"/>
      <protection locked="0"/>
    </xf>
    <xf numFmtId="49" fontId="84" fillId="0" borderId="0" xfId="0" applyNumberFormat="1" applyFont="1" applyFill="1" applyBorder="1" applyAlignment="1" applyProtection="1">
      <alignment horizontal="center" vertical="center" wrapText="1"/>
      <protection locked="0"/>
    </xf>
    <xf numFmtId="0" fontId="84" fillId="0" borderId="0" xfId="0" applyFont="1" applyFill="1" applyBorder="1" applyAlignment="1" applyProtection="1">
      <alignment vertical="center"/>
      <protection locked="0"/>
    </xf>
    <xf numFmtId="41" fontId="73" fillId="4" borderId="0" xfId="0" quotePrefix="1" applyNumberFormat="1" applyFont="1" applyFill="1" applyBorder="1" applyAlignment="1" applyProtection="1">
      <alignment vertical="center"/>
    </xf>
    <xf numFmtId="166" fontId="26" fillId="4" borderId="0" xfId="1" applyNumberFormat="1" applyFont="1" applyFill="1" applyBorder="1" applyAlignment="1" applyProtection="1">
      <alignment vertical="center" wrapText="1"/>
    </xf>
    <xf numFmtId="0" fontId="26" fillId="0" borderId="0" xfId="3" applyFont="1" applyBorder="1" applyProtection="1">
      <protection locked="0"/>
    </xf>
    <xf numFmtId="0" fontId="8" fillId="0" borderId="0" xfId="3" applyFont="1" applyProtection="1">
      <protection locked="0"/>
    </xf>
    <xf numFmtId="0" fontId="8" fillId="0" borderId="0" xfId="3" applyProtection="1">
      <protection locked="0"/>
    </xf>
    <xf numFmtId="0" fontId="65" fillId="0" borderId="8" xfId="0" applyFont="1" applyBorder="1" applyAlignment="1">
      <alignment horizontal="center" vertical="center"/>
    </xf>
    <xf numFmtId="3" fontId="65" fillId="0" borderId="8" xfId="0" applyNumberFormat="1" applyFont="1" applyBorder="1" applyAlignment="1">
      <alignment horizontal="center" vertical="center"/>
    </xf>
    <xf numFmtId="0" fontId="64" fillId="0" borderId="0" xfId="0" applyFont="1" applyAlignment="1">
      <alignment horizontal="center" vertical="center"/>
    </xf>
    <xf numFmtId="0" fontId="64" fillId="0" borderId="8" xfId="0" applyFont="1" applyBorder="1" applyAlignment="1">
      <alignment horizontal="center" vertical="center"/>
    </xf>
    <xf numFmtId="0" fontId="64" fillId="0" borderId="8" xfId="0" applyFont="1" applyBorder="1" applyAlignment="1">
      <alignment vertical="center" wrapText="1"/>
    </xf>
    <xf numFmtId="3" fontId="64" fillId="0" borderId="8" xfId="0" applyNumberFormat="1" applyFont="1" applyBorder="1" applyAlignment="1">
      <alignment vertical="center"/>
    </xf>
    <xf numFmtId="0" fontId="64" fillId="0" borderId="8" xfId="0" applyFont="1" applyBorder="1" applyAlignment="1">
      <alignment horizontal="center" vertical="center" wrapText="1"/>
    </xf>
    <xf numFmtId="3" fontId="65" fillId="0" borderId="8" xfId="0" applyNumberFormat="1" applyFont="1" applyBorder="1" applyAlignment="1">
      <alignment vertical="center"/>
    </xf>
    <xf numFmtId="0" fontId="65" fillId="0" borderId="0" xfId="0" applyFont="1" applyAlignment="1">
      <alignment vertical="center"/>
    </xf>
    <xf numFmtId="3" fontId="64" fillId="0" borderId="0" xfId="0" applyNumberFormat="1" applyFont="1" applyAlignment="1">
      <alignment vertical="center"/>
    </xf>
    <xf numFmtId="0" fontId="79" fillId="0" borderId="10" xfId="0" applyFont="1" applyBorder="1" applyAlignment="1">
      <alignment vertical="center"/>
    </xf>
    <xf numFmtId="0" fontId="86" fillId="0" borderId="10" xfId="0" applyFont="1" applyBorder="1" applyAlignment="1">
      <alignment horizontal="center" vertical="center"/>
    </xf>
    <xf numFmtId="0" fontId="86" fillId="0" borderId="0" xfId="0" applyFont="1" applyAlignment="1">
      <alignment horizontal="center"/>
    </xf>
    <xf numFmtId="0" fontId="79" fillId="0" borderId="10" xfId="0" applyFont="1" applyBorder="1" applyAlignment="1">
      <alignment vertical="center" wrapText="1"/>
    </xf>
    <xf numFmtId="3" fontId="79" fillId="0" borderId="10" xfId="0" applyNumberFormat="1" applyFont="1" applyBorder="1" applyAlignment="1">
      <alignment vertical="center"/>
    </xf>
    <xf numFmtId="0" fontId="77" fillId="0" borderId="10" xfId="0" applyFont="1" applyBorder="1" applyAlignment="1">
      <alignment vertical="center"/>
    </xf>
    <xf numFmtId="0" fontId="77" fillId="0" borderId="10" xfId="0" applyFont="1" applyBorder="1" applyAlignment="1">
      <alignment vertical="center" wrapText="1"/>
    </xf>
    <xf numFmtId="3" fontId="77" fillId="0" borderId="10" xfId="0" applyNumberFormat="1" applyFont="1" applyBorder="1" applyAlignment="1">
      <alignment vertical="center"/>
    </xf>
    <xf numFmtId="0" fontId="85" fillId="0" borderId="10" xfId="0" applyFont="1" applyBorder="1" applyAlignment="1">
      <alignment vertical="center"/>
    </xf>
    <xf numFmtId="0" fontId="85" fillId="0" borderId="10" xfId="0" quotePrefix="1" applyFont="1" applyBorder="1" applyAlignment="1">
      <alignment vertical="center" wrapText="1"/>
    </xf>
    <xf numFmtId="3" fontId="85" fillId="0" borderId="10" xfId="0" applyNumberFormat="1" applyFont="1" applyBorder="1" applyAlignment="1">
      <alignment vertical="center"/>
    </xf>
    <xf numFmtId="0" fontId="85" fillId="0" borderId="0" xfId="0" applyFont="1"/>
    <xf numFmtId="0" fontId="77" fillId="0" borderId="13" xfId="0" applyFont="1" applyBorder="1" applyAlignment="1">
      <alignment vertical="center"/>
    </xf>
    <xf numFmtId="0" fontId="77" fillId="0" borderId="13" xfId="0" applyFont="1" applyBorder="1" applyAlignment="1">
      <alignment vertical="center" wrapText="1"/>
    </xf>
    <xf numFmtId="3" fontId="77" fillId="0" borderId="13" xfId="0" applyNumberFormat="1" applyFont="1" applyBorder="1" applyAlignment="1">
      <alignment vertical="center"/>
    </xf>
    <xf numFmtId="0" fontId="77" fillId="0" borderId="8" xfId="0" applyFont="1" applyBorder="1" applyAlignment="1">
      <alignment vertical="center"/>
    </xf>
    <xf numFmtId="0" fontId="79" fillId="0" borderId="8" xfId="0" applyFont="1" applyBorder="1" applyAlignment="1">
      <alignment vertical="center"/>
    </xf>
    <xf numFmtId="0" fontId="79" fillId="0" borderId="8" xfId="0" applyFont="1" applyBorder="1" applyAlignment="1">
      <alignment vertical="center" wrapText="1"/>
    </xf>
    <xf numFmtId="0" fontId="79" fillId="0" borderId="8" xfId="0" applyFont="1" applyBorder="1"/>
    <xf numFmtId="0" fontId="77" fillId="0" borderId="8" xfId="0" applyFont="1" applyBorder="1"/>
    <xf numFmtId="3" fontId="79" fillId="0" borderId="8" xfId="0" applyNumberFormat="1" applyFont="1" applyBorder="1" applyAlignment="1">
      <alignment vertical="center" wrapText="1"/>
    </xf>
    <xf numFmtId="3" fontId="77" fillId="0" borderId="8" xfId="0" applyNumberFormat="1" applyFont="1" applyBorder="1" applyAlignment="1">
      <alignment vertical="center" wrapText="1"/>
    </xf>
    <xf numFmtId="3" fontId="79" fillId="0" borderId="8" xfId="0" applyNumberFormat="1" applyFont="1" applyBorder="1"/>
    <xf numFmtId="0" fontId="85" fillId="0" borderId="8" xfId="0" applyFont="1" applyBorder="1"/>
    <xf numFmtId="3" fontId="85" fillId="0" borderId="8" xfId="0" applyNumberFormat="1" applyFont="1" applyBorder="1"/>
    <xf numFmtId="3" fontId="85" fillId="0" borderId="8" xfId="0" applyNumberFormat="1" applyFont="1" applyBorder="1" applyAlignment="1">
      <alignment vertical="center"/>
    </xf>
    <xf numFmtId="3" fontId="77" fillId="0" borderId="8" xfId="0" applyNumberFormat="1" applyFont="1" applyBorder="1"/>
    <xf numFmtId="0" fontId="77" fillId="0" borderId="8" xfId="0" applyFont="1" applyBorder="1" applyAlignment="1">
      <alignment vertical="center" wrapText="1"/>
    </xf>
    <xf numFmtId="166" fontId="87" fillId="0" borderId="0" xfId="1" applyNumberFormat="1" applyFont="1"/>
    <xf numFmtId="0" fontId="87" fillId="0" borderId="0" xfId="0" applyFont="1"/>
    <xf numFmtId="0" fontId="88" fillId="0" borderId="0" xfId="0" applyFont="1"/>
    <xf numFmtId="166" fontId="88" fillId="0" borderId="0" xfId="1" applyNumberFormat="1" applyFont="1"/>
    <xf numFmtId="0" fontId="88" fillId="0" borderId="31" xfId="0" applyFont="1" applyBorder="1" applyAlignment="1">
      <alignment vertical="center"/>
    </xf>
    <xf numFmtId="0" fontId="88" fillId="0" borderId="10" xfId="0" applyFont="1" applyBorder="1" applyAlignment="1">
      <alignment vertical="center"/>
    </xf>
    <xf numFmtId="0" fontId="87" fillId="0" borderId="0" xfId="0" applyFont="1" applyAlignment="1">
      <alignment horizontal="center"/>
    </xf>
    <xf numFmtId="0" fontId="87" fillId="0" borderId="10" xfId="0" applyFont="1" applyBorder="1" applyAlignment="1">
      <alignment vertical="center"/>
    </xf>
    <xf numFmtId="3" fontId="87" fillId="0" borderId="10" xfId="0" applyNumberFormat="1" applyFont="1" applyBorder="1" applyAlignment="1">
      <alignment vertical="center"/>
    </xf>
    <xf numFmtId="3" fontId="87" fillId="0" borderId="0" xfId="0" applyNumberFormat="1" applyFont="1"/>
    <xf numFmtId="0" fontId="43" fillId="0" borderId="10" xfId="0" quotePrefix="1" applyFont="1" applyBorder="1" applyAlignment="1">
      <alignment horizontal="center" vertical="center"/>
    </xf>
    <xf numFmtId="3" fontId="43" fillId="0" borderId="10" xfId="0" applyNumberFormat="1" applyFont="1" applyBorder="1" applyAlignment="1">
      <alignment vertical="center"/>
    </xf>
    <xf numFmtId="0" fontId="43" fillId="0" borderId="10" xfId="0" applyFont="1" applyBorder="1" applyAlignment="1">
      <alignment vertical="center"/>
    </xf>
    <xf numFmtId="166" fontId="43" fillId="0" borderId="10" xfId="1" applyNumberFormat="1" applyFont="1" applyBorder="1" applyAlignment="1">
      <alignment vertical="center"/>
    </xf>
    <xf numFmtId="0" fontId="43" fillId="0" borderId="0" xfId="0" applyFont="1"/>
    <xf numFmtId="0" fontId="88" fillId="18" borderId="10" xfId="0" quotePrefix="1" applyFont="1" applyFill="1" applyBorder="1" applyAlignment="1">
      <alignment horizontal="center" vertical="center"/>
    </xf>
    <xf numFmtId="3" fontId="88" fillId="18" borderId="10" xfId="0" applyNumberFormat="1" applyFont="1" applyFill="1" applyBorder="1" applyAlignment="1">
      <alignment vertical="center"/>
    </xf>
    <xf numFmtId="0" fontId="88" fillId="18" borderId="10" xfId="0" applyFont="1" applyFill="1" applyBorder="1" applyAlignment="1">
      <alignment vertical="center"/>
    </xf>
    <xf numFmtId="166" fontId="88" fillId="18" borderId="10" xfId="1" applyNumberFormat="1" applyFont="1" applyFill="1" applyBorder="1" applyAlignment="1">
      <alignment vertical="center"/>
    </xf>
    <xf numFmtId="0" fontId="88" fillId="18" borderId="0" xfId="0" applyFont="1" applyFill="1"/>
    <xf numFmtId="0" fontId="88" fillId="0" borderId="10" xfId="0" quotePrefix="1" applyFont="1" applyBorder="1" applyAlignment="1">
      <alignment horizontal="center" vertical="center"/>
    </xf>
    <xf numFmtId="3" fontId="88" fillId="0" borderId="10" xfId="0" applyNumberFormat="1" applyFont="1" applyBorder="1" applyAlignment="1">
      <alignment vertical="center"/>
    </xf>
    <xf numFmtId="166" fontId="88" fillId="0" borderId="10" xfId="1" applyNumberFormat="1" applyFont="1" applyBorder="1" applyAlignment="1">
      <alignment vertical="center"/>
    </xf>
    <xf numFmtId="166" fontId="87" fillId="0" borderId="10" xfId="1" applyNumberFormat="1" applyFont="1" applyBorder="1" applyAlignment="1">
      <alignment vertical="center"/>
    </xf>
    <xf numFmtId="3" fontId="88" fillId="0" borderId="10" xfId="0" applyNumberFormat="1" applyFont="1" applyFill="1" applyBorder="1" applyAlignment="1">
      <alignment vertical="center"/>
    </xf>
    <xf numFmtId="0" fontId="88" fillId="0" borderId="10" xfId="0" applyFont="1" applyBorder="1" applyAlignment="1">
      <alignment horizontal="center" vertical="center"/>
    </xf>
    <xf numFmtId="3" fontId="88" fillId="18" borderId="10" xfId="0" applyNumberFormat="1" applyFont="1" applyFill="1" applyBorder="1" applyAlignment="1">
      <alignment vertical="center" wrapText="1"/>
    </xf>
    <xf numFmtId="3" fontId="88" fillId="0" borderId="10" xfId="0" applyNumberFormat="1" applyFont="1" applyFill="1" applyBorder="1" applyAlignment="1">
      <alignment vertical="center" wrapText="1"/>
    </xf>
    <xf numFmtId="3" fontId="88" fillId="18" borderId="10" xfId="0" quotePrefix="1" applyNumberFormat="1" applyFont="1" applyFill="1" applyBorder="1" applyAlignment="1">
      <alignment vertical="center"/>
    </xf>
    <xf numFmtId="3" fontId="88" fillId="18" borderId="10" xfId="1" quotePrefix="1" applyNumberFormat="1" applyFont="1" applyFill="1" applyBorder="1" applyAlignment="1">
      <alignment vertical="center" wrapText="1"/>
    </xf>
    <xf numFmtId="0" fontId="88" fillId="0" borderId="13" xfId="0" applyFont="1" applyBorder="1" applyAlignment="1">
      <alignment horizontal="center" vertical="center"/>
    </xf>
    <xf numFmtId="3" fontId="88" fillId="18" borderId="13" xfId="0" quotePrefix="1" applyNumberFormat="1" applyFont="1" applyFill="1" applyBorder="1" applyAlignment="1">
      <alignment vertical="center"/>
    </xf>
    <xf numFmtId="3" fontId="88" fillId="0" borderId="13" xfId="0" quotePrefix="1" applyNumberFormat="1" applyFont="1" applyFill="1" applyBorder="1" applyAlignment="1">
      <alignment vertical="center"/>
    </xf>
    <xf numFmtId="3" fontId="88" fillId="0" borderId="13" xfId="0" applyNumberFormat="1" applyFont="1" applyBorder="1" applyAlignment="1">
      <alignment vertical="center"/>
    </xf>
    <xf numFmtId="166" fontId="88" fillId="0" borderId="13" xfId="1" applyNumberFormat="1" applyFont="1" applyBorder="1" applyAlignment="1">
      <alignment vertical="center"/>
    </xf>
    <xf numFmtId="166" fontId="88" fillId="18" borderId="6" xfId="0" quotePrefix="1" applyNumberFormat="1" applyFont="1" applyFill="1" applyBorder="1" applyAlignment="1">
      <alignment vertical="center"/>
    </xf>
    <xf numFmtId="166" fontId="88" fillId="18" borderId="0" xfId="0" quotePrefix="1" applyNumberFormat="1" applyFont="1" applyFill="1" applyBorder="1" applyAlignment="1">
      <alignment vertical="center"/>
    </xf>
    <xf numFmtId="3" fontId="88" fillId="0" borderId="25" xfId="0" applyNumberFormat="1" applyFont="1" applyBorder="1"/>
    <xf numFmtId="166" fontId="88" fillId="18" borderId="13" xfId="0" quotePrefix="1" applyNumberFormat="1" applyFont="1" applyFill="1" applyBorder="1" applyAlignment="1">
      <alignment vertical="center"/>
    </xf>
    <xf numFmtId="3" fontId="88" fillId="0" borderId="10" xfId="0" applyNumberFormat="1" applyFont="1" applyBorder="1"/>
    <xf numFmtId="3" fontId="88" fillId="0" borderId="0" xfId="0" applyNumberFormat="1" applyFont="1"/>
    <xf numFmtId="0" fontId="77" fillId="0" borderId="0" xfId="0" applyFont="1" applyAlignment="1">
      <alignment horizontal="center"/>
    </xf>
    <xf numFmtId="0" fontId="79" fillId="0" borderId="0" xfId="0" applyFont="1" applyAlignment="1">
      <alignment horizontal="left"/>
    </xf>
    <xf numFmtId="166" fontId="79" fillId="7" borderId="0" xfId="1" applyNumberFormat="1" applyFont="1" applyFill="1" applyAlignment="1">
      <alignment horizontal="center"/>
    </xf>
    <xf numFmtId="0" fontId="77" fillId="0" borderId="0" xfId="0" applyFont="1" applyAlignment="1">
      <alignment horizontal="left"/>
    </xf>
    <xf numFmtId="166" fontId="77" fillId="0" borderId="0" xfId="1" applyNumberFormat="1" applyFont="1"/>
    <xf numFmtId="166" fontId="77" fillId="7" borderId="0" xfId="1" applyNumberFormat="1" applyFont="1" applyFill="1"/>
    <xf numFmtId="0" fontId="77" fillId="0" borderId="31" xfId="0" applyFont="1" applyBorder="1" applyAlignment="1">
      <alignment horizontal="center" vertical="center"/>
    </xf>
    <xf numFmtId="0" fontId="77" fillId="0" borderId="31" xfId="0" applyFont="1" applyBorder="1" applyAlignment="1">
      <alignment horizontal="center" vertical="center" wrapText="1"/>
    </xf>
    <xf numFmtId="166" fontId="77" fillId="0" borderId="31" xfId="1" applyNumberFormat="1" applyFont="1" applyBorder="1" applyAlignment="1">
      <alignment horizontal="center" vertical="center" wrapText="1"/>
    </xf>
    <xf numFmtId="166" fontId="77" fillId="7" borderId="31" xfId="1" applyNumberFormat="1" applyFont="1" applyFill="1" applyBorder="1" applyAlignment="1">
      <alignment horizontal="center" vertical="center" wrapText="1"/>
    </xf>
    <xf numFmtId="0" fontId="79" fillId="0" borderId="25" xfId="0" applyFont="1" applyBorder="1" applyAlignment="1">
      <alignment horizontal="center" vertical="center"/>
    </xf>
    <xf numFmtId="0" fontId="79" fillId="0" borderId="25" xfId="0" applyFont="1" applyBorder="1" applyAlignment="1">
      <alignment horizontal="left" vertical="center"/>
    </xf>
    <xf numFmtId="0" fontId="79" fillId="0" borderId="25" xfId="0" applyFont="1" applyBorder="1" applyAlignment="1">
      <alignment horizontal="center" vertical="center" wrapText="1"/>
    </xf>
    <xf numFmtId="166" fontId="79" fillId="0" borderId="25" xfId="1" applyNumberFormat="1" applyFont="1" applyBorder="1" applyAlignment="1">
      <alignment horizontal="center" vertical="center" wrapText="1"/>
    </xf>
    <xf numFmtId="166" fontId="79" fillId="7" borderId="25" xfId="1" applyNumberFormat="1" applyFont="1" applyFill="1" applyBorder="1" applyAlignment="1">
      <alignment horizontal="center" vertical="center" wrapText="1"/>
    </xf>
    <xf numFmtId="0" fontId="79" fillId="0" borderId="0" xfId="0" applyFont="1" applyAlignment="1">
      <alignment wrapText="1"/>
    </xf>
    <xf numFmtId="0" fontId="79" fillId="7" borderId="10" xfId="0" applyFont="1" applyFill="1" applyBorder="1" applyAlignment="1">
      <alignment vertical="center"/>
    </xf>
    <xf numFmtId="0" fontId="29" fillId="7" borderId="10" xfId="0" applyFont="1" applyFill="1" applyBorder="1" applyAlignment="1">
      <alignment vertical="center"/>
    </xf>
    <xf numFmtId="0" fontId="79" fillId="7" borderId="10" xfId="0" applyFont="1" applyFill="1" applyBorder="1" applyAlignment="1">
      <alignment horizontal="left" vertical="center" wrapText="1"/>
    </xf>
    <xf numFmtId="0" fontId="79" fillId="7" borderId="10" xfId="0" applyFont="1" applyFill="1" applyBorder="1" applyAlignment="1">
      <alignment vertical="center" wrapText="1"/>
    </xf>
    <xf numFmtId="166" fontId="79" fillId="7" borderId="10" xfId="1" applyNumberFormat="1" applyFont="1" applyFill="1" applyBorder="1" applyAlignment="1">
      <alignment vertical="center" wrapText="1"/>
    </xf>
    <xf numFmtId="0" fontId="65" fillId="13" borderId="10" xfId="0" applyFont="1" applyFill="1" applyBorder="1" applyAlignment="1">
      <alignment horizontal="center" vertical="center" wrapText="1"/>
    </xf>
    <xf numFmtId="0" fontId="65" fillId="13" borderId="10" xfId="0" applyFont="1" applyFill="1" applyBorder="1" applyAlignment="1">
      <alignment vertical="center" wrapText="1"/>
    </xf>
    <xf numFmtId="0" fontId="65" fillId="13" borderId="10" xfId="0" applyFont="1" applyFill="1" applyBorder="1" applyAlignment="1">
      <alignment horizontal="left" vertical="center" wrapText="1"/>
    </xf>
    <xf numFmtId="166" fontId="65" fillId="13" borderId="10" xfId="1" applyNumberFormat="1" applyFont="1" applyFill="1" applyBorder="1" applyAlignment="1">
      <alignment horizontal="center" vertical="center" wrapText="1"/>
    </xf>
    <xf numFmtId="166" fontId="65" fillId="7" borderId="10" xfId="1" applyNumberFormat="1" applyFont="1" applyFill="1" applyBorder="1" applyAlignment="1">
      <alignment horizontal="center" vertical="center" wrapText="1"/>
    </xf>
    <xf numFmtId="0" fontId="83" fillId="0" borderId="10" xfId="0" applyFont="1" applyFill="1" applyBorder="1" applyAlignment="1">
      <alignment horizontal="center" vertical="center" wrapText="1"/>
    </xf>
    <xf numFmtId="0" fontId="83" fillId="0" borderId="10" xfId="0" applyFont="1" applyFill="1" applyBorder="1" applyAlignment="1">
      <alignment vertical="center" wrapText="1"/>
    </xf>
    <xf numFmtId="0" fontId="83" fillId="0" borderId="10" xfId="0" applyFont="1" applyFill="1" applyBorder="1" applyAlignment="1">
      <alignment horizontal="left" vertical="center" wrapText="1"/>
    </xf>
    <xf numFmtId="166" fontId="83" fillId="18" borderId="10" xfId="1" applyNumberFormat="1" applyFont="1" applyFill="1" applyBorder="1" applyAlignment="1">
      <alignment horizontal="center" vertical="center" wrapText="1"/>
    </xf>
    <xf numFmtId="166" fontId="83" fillId="7" borderId="10" xfId="1" applyNumberFormat="1" applyFont="1" applyFill="1" applyBorder="1" applyAlignment="1">
      <alignment horizontal="center" vertical="center" wrapText="1"/>
    </xf>
    <xf numFmtId="0" fontId="26" fillId="18" borderId="10" xfId="0" applyFont="1" applyFill="1" applyBorder="1" applyAlignment="1">
      <alignment horizontal="center" vertical="center" wrapText="1"/>
    </xf>
    <xf numFmtId="0" fontId="26" fillId="18" borderId="10" xfId="0" applyFont="1" applyFill="1" applyBorder="1" applyAlignment="1">
      <alignment vertical="center" wrapText="1"/>
    </xf>
    <xf numFmtId="0" fontId="94" fillId="18" borderId="10" xfId="0" applyFont="1" applyFill="1" applyBorder="1" applyAlignment="1">
      <alignment horizontal="left" vertical="center" wrapText="1"/>
    </xf>
    <xf numFmtId="17" fontId="26" fillId="18" borderId="10" xfId="0" quotePrefix="1" applyNumberFormat="1" applyFont="1" applyFill="1" applyBorder="1" applyAlignment="1">
      <alignment horizontal="center" vertical="center" wrapText="1"/>
    </xf>
    <xf numFmtId="166" fontId="26" fillId="18" borderId="10" xfId="1" applyNumberFormat="1" applyFont="1" applyFill="1" applyBorder="1" applyAlignment="1">
      <alignment horizontal="center" vertical="center"/>
    </xf>
    <xf numFmtId="166" fontId="26" fillId="7" borderId="10" xfId="1" quotePrefix="1" applyNumberFormat="1" applyFont="1" applyFill="1" applyBorder="1" applyAlignment="1">
      <alignment horizontal="center" vertical="center" wrapText="1"/>
    </xf>
    <xf numFmtId="166" fontId="26" fillId="18" borderId="10" xfId="1" quotePrefix="1" applyNumberFormat="1" applyFont="1" applyFill="1" applyBorder="1" applyAlignment="1">
      <alignment horizontal="center" vertical="center" wrapText="1"/>
    </xf>
    <xf numFmtId="166" fontId="77" fillId="0" borderId="10" xfId="1" applyNumberFormat="1" applyFont="1" applyBorder="1" applyAlignment="1">
      <alignment vertical="center"/>
    </xf>
    <xf numFmtId="0" fontId="83" fillId="18" borderId="10" xfId="0" applyFont="1" applyFill="1" applyBorder="1" applyAlignment="1">
      <alignment horizontal="center" vertical="center" wrapText="1"/>
    </xf>
    <xf numFmtId="0" fontId="83" fillId="18" borderId="10" xfId="0" applyFont="1" applyFill="1" applyBorder="1" applyAlignment="1">
      <alignment vertical="center" wrapText="1"/>
    </xf>
    <xf numFmtId="0" fontId="83" fillId="18" borderId="10" xfId="0" applyFont="1" applyFill="1" applyBorder="1" applyAlignment="1">
      <alignment horizontal="left" vertical="center" wrapText="1"/>
    </xf>
    <xf numFmtId="17" fontId="83" fillId="18" borderId="10" xfId="0" quotePrefix="1" applyNumberFormat="1" applyFont="1" applyFill="1" applyBorder="1" applyAlignment="1">
      <alignment horizontal="center" vertical="center" wrapText="1"/>
    </xf>
    <xf numFmtId="0" fontId="26" fillId="18" borderId="10" xfId="0" applyFont="1" applyFill="1" applyBorder="1" applyAlignment="1">
      <alignment horizontal="left" vertical="center" wrapText="1"/>
    </xf>
    <xf numFmtId="0" fontId="26" fillId="18" borderId="10" xfId="15" quotePrefix="1" applyFont="1" applyFill="1" applyBorder="1" applyAlignment="1">
      <alignment horizontal="center" vertical="center" wrapText="1"/>
    </xf>
    <xf numFmtId="166" fontId="26" fillId="18" borderId="10" xfId="1" applyNumberFormat="1" applyFont="1" applyFill="1" applyBorder="1" applyAlignment="1">
      <alignment horizontal="center" vertical="center" wrapText="1"/>
    </xf>
    <xf numFmtId="166" fontId="64" fillId="7" borderId="10" xfId="1" quotePrefix="1" applyNumberFormat="1" applyFont="1" applyFill="1" applyBorder="1" applyAlignment="1">
      <alignment horizontal="center" vertical="center" wrapText="1"/>
    </xf>
    <xf numFmtId="0" fontId="83" fillId="0" borderId="10" xfId="0" applyFont="1" applyBorder="1" applyAlignment="1">
      <alignment vertical="center" wrapText="1"/>
    </xf>
    <xf numFmtId="0" fontId="83" fillId="0" borderId="10" xfId="0" applyFont="1" applyBorder="1" applyAlignment="1">
      <alignment horizontal="left" vertical="center" wrapText="1"/>
    </xf>
    <xf numFmtId="0" fontId="83" fillId="0" borderId="10" xfId="15" quotePrefix="1" applyFont="1" applyBorder="1" applyAlignment="1">
      <alignment horizontal="center" vertical="center" wrapText="1"/>
    </xf>
    <xf numFmtId="166" fontId="83" fillId="0" borderId="10" xfId="1" applyNumberFormat="1" applyFont="1" applyBorder="1" applyAlignment="1">
      <alignment horizontal="center" vertical="center" wrapText="1"/>
    </xf>
    <xf numFmtId="0" fontId="26" fillId="0" borderId="10" xfId="0" applyFont="1" applyBorder="1" applyAlignment="1">
      <alignment horizontal="left" vertical="center" wrapText="1"/>
    </xf>
    <xf numFmtId="14" fontId="26" fillId="0" borderId="10" xfId="15" quotePrefix="1" applyNumberFormat="1" applyFont="1" applyBorder="1" applyAlignment="1">
      <alignment horizontal="center" vertical="center" wrapText="1"/>
    </xf>
    <xf numFmtId="166" fontId="26" fillId="0" borderId="10" xfId="1" applyNumberFormat="1" applyFont="1" applyBorder="1" applyAlignment="1">
      <alignment horizontal="center" vertical="center" wrapText="1"/>
    </xf>
    <xf numFmtId="166" fontId="25" fillId="18" borderId="10" xfId="1" applyNumberFormat="1" applyFont="1" applyFill="1" applyBorder="1" applyAlignment="1">
      <alignment horizontal="center" vertical="center"/>
    </xf>
    <xf numFmtId="14" fontId="83" fillId="0" borderId="10" xfId="15" quotePrefix="1" applyNumberFormat="1" applyFont="1" applyBorder="1" applyAlignment="1">
      <alignment horizontal="center" vertical="center" wrapText="1"/>
    </xf>
    <xf numFmtId="0" fontId="96" fillId="0" borderId="10" xfId="0" applyFont="1" applyBorder="1" applyAlignment="1">
      <alignment horizontal="left" vertical="center" wrapText="1"/>
    </xf>
    <xf numFmtId="49" fontId="96" fillId="0" borderId="10" xfId="0" applyNumberFormat="1" applyFont="1" applyBorder="1" applyAlignment="1">
      <alignment horizontal="center" vertical="center" wrapText="1"/>
    </xf>
    <xf numFmtId="166" fontId="96" fillId="0" borderId="10" xfId="1" applyNumberFormat="1" applyFont="1" applyFill="1" applyBorder="1" applyAlignment="1">
      <alignment horizontal="center" vertical="center" wrapText="1"/>
    </xf>
    <xf numFmtId="166" fontId="96" fillId="7" borderId="10" xfId="1" quotePrefix="1" applyNumberFormat="1" applyFont="1" applyFill="1" applyBorder="1" applyAlignment="1">
      <alignment horizontal="center" vertical="center" wrapText="1"/>
    </xf>
    <xf numFmtId="0" fontId="65" fillId="7" borderId="10" xfId="0" applyFont="1" applyFill="1" applyBorder="1" applyAlignment="1">
      <alignment horizontal="center" vertical="center" wrapText="1"/>
    </xf>
    <xf numFmtId="0" fontId="29" fillId="7" borderId="10" xfId="0" applyFont="1" applyFill="1" applyBorder="1" applyAlignment="1">
      <alignment horizontal="left" vertical="center"/>
    </xf>
    <xf numFmtId="0" fontId="64" fillId="0" borderId="10" xfId="0" applyFont="1" applyBorder="1" applyAlignment="1">
      <alignment horizontal="center" vertical="center" wrapText="1"/>
    </xf>
    <xf numFmtId="0" fontId="64" fillId="0" borderId="10" xfId="0" applyFont="1" applyBorder="1" applyAlignment="1">
      <alignment horizontal="left" vertical="center" wrapText="1"/>
    </xf>
    <xf numFmtId="166" fontId="64" fillId="0" borderId="10" xfId="1" applyNumberFormat="1" applyFont="1" applyBorder="1" applyAlignment="1">
      <alignment horizontal="center" vertical="center" wrapText="1"/>
    </xf>
    <xf numFmtId="166" fontId="64" fillId="7" borderId="10" xfId="1" applyNumberFormat="1" applyFont="1" applyFill="1" applyBorder="1" applyAlignment="1">
      <alignment horizontal="center" vertical="center" wrapText="1"/>
    </xf>
    <xf numFmtId="0" fontId="83" fillId="0" borderId="10" xfId="0" applyFont="1" applyFill="1" applyBorder="1" applyAlignment="1">
      <alignment horizontal="center" vertical="center"/>
    </xf>
    <xf numFmtId="166" fontId="83" fillId="0" borderId="10" xfId="1" applyNumberFormat="1" applyFont="1" applyFill="1" applyBorder="1" applyAlignment="1">
      <alignment horizontal="center" vertical="center" wrapText="1"/>
    </xf>
    <xf numFmtId="166" fontId="83" fillId="7" borderId="10" xfId="1" applyNumberFormat="1" applyFont="1" applyFill="1" applyBorder="1" applyAlignment="1">
      <alignment vertical="center"/>
    </xf>
    <xf numFmtId="166" fontId="83" fillId="0" borderId="10" xfId="1" applyNumberFormat="1" applyFont="1" applyFill="1" applyBorder="1" applyAlignment="1">
      <alignment vertical="center"/>
    </xf>
    <xf numFmtId="0" fontId="26" fillId="18" borderId="10" xfId="0" applyFont="1" applyFill="1" applyBorder="1" applyAlignment="1">
      <alignment horizontal="center" vertical="center"/>
    </xf>
    <xf numFmtId="0" fontId="26" fillId="18" borderId="10" xfId="0" applyFont="1" applyFill="1" applyBorder="1" applyAlignment="1">
      <alignment horizontal="left" vertical="center"/>
    </xf>
    <xf numFmtId="14" fontId="26" fillId="18" borderId="10" xfId="0" quotePrefix="1" applyNumberFormat="1" applyFont="1" applyFill="1" applyBorder="1" applyAlignment="1">
      <alignment horizontal="center" vertical="center"/>
    </xf>
    <xf numFmtId="0" fontId="83" fillId="0" borderId="10" xfId="0" applyFont="1" applyBorder="1" applyAlignment="1">
      <alignment horizontal="center" vertical="center"/>
    </xf>
    <xf numFmtId="0" fontId="83" fillId="0" borderId="10" xfId="0" applyFont="1" applyBorder="1" applyAlignment="1">
      <alignment vertical="center"/>
    </xf>
    <xf numFmtId="0" fontId="83" fillId="0" borderId="10" xfId="0" applyFont="1" applyBorder="1" applyAlignment="1">
      <alignment horizontal="left" vertical="center"/>
    </xf>
    <xf numFmtId="0" fontId="83" fillId="0" borderId="10" xfId="15" applyFont="1" applyBorder="1" applyAlignment="1">
      <alignment horizontal="center" vertical="center" wrapText="1"/>
    </xf>
    <xf numFmtId="0" fontId="26" fillId="0" borderId="10" xfId="0" applyFont="1" applyBorder="1" applyAlignment="1">
      <alignment horizontal="center" vertical="center"/>
    </xf>
    <xf numFmtId="0" fontId="26" fillId="0" borderId="10" xfId="15" quotePrefix="1" applyFont="1" applyBorder="1" applyAlignment="1">
      <alignment horizontal="center" vertical="center" wrapText="1"/>
    </xf>
    <xf numFmtId="0" fontId="83" fillId="0" borderId="10" xfId="15" applyFont="1" applyBorder="1" applyAlignment="1">
      <alignment vertical="center" wrapText="1"/>
    </xf>
    <xf numFmtId="0" fontId="83" fillId="0" borderId="10" xfId="15" applyFont="1" applyBorder="1" applyAlignment="1">
      <alignment horizontal="left" vertical="center" wrapText="1"/>
    </xf>
    <xf numFmtId="166" fontId="55" fillId="7" borderId="10" xfId="1" quotePrefix="1" applyNumberFormat="1" applyFont="1" applyFill="1" applyBorder="1" applyAlignment="1">
      <alignment horizontal="center" vertical="center" wrapText="1"/>
    </xf>
    <xf numFmtId="166" fontId="75" fillId="0" borderId="10" xfId="1" applyNumberFormat="1" applyFont="1" applyBorder="1" applyAlignment="1">
      <alignment vertical="center"/>
    </xf>
    <xf numFmtId="0" fontId="94" fillId="0" borderId="10" xfId="0" applyFont="1" applyBorder="1" applyAlignment="1">
      <alignment horizontal="left" vertical="center" wrapText="1"/>
    </xf>
    <xf numFmtId="3" fontId="83" fillId="0" borderId="10" xfId="15" applyNumberFormat="1" applyFont="1" applyBorder="1" applyAlignment="1">
      <alignment horizontal="center" vertical="center" wrapText="1"/>
    </xf>
    <xf numFmtId="0" fontId="83" fillId="18" borderId="10" xfId="0" applyFont="1" applyFill="1" applyBorder="1" applyAlignment="1">
      <alignment vertical="center"/>
    </xf>
    <xf numFmtId="0" fontId="83" fillId="18" borderId="10" xfId="0" applyFont="1" applyFill="1" applyBorder="1" applyAlignment="1">
      <alignment horizontal="left" vertical="center"/>
    </xf>
    <xf numFmtId="166" fontId="83" fillId="18" borderId="10" xfId="1" applyNumberFormat="1" applyFont="1" applyFill="1" applyBorder="1" applyAlignment="1">
      <alignment vertical="center"/>
    </xf>
    <xf numFmtId="166" fontId="26" fillId="18" borderId="10" xfId="1" applyNumberFormat="1" applyFont="1" applyFill="1" applyBorder="1" applyAlignment="1">
      <alignment vertical="center"/>
    </xf>
    <xf numFmtId="0" fontId="83" fillId="18" borderId="10" xfId="15" applyFont="1" applyFill="1" applyBorder="1" applyAlignment="1">
      <alignment horizontal="center" vertical="center" wrapText="1"/>
    </xf>
    <xf numFmtId="166" fontId="83" fillId="0" borderId="10" xfId="1" applyNumberFormat="1" applyFont="1" applyBorder="1" applyAlignment="1">
      <alignment vertical="center"/>
    </xf>
    <xf numFmtId="14" fontId="64" fillId="0" borderId="10" xfId="15" quotePrefix="1" applyNumberFormat="1" applyFont="1" applyBorder="1" applyAlignment="1">
      <alignment horizontal="center" vertical="center" wrapText="1"/>
    </xf>
    <xf numFmtId="166" fontId="64" fillId="0" borderId="10" xfId="1" applyNumberFormat="1" applyFont="1" applyBorder="1" applyAlignment="1">
      <alignment vertical="center"/>
    </xf>
    <xf numFmtId="166" fontId="76" fillId="0" borderId="10" xfId="1" applyNumberFormat="1" applyFont="1" applyBorder="1" applyAlignment="1">
      <alignment vertical="center"/>
    </xf>
    <xf numFmtId="0" fontId="83" fillId="0" borderId="10" xfId="0" applyNumberFormat="1" applyFont="1" applyFill="1" applyBorder="1" applyAlignment="1">
      <alignment horizontal="center" vertical="center"/>
    </xf>
    <xf numFmtId="3" fontId="83" fillId="0" borderId="10" xfId="0" applyNumberFormat="1" applyFont="1" applyFill="1" applyBorder="1" applyAlignment="1">
      <alignment vertical="center"/>
    </xf>
    <xf numFmtId="3" fontId="83" fillId="0" borderId="10" xfId="0" applyNumberFormat="1" applyFont="1" applyFill="1" applyBorder="1" applyAlignment="1">
      <alignment horizontal="left" vertical="center"/>
    </xf>
    <xf numFmtId="0" fontId="83" fillId="0" borderId="10" xfId="0" quotePrefix="1" applyFont="1" applyFill="1" applyBorder="1" applyAlignment="1">
      <alignment horizontal="center" vertical="center" wrapText="1"/>
    </xf>
    <xf numFmtId="0" fontId="26" fillId="0" borderId="10" xfId="0" applyNumberFormat="1" applyFont="1" applyFill="1" applyBorder="1" applyAlignment="1">
      <alignment horizontal="center" vertical="center"/>
    </xf>
    <xf numFmtId="0" fontId="26" fillId="0" borderId="10" xfId="0" quotePrefix="1" applyFont="1" applyFill="1" applyBorder="1" applyAlignment="1">
      <alignment horizontal="center" vertical="center" wrapText="1"/>
    </xf>
    <xf numFmtId="0" fontId="26" fillId="0" borderId="10" xfId="15" applyFont="1" applyBorder="1" applyAlignment="1">
      <alignment horizontal="left" vertical="center" wrapText="1"/>
    </xf>
    <xf numFmtId="0" fontId="26" fillId="0" borderId="10" xfId="15" quotePrefix="1" applyFont="1" applyFill="1" applyBorder="1" applyAlignment="1">
      <alignment horizontal="center" vertical="center" wrapText="1"/>
    </xf>
    <xf numFmtId="0" fontId="80" fillId="0" borderId="10" xfId="0" applyFont="1" applyFill="1" applyBorder="1" applyAlignment="1">
      <alignment horizontal="left" vertical="center" wrapText="1"/>
    </xf>
    <xf numFmtId="0" fontId="80" fillId="0" borderId="10" xfId="0" applyFont="1" applyBorder="1" applyAlignment="1">
      <alignment horizontal="center" vertical="center" wrapText="1"/>
    </xf>
    <xf numFmtId="0" fontId="80" fillId="0" borderId="10" xfId="0" applyFont="1" applyFill="1" applyBorder="1" applyAlignment="1">
      <alignment horizontal="center" vertical="center" wrapText="1"/>
    </xf>
    <xf numFmtId="14" fontId="26" fillId="18" borderId="10" xfId="0" applyNumberFormat="1" applyFont="1" applyFill="1" applyBorder="1" applyAlignment="1">
      <alignment horizontal="center" vertical="center" wrapText="1"/>
    </xf>
    <xf numFmtId="14" fontId="26" fillId="0" borderId="10" xfId="0" quotePrefix="1" applyNumberFormat="1" applyFont="1" applyFill="1" applyBorder="1" applyAlignment="1">
      <alignment horizontal="center" vertical="center" wrapText="1"/>
    </xf>
    <xf numFmtId="0" fontId="76" fillId="0" borderId="10" xfId="0" applyFont="1" applyBorder="1" applyAlignment="1">
      <alignment vertical="center" wrapText="1"/>
    </xf>
    <xf numFmtId="0" fontId="76" fillId="0" borderId="0" xfId="0" applyFont="1" applyBorder="1" applyAlignment="1">
      <alignment wrapText="1"/>
    </xf>
    <xf numFmtId="14" fontId="26" fillId="0" borderId="10" xfId="0" quotePrefix="1" applyNumberFormat="1" applyFont="1" applyFill="1" applyBorder="1" applyAlignment="1">
      <alignment horizontal="center" vertical="center"/>
    </xf>
    <xf numFmtId="14" fontId="83" fillId="0" borderId="10" xfId="0" quotePrefix="1" applyNumberFormat="1" applyFont="1" applyFill="1" applyBorder="1" applyAlignment="1">
      <alignment horizontal="center" vertical="center" wrapText="1"/>
    </xf>
    <xf numFmtId="14" fontId="26" fillId="18" borderId="10" xfId="0" quotePrefix="1" applyNumberFormat="1" applyFont="1" applyFill="1" applyBorder="1" applyAlignment="1">
      <alignment horizontal="center" vertical="center" wrapText="1"/>
    </xf>
    <xf numFmtId="166" fontId="26" fillId="7" borderId="10" xfId="1" applyNumberFormat="1" applyFont="1" applyFill="1" applyBorder="1" applyAlignment="1">
      <alignment horizontal="center" vertical="center" wrapText="1"/>
    </xf>
    <xf numFmtId="3" fontId="83" fillId="0" borderId="10" xfId="0" applyNumberFormat="1" applyFont="1" applyFill="1" applyBorder="1" applyAlignment="1">
      <alignment vertical="center" wrapText="1"/>
    </xf>
    <xf numFmtId="166" fontId="83" fillId="0" borderId="10" xfId="1" quotePrefix="1" applyNumberFormat="1" applyFont="1" applyFill="1" applyBorder="1" applyAlignment="1">
      <alignment horizontal="center" vertical="center" wrapText="1"/>
    </xf>
    <xf numFmtId="166" fontId="83" fillId="7" borderId="10" xfId="1" quotePrefix="1" applyNumberFormat="1" applyFont="1" applyFill="1" applyBorder="1" applyAlignment="1">
      <alignment horizontal="center" vertical="center"/>
    </xf>
    <xf numFmtId="166" fontId="26" fillId="0" borderId="10" xfId="1" quotePrefix="1" applyNumberFormat="1" applyFont="1" applyFill="1" applyBorder="1" applyAlignment="1">
      <alignment horizontal="center" vertical="center" wrapText="1"/>
    </xf>
    <xf numFmtId="166" fontId="26" fillId="7" borderId="10" xfId="1" quotePrefix="1" applyNumberFormat="1" applyFont="1" applyFill="1" applyBorder="1" applyAlignment="1">
      <alignment horizontal="center" vertical="center"/>
    </xf>
    <xf numFmtId="0" fontId="64" fillId="0" borderId="10" xfId="15" applyFont="1" applyBorder="1" applyAlignment="1">
      <alignment horizontal="left" vertical="center" wrapText="1"/>
    </xf>
    <xf numFmtId="0" fontId="81" fillId="0" borderId="10" xfId="0" applyFont="1" applyFill="1" applyBorder="1" applyAlignment="1">
      <alignment horizontal="center" vertical="center" wrapText="1"/>
    </xf>
    <xf numFmtId="166" fontId="83" fillId="7" borderId="10" xfId="1" quotePrefix="1" applyNumberFormat="1" applyFont="1" applyFill="1" applyBorder="1" applyAlignment="1">
      <alignment horizontal="center" vertical="center" wrapText="1"/>
    </xf>
    <xf numFmtId="166" fontId="75" fillId="0" borderId="10" xfId="1" applyNumberFormat="1" applyFont="1" applyFill="1" applyBorder="1" applyAlignment="1">
      <alignment vertical="center"/>
    </xf>
    <xf numFmtId="0" fontId="81" fillId="0" borderId="10" xfId="0" applyFont="1" applyBorder="1" applyAlignment="1">
      <alignment horizontal="center" vertical="center" wrapText="1"/>
    </xf>
    <xf numFmtId="0" fontId="83" fillId="0" borderId="10" xfId="0" applyFont="1" applyBorder="1" applyAlignment="1">
      <alignment horizontal="center" vertical="center" wrapText="1"/>
    </xf>
    <xf numFmtId="0" fontId="83" fillId="18" borderId="10" xfId="0" applyFont="1" applyFill="1" applyBorder="1" applyAlignment="1">
      <alignment horizontal="center" vertical="center"/>
    </xf>
    <xf numFmtId="166" fontId="83" fillId="7" borderId="10" xfId="1" applyNumberFormat="1" applyFont="1" applyFill="1" applyBorder="1" applyAlignment="1">
      <alignment horizontal="center" vertical="center"/>
    </xf>
    <xf numFmtId="0" fontId="26" fillId="18" borderId="10" xfId="0" quotePrefix="1" applyFont="1" applyFill="1" applyBorder="1" applyAlignment="1">
      <alignment horizontal="center" vertical="center" wrapText="1"/>
    </xf>
    <xf numFmtId="0" fontId="26" fillId="0" borderId="10" xfId="0" applyFont="1" applyBorder="1" applyAlignment="1">
      <alignment horizontal="center" vertical="center" wrapText="1"/>
    </xf>
    <xf numFmtId="49" fontId="26" fillId="0" borderId="10" xfId="0" applyNumberFormat="1" applyFont="1" applyFill="1" applyBorder="1" applyAlignment="1">
      <alignment horizontal="left" vertical="center" wrapText="1"/>
    </xf>
    <xf numFmtId="14" fontId="26" fillId="0" borderId="10" xfId="0" quotePrefix="1" applyNumberFormat="1" applyFont="1" applyBorder="1" applyAlignment="1">
      <alignment horizontal="center" vertical="center"/>
    </xf>
    <xf numFmtId="166" fontId="26" fillId="0" borderId="10" xfId="1" applyNumberFormat="1" applyFont="1" applyBorder="1" applyAlignment="1">
      <alignment horizontal="center" vertical="center"/>
    </xf>
    <xf numFmtId="166" fontId="26" fillId="7" borderId="10" xfId="1" quotePrefix="1" applyNumberFormat="1" applyFont="1" applyFill="1" applyBorder="1" applyAlignment="1">
      <alignment vertical="center" wrapText="1"/>
    </xf>
    <xf numFmtId="166" fontId="29" fillId="18" borderId="10" xfId="1" applyNumberFormat="1" applyFont="1" applyFill="1" applyBorder="1" applyAlignment="1">
      <alignment horizontal="center" vertical="center"/>
    </xf>
    <xf numFmtId="166" fontId="29" fillId="7" borderId="10" xfId="1" applyNumberFormat="1" applyFont="1" applyFill="1" applyBorder="1" applyAlignment="1">
      <alignment horizontal="center" vertical="center"/>
    </xf>
    <xf numFmtId="0" fontId="77" fillId="0" borderId="13" xfId="0" applyFont="1" applyBorder="1" applyAlignment="1">
      <alignment horizontal="left" vertical="center"/>
    </xf>
    <xf numFmtId="166" fontId="77" fillId="0" borderId="13" xfId="1" applyNumberFormat="1" applyFont="1" applyBorder="1" applyAlignment="1">
      <alignment vertical="center"/>
    </xf>
    <xf numFmtId="166" fontId="77" fillId="7" borderId="13" xfId="1" applyNumberFormat="1" applyFont="1" applyFill="1" applyBorder="1" applyAlignment="1">
      <alignment vertical="center"/>
    </xf>
    <xf numFmtId="0" fontId="87" fillId="18" borderId="0" xfId="0" applyFont="1" applyFill="1" applyAlignment="1">
      <alignment vertical="center"/>
    </xf>
    <xf numFmtId="0" fontId="88" fillId="18" borderId="0" xfId="0" applyFont="1" applyFill="1" applyAlignment="1">
      <alignment horizontal="center" vertical="center"/>
    </xf>
    <xf numFmtId="0" fontId="87" fillId="18" borderId="0" xfId="0" applyFont="1" applyFill="1" applyAlignment="1">
      <alignment vertical="center" wrapText="1"/>
    </xf>
    <xf numFmtId="0" fontId="97" fillId="18" borderId="10" xfId="0" applyFont="1" applyFill="1" applyBorder="1" applyAlignment="1">
      <alignment horizontal="center" vertical="center"/>
    </xf>
    <xf numFmtId="0" fontId="97" fillId="18" borderId="10" xfId="0" applyFont="1" applyFill="1" applyBorder="1" applyAlignment="1">
      <alignment horizontal="left" vertical="center"/>
    </xf>
    <xf numFmtId="0" fontId="97" fillId="18" borderId="10" xfId="0" applyFont="1" applyFill="1" applyBorder="1" applyAlignment="1">
      <alignment horizontal="center" vertical="center" wrapText="1"/>
    </xf>
    <xf numFmtId="3" fontId="97" fillId="18" borderId="10" xfId="0" applyNumberFormat="1" applyFont="1" applyFill="1" applyBorder="1" applyAlignment="1">
      <alignment horizontal="right" vertical="center" wrapText="1"/>
    </xf>
    <xf numFmtId="3" fontId="97" fillId="18" borderId="10" xfId="0" applyNumberFormat="1" applyFont="1" applyFill="1" applyBorder="1" applyAlignment="1">
      <alignment vertical="center" wrapText="1"/>
    </xf>
    <xf numFmtId="0" fontId="97" fillId="18" borderId="0" xfId="0" applyFont="1" applyFill="1" applyAlignment="1">
      <alignment horizontal="center" vertical="center"/>
    </xf>
    <xf numFmtId="0" fontId="98" fillId="7" borderId="10" xfId="0" applyFont="1" applyFill="1" applyBorder="1" applyAlignment="1">
      <alignment horizontal="center" vertical="center"/>
    </xf>
    <xf numFmtId="0" fontId="98" fillId="7" borderId="10" xfId="0" applyFont="1" applyFill="1" applyBorder="1" applyAlignment="1">
      <alignment vertical="center"/>
    </xf>
    <xf numFmtId="0" fontId="98" fillId="7" borderId="10" xfId="0" applyFont="1" applyFill="1" applyBorder="1" applyAlignment="1">
      <alignment horizontal="right" vertical="center" wrapText="1"/>
    </xf>
    <xf numFmtId="3" fontId="98" fillId="7" borderId="10" xfId="0" applyNumberFormat="1" applyFont="1" applyFill="1" applyBorder="1" applyAlignment="1">
      <alignment horizontal="right" vertical="center"/>
    </xf>
    <xf numFmtId="3" fontId="98" fillId="7" borderId="10" xfId="0" applyNumberFormat="1" applyFont="1" applyFill="1" applyBorder="1" applyAlignment="1">
      <alignment vertical="center"/>
    </xf>
    <xf numFmtId="0" fontId="99" fillId="7" borderId="0" xfId="0" applyFont="1" applyFill="1" applyAlignment="1">
      <alignment horizontal="center" vertical="center"/>
    </xf>
    <xf numFmtId="49" fontId="100" fillId="18" borderId="10" xfId="0" applyNumberFormat="1" applyFont="1" applyFill="1" applyBorder="1" applyAlignment="1">
      <alignment horizontal="center" vertical="center"/>
    </xf>
    <xf numFmtId="49" fontId="100" fillId="18" borderId="10" xfId="0" applyNumberFormat="1" applyFont="1" applyFill="1" applyBorder="1" applyAlignment="1">
      <alignment horizontal="left" vertical="center" wrapText="1"/>
    </xf>
    <xf numFmtId="49" fontId="100" fillId="18" borderId="10" xfId="0" quotePrefix="1" applyNumberFormat="1" applyFont="1" applyFill="1" applyBorder="1" applyAlignment="1">
      <alignment horizontal="center" vertical="center" wrapText="1"/>
    </xf>
    <xf numFmtId="49" fontId="100" fillId="18" borderId="10" xfId="0" applyNumberFormat="1" applyFont="1" applyFill="1" applyBorder="1" applyAlignment="1">
      <alignment horizontal="center" vertical="center" wrapText="1"/>
    </xf>
    <xf numFmtId="49" fontId="101" fillId="18" borderId="10" xfId="0" applyNumberFormat="1" applyFont="1" applyFill="1" applyBorder="1" applyAlignment="1">
      <alignment horizontal="center" vertical="center"/>
    </xf>
    <xf numFmtId="49" fontId="101" fillId="18" borderId="10" xfId="0" quotePrefix="1" applyNumberFormat="1" applyFont="1" applyFill="1" applyBorder="1" applyAlignment="1">
      <alignment horizontal="center" vertical="center"/>
    </xf>
    <xf numFmtId="2" fontId="100" fillId="18" borderId="10" xfId="0" quotePrefix="1" applyNumberFormat="1" applyFont="1" applyFill="1" applyBorder="1" applyAlignment="1">
      <alignment horizontal="center" vertical="center" wrapText="1"/>
    </xf>
    <xf numFmtId="3" fontId="100" fillId="18" borderId="10" xfId="0" applyNumberFormat="1" applyFont="1" applyFill="1" applyBorder="1" applyAlignment="1">
      <alignment horizontal="center" vertical="center"/>
    </xf>
    <xf numFmtId="3" fontId="100" fillId="18" borderId="10" xfId="0" applyNumberFormat="1" applyFont="1" applyFill="1" applyBorder="1" applyAlignment="1">
      <alignment horizontal="right" vertical="center" wrapText="1"/>
    </xf>
    <xf numFmtId="3" fontId="100" fillId="18" borderId="10" xfId="0" applyNumberFormat="1" applyFont="1" applyFill="1" applyBorder="1" applyAlignment="1">
      <alignment horizontal="right" vertical="center"/>
    </xf>
    <xf numFmtId="49" fontId="100" fillId="18" borderId="10" xfId="0" applyNumberFormat="1" applyFont="1" applyFill="1" applyBorder="1" applyAlignment="1">
      <alignment horizontal="right" vertical="center" wrapText="1"/>
    </xf>
    <xf numFmtId="3" fontId="100" fillId="18" borderId="10" xfId="0" applyNumberFormat="1" applyFont="1" applyFill="1" applyBorder="1" applyAlignment="1">
      <alignment vertical="center"/>
    </xf>
    <xf numFmtId="49" fontId="100" fillId="18" borderId="10" xfId="0" applyNumberFormat="1" applyFont="1" applyFill="1" applyBorder="1" applyAlignment="1">
      <alignment vertical="center"/>
    </xf>
    <xf numFmtId="0" fontId="89" fillId="18" borderId="0" xfId="0" applyFont="1" applyFill="1" applyAlignment="1">
      <alignment horizontal="center" vertical="center"/>
    </xf>
    <xf numFmtId="0" fontId="100" fillId="18" borderId="10" xfId="0" quotePrefix="1" applyFont="1" applyFill="1" applyBorder="1" applyAlignment="1">
      <alignment horizontal="center" vertical="center" wrapText="1"/>
    </xf>
    <xf numFmtId="14" fontId="100" fillId="18" borderId="10" xfId="0" quotePrefix="1" applyNumberFormat="1" applyFont="1" applyFill="1" applyBorder="1" applyAlignment="1">
      <alignment horizontal="center" vertical="center" wrapText="1"/>
    </xf>
    <xf numFmtId="0" fontId="100" fillId="18" borderId="10" xfId="0" applyFont="1" applyFill="1" applyBorder="1" applyAlignment="1">
      <alignment horizontal="center" vertical="center" wrapText="1"/>
    </xf>
    <xf numFmtId="49" fontId="100" fillId="18" borderId="10" xfId="0" quotePrefix="1" applyNumberFormat="1" applyFont="1" applyFill="1" applyBorder="1" applyAlignment="1">
      <alignment horizontal="center" vertical="center"/>
    </xf>
    <xf numFmtId="0" fontId="100" fillId="18" borderId="10" xfId="0" applyFont="1" applyFill="1" applyBorder="1" applyAlignment="1">
      <alignment horizontal="right"/>
    </xf>
    <xf numFmtId="0" fontId="100" fillId="18" borderId="10" xfId="0" applyFont="1" applyFill="1" applyBorder="1" applyAlignment="1"/>
    <xf numFmtId="0" fontId="100" fillId="18" borderId="10" xfId="0" applyFont="1" applyFill="1" applyBorder="1" applyAlignment="1">
      <alignment horizontal="left" vertical="center" wrapText="1"/>
    </xf>
    <xf numFmtId="175" fontId="100" fillId="18" borderId="10" xfId="0" quotePrefix="1" applyNumberFormat="1" applyFont="1" applyFill="1" applyBorder="1" applyAlignment="1">
      <alignment horizontal="center" vertical="center"/>
    </xf>
    <xf numFmtId="14" fontId="100" fillId="18" borderId="10" xfId="0" quotePrefix="1" applyNumberFormat="1" applyFont="1" applyFill="1" applyBorder="1" applyAlignment="1">
      <alignment horizontal="center" vertical="center"/>
    </xf>
    <xf numFmtId="9" fontId="100" fillId="18" borderId="10" xfId="0" quotePrefix="1" applyNumberFormat="1" applyFont="1" applyFill="1" applyBorder="1" applyAlignment="1">
      <alignment horizontal="center" vertical="center"/>
    </xf>
    <xf numFmtId="9" fontId="100" fillId="18" borderId="10" xfId="0" quotePrefix="1" applyNumberFormat="1" applyFont="1" applyFill="1" applyBorder="1" applyAlignment="1">
      <alignment horizontal="center" vertical="center" wrapText="1"/>
    </xf>
    <xf numFmtId="14" fontId="100" fillId="18" borderId="10" xfId="0" applyNumberFormat="1" applyFont="1" applyFill="1" applyBorder="1" applyAlignment="1">
      <alignment horizontal="center" vertical="center" wrapText="1"/>
    </xf>
    <xf numFmtId="3" fontId="100" fillId="18" borderId="10" xfId="0" quotePrefix="1" applyNumberFormat="1" applyFont="1" applyFill="1" applyBorder="1" applyAlignment="1">
      <alignment horizontal="center" vertical="center" wrapText="1"/>
    </xf>
    <xf numFmtId="175" fontId="100" fillId="18" borderId="10" xfId="0" applyNumberFormat="1" applyFont="1" applyFill="1" applyBorder="1" applyAlignment="1">
      <alignment horizontal="center" vertical="center" wrapText="1"/>
    </xf>
    <xf numFmtId="3" fontId="100" fillId="18" borderId="10" xfId="0" quotePrefix="1" applyNumberFormat="1" applyFont="1" applyFill="1" applyBorder="1" applyAlignment="1">
      <alignment horizontal="right" vertical="center" wrapText="1"/>
    </xf>
    <xf numFmtId="0" fontId="100" fillId="18" borderId="10" xfId="0" applyFont="1" applyFill="1" applyBorder="1" applyAlignment="1">
      <alignment horizontal="right" vertical="center"/>
    </xf>
    <xf numFmtId="3" fontId="100" fillId="18" borderId="10" xfId="0" quotePrefix="1" applyNumberFormat="1" applyFont="1" applyFill="1" applyBorder="1" applyAlignment="1">
      <alignment vertical="center" wrapText="1"/>
    </xf>
    <xf numFmtId="0" fontId="98" fillId="7" borderId="10" xfId="0" applyFont="1" applyFill="1" applyBorder="1" applyAlignment="1">
      <alignment horizontal="right" vertical="center"/>
    </xf>
    <xf numFmtId="0" fontId="100" fillId="18" borderId="10" xfId="0" applyFont="1" applyFill="1" applyBorder="1" applyAlignment="1">
      <alignment horizontal="left" vertical="center"/>
    </xf>
    <xf numFmtId="14" fontId="100" fillId="18" borderId="10" xfId="0" applyNumberFormat="1" applyFont="1" applyFill="1" applyBorder="1" applyAlignment="1">
      <alignment horizontal="center" vertical="center"/>
    </xf>
    <xf numFmtId="0" fontId="100" fillId="18" borderId="10" xfId="0" applyFont="1" applyFill="1" applyBorder="1" applyAlignment="1">
      <alignment horizontal="center" vertical="center"/>
    </xf>
    <xf numFmtId="9" fontId="100" fillId="18" borderId="10" xfId="0" applyNumberFormat="1" applyFont="1" applyFill="1" applyBorder="1" applyAlignment="1">
      <alignment horizontal="center" vertical="center"/>
    </xf>
    <xf numFmtId="176" fontId="100" fillId="18" borderId="10" xfId="0" applyNumberFormat="1" applyFont="1" applyFill="1" applyBorder="1" applyAlignment="1">
      <alignment horizontal="center" vertical="center" wrapText="1"/>
    </xf>
    <xf numFmtId="3" fontId="102" fillId="18" borderId="10" xfId="0" applyNumberFormat="1" applyFont="1" applyFill="1" applyBorder="1" applyAlignment="1">
      <alignment horizontal="right" vertical="center"/>
    </xf>
    <xf numFmtId="49" fontId="98" fillId="7" borderId="10" xfId="0" applyNumberFormat="1" applyFont="1" applyFill="1" applyBorder="1" applyAlignment="1">
      <alignment horizontal="left" vertical="center" wrapText="1"/>
    </xf>
    <xf numFmtId="49" fontId="98" fillId="7" borderId="10" xfId="0" applyNumberFormat="1" applyFont="1" applyFill="1" applyBorder="1" applyAlignment="1">
      <alignment horizontal="center" vertical="center" wrapText="1"/>
    </xf>
    <xf numFmtId="49" fontId="98" fillId="7" borderId="10" xfId="0" quotePrefix="1" applyNumberFormat="1" applyFont="1" applyFill="1" applyBorder="1" applyAlignment="1">
      <alignment horizontal="center" vertical="center" wrapText="1"/>
    </xf>
    <xf numFmtId="49" fontId="103" fillId="7" borderId="10" xfId="0" applyNumberFormat="1" applyFont="1" applyFill="1" applyBorder="1" applyAlignment="1">
      <alignment horizontal="center" vertical="center"/>
    </xf>
    <xf numFmtId="49" fontId="98" fillId="7" borderId="10" xfId="0" applyNumberFormat="1" applyFont="1" applyFill="1" applyBorder="1" applyAlignment="1">
      <alignment horizontal="center" vertical="center"/>
    </xf>
    <xf numFmtId="2" fontId="98" fillId="7" borderId="10" xfId="0" applyNumberFormat="1" applyFont="1" applyFill="1" applyBorder="1" applyAlignment="1">
      <alignment horizontal="center" vertical="center" wrapText="1"/>
    </xf>
    <xf numFmtId="3" fontId="98" fillId="7" borderId="10" xfId="0" applyNumberFormat="1" applyFont="1" applyFill="1" applyBorder="1" applyAlignment="1">
      <alignment horizontal="center" vertical="center"/>
    </xf>
    <xf numFmtId="0" fontId="98" fillId="7" borderId="10" xfId="0" applyFont="1" applyFill="1" applyBorder="1" applyAlignment="1">
      <alignment horizontal="center"/>
    </xf>
    <xf numFmtId="3" fontId="98" fillId="7" borderId="10" xfId="0" applyNumberFormat="1" applyFont="1" applyFill="1" applyBorder="1" applyAlignment="1">
      <alignment horizontal="right" vertical="center" wrapText="1"/>
    </xf>
    <xf numFmtId="0" fontId="100" fillId="18" borderId="10" xfId="0" quotePrefix="1" applyFont="1" applyFill="1" applyBorder="1" applyAlignment="1">
      <alignment horizontal="center" vertical="center"/>
    </xf>
    <xf numFmtId="0" fontId="100" fillId="18" borderId="10" xfId="0" quotePrefix="1" applyFont="1" applyFill="1" applyBorder="1" applyAlignment="1">
      <alignment vertical="center" wrapText="1"/>
    </xf>
    <xf numFmtId="9" fontId="100" fillId="18" borderId="10" xfId="0" applyNumberFormat="1" applyFont="1" applyFill="1" applyBorder="1" applyAlignment="1">
      <alignment horizontal="center" vertical="center" wrapText="1"/>
    </xf>
    <xf numFmtId="3" fontId="100" fillId="18" borderId="10" xfId="0" applyNumberFormat="1" applyFont="1" applyFill="1" applyBorder="1" applyAlignment="1">
      <alignment horizontal="center" vertical="center" wrapText="1"/>
    </xf>
    <xf numFmtId="0" fontId="100" fillId="18" borderId="10" xfId="0" applyFont="1" applyFill="1" applyBorder="1" applyAlignment="1">
      <alignment horizontal="center"/>
    </xf>
    <xf numFmtId="0" fontId="89" fillId="18" borderId="10" xfId="0" applyFont="1" applyFill="1" applyBorder="1" applyAlignment="1">
      <alignment horizontal="center" vertical="center"/>
    </xf>
    <xf numFmtId="0" fontId="98" fillId="7" borderId="10" xfId="0" applyNumberFormat="1" applyFont="1" applyFill="1" applyBorder="1" applyAlignment="1">
      <alignment horizontal="center" vertical="center"/>
    </xf>
    <xf numFmtId="0" fontId="100" fillId="18" borderId="10" xfId="0" quotePrefix="1" applyNumberFormat="1" applyFont="1" applyFill="1" applyBorder="1" applyAlignment="1">
      <alignment horizontal="center" vertical="center"/>
    </xf>
    <xf numFmtId="0" fontId="102" fillId="18" borderId="10" xfId="0" applyFont="1" applyFill="1" applyBorder="1" applyAlignment="1">
      <alignment horizontal="left" vertical="center" wrapText="1"/>
    </xf>
    <xf numFmtId="0" fontId="102" fillId="18" borderId="10" xfId="0" quotePrefix="1" applyFont="1" applyFill="1" applyBorder="1" applyAlignment="1">
      <alignment horizontal="center" vertical="center" wrapText="1"/>
    </xf>
    <xf numFmtId="49" fontId="102" fillId="18" borderId="10" xfId="0" applyNumberFormat="1" applyFont="1" applyFill="1" applyBorder="1" applyAlignment="1">
      <alignment horizontal="center" vertical="center" wrapText="1"/>
    </xf>
    <xf numFmtId="0" fontId="102" fillId="18" borderId="10" xfId="0" applyFont="1" applyFill="1" applyBorder="1" applyAlignment="1">
      <alignment horizontal="center" vertical="center" wrapText="1"/>
    </xf>
    <xf numFmtId="9" fontId="102" fillId="18" borderId="10" xfId="0" applyNumberFormat="1" applyFont="1" applyFill="1" applyBorder="1" applyAlignment="1">
      <alignment horizontal="center" vertical="center" wrapText="1"/>
    </xf>
    <xf numFmtId="49" fontId="104" fillId="18" borderId="10" xfId="0" applyNumberFormat="1" applyFont="1" applyFill="1" applyBorder="1" applyAlignment="1">
      <alignment horizontal="center" vertical="center"/>
    </xf>
    <xf numFmtId="3" fontId="102" fillId="18" borderId="10" xfId="0" applyNumberFormat="1" applyFont="1" applyFill="1" applyBorder="1" applyAlignment="1">
      <alignment horizontal="center" vertical="center" wrapText="1"/>
    </xf>
    <xf numFmtId="0" fontId="102" fillId="18" borderId="10" xfId="0" quotePrefix="1" applyFont="1" applyFill="1" applyBorder="1" applyAlignment="1">
      <alignment horizontal="right" vertical="center" wrapText="1"/>
    </xf>
    <xf numFmtId="3" fontId="102" fillId="18" borderId="10" xfId="0" applyNumberFormat="1" applyFont="1" applyFill="1" applyBorder="1" applyAlignment="1">
      <alignment horizontal="right" vertical="center" wrapText="1"/>
    </xf>
    <xf numFmtId="3" fontId="102" fillId="18" borderId="10" xfId="0" applyNumberFormat="1" applyFont="1" applyFill="1" applyBorder="1" applyAlignment="1">
      <alignment vertical="center" wrapText="1"/>
    </xf>
    <xf numFmtId="0" fontId="105" fillId="18" borderId="0" xfId="0" applyFont="1" applyFill="1" applyAlignment="1">
      <alignment horizontal="center" vertical="center"/>
    </xf>
    <xf numFmtId="49" fontId="102" fillId="18" borderId="10" xfId="0" quotePrefix="1" applyNumberFormat="1" applyFont="1" applyFill="1" applyBorder="1" applyAlignment="1">
      <alignment horizontal="center" vertical="center" wrapText="1"/>
    </xf>
    <xf numFmtId="14" fontId="102" fillId="18" borderId="10" xfId="0" quotePrefix="1" applyNumberFormat="1" applyFont="1" applyFill="1" applyBorder="1" applyAlignment="1">
      <alignment horizontal="center" vertical="center" wrapText="1"/>
    </xf>
    <xf numFmtId="49" fontId="102" fillId="18" borderId="10" xfId="0" applyNumberFormat="1" applyFont="1" applyFill="1" applyBorder="1" applyAlignment="1">
      <alignment horizontal="center" vertical="center"/>
    </xf>
    <xf numFmtId="166" fontId="102" fillId="18" borderId="10" xfId="1" applyNumberFormat="1" applyFont="1" applyFill="1" applyBorder="1" applyAlignment="1">
      <alignment horizontal="center" vertical="center" wrapText="1"/>
    </xf>
    <xf numFmtId="9" fontId="102" fillId="18" borderId="10" xfId="14" applyFont="1" applyFill="1" applyBorder="1" applyAlignment="1">
      <alignment horizontal="center" vertical="center" wrapText="1"/>
    </xf>
    <xf numFmtId="2" fontId="102" fillId="18" borderId="10" xfId="0" quotePrefix="1" applyNumberFormat="1" applyFont="1" applyFill="1" applyBorder="1" applyAlignment="1">
      <alignment horizontal="center" vertical="center"/>
    </xf>
    <xf numFmtId="0" fontId="106" fillId="18" borderId="10" xfId="0" applyFont="1" applyFill="1" applyBorder="1" applyAlignment="1">
      <alignment horizontal="center" vertical="center"/>
    </xf>
    <xf numFmtId="0" fontId="102" fillId="18" borderId="10" xfId="0" applyFont="1" applyFill="1" applyBorder="1" applyAlignment="1">
      <alignment horizontal="center"/>
    </xf>
    <xf numFmtId="0" fontId="102" fillId="18" borderId="10" xfId="0" applyFont="1" applyFill="1" applyBorder="1"/>
    <xf numFmtId="3" fontId="102" fillId="18" borderId="10" xfId="0" applyNumberFormat="1" applyFont="1" applyFill="1" applyBorder="1" applyAlignment="1">
      <alignment horizontal="center" vertical="center"/>
    </xf>
    <xf numFmtId="9" fontId="102" fillId="18" borderId="10" xfId="0" quotePrefix="1" applyNumberFormat="1" applyFont="1" applyFill="1" applyBorder="1" applyAlignment="1">
      <alignment horizontal="center" vertical="center" wrapText="1"/>
    </xf>
    <xf numFmtId="16" fontId="102" fillId="18" borderId="10" xfId="0" quotePrefix="1" applyNumberFormat="1" applyFont="1" applyFill="1" applyBorder="1" applyAlignment="1">
      <alignment horizontal="center" vertical="center" wrapText="1"/>
    </xf>
    <xf numFmtId="14" fontId="102" fillId="18" borderId="10" xfId="0" applyNumberFormat="1" applyFont="1" applyFill="1" applyBorder="1" applyAlignment="1">
      <alignment horizontal="center" vertical="center" wrapText="1"/>
    </xf>
    <xf numFmtId="2" fontId="102" fillId="18" borderId="10" xfId="0" applyNumberFormat="1" applyFont="1" applyFill="1" applyBorder="1" applyAlignment="1">
      <alignment horizontal="center" vertical="center" wrapText="1"/>
    </xf>
    <xf numFmtId="14" fontId="98" fillId="7" borderId="10" xfId="0" quotePrefix="1" applyNumberFormat="1" applyFont="1" applyFill="1" applyBorder="1" applyAlignment="1">
      <alignment horizontal="center" vertical="center"/>
    </xf>
    <xf numFmtId="9" fontId="98" fillId="7" borderId="10" xfId="0" applyNumberFormat="1" applyFont="1" applyFill="1" applyBorder="1" applyAlignment="1">
      <alignment horizontal="center" vertical="center"/>
    </xf>
    <xf numFmtId="14" fontId="98" fillId="7" borderId="10" xfId="0" applyNumberFormat="1" applyFont="1" applyFill="1" applyBorder="1" applyAlignment="1">
      <alignment horizontal="center" vertical="center"/>
    </xf>
    <xf numFmtId="0" fontId="98" fillId="7" borderId="10" xfId="0" applyFont="1" applyFill="1" applyBorder="1" applyAlignment="1">
      <alignment horizontal="center" vertical="center" wrapText="1"/>
    </xf>
    <xf numFmtId="14" fontId="98" fillId="7" borderId="10" xfId="0" applyNumberFormat="1" applyFont="1" applyFill="1" applyBorder="1" applyAlignment="1">
      <alignment horizontal="center" vertical="center" wrapText="1"/>
    </xf>
    <xf numFmtId="176" fontId="98" fillId="7" borderId="10" xfId="0" applyNumberFormat="1" applyFont="1" applyFill="1" applyBorder="1" applyAlignment="1">
      <alignment horizontal="center" vertical="center" wrapText="1"/>
    </xf>
    <xf numFmtId="175" fontId="100" fillId="18" borderId="10" xfId="0" applyNumberFormat="1" applyFont="1" applyFill="1" applyBorder="1" applyAlignment="1">
      <alignment horizontal="center" vertical="center"/>
    </xf>
    <xf numFmtId="14" fontId="98" fillId="7" borderId="10" xfId="0" applyNumberFormat="1" applyFont="1" applyFill="1" applyBorder="1" applyAlignment="1">
      <alignment vertical="center"/>
    </xf>
    <xf numFmtId="9" fontId="98" fillId="7" borderId="10" xfId="0" applyNumberFormat="1" applyFont="1" applyFill="1" applyBorder="1" applyAlignment="1">
      <alignment vertical="center"/>
    </xf>
    <xf numFmtId="3" fontId="98" fillId="7" borderId="10" xfId="0" applyNumberFormat="1" applyFont="1" applyFill="1" applyBorder="1" applyAlignment="1">
      <alignment horizontal="center" vertical="center" wrapText="1"/>
    </xf>
    <xf numFmtId="3" fontId="98" fillId="7" borderId="10" xfId="0" quotePrefix="1" applyNumberFormat="1" applyFont="1" applyFill="1" applyBorder="1" applyAlignment="1">
      <alignment horizontal="right" vertical="center" wrapText="1"/>
    </xf>
    <xf numFmtId="0" fontId="102" fillId="18" borderId="10" xfId="0" quotePrefix="1" applyNumberFormat="1" applyFont="1" applyFill="1" applyBorder="1" applyAlignment="1">
      <alignment horizontal="center" vertical="center"/>
    </xf>
    <xf numFmtId="0" fontId="102" fillId="18" borderId="10" xfId="0" applyFont="1" applyFill="1" applyBorder="1" applyAlignment="1">
      <alignment horizontal="right"/>
    </xf>
    <xf numFmtId="3" fontId="102" fillId="18" borderId="10" xfId="0" applyNumberFormat="1" applyFont="1" applyFill="1" applyBorder="1" applyAlignment="1">
      <alignment vertical="center"/>
    </xf>
    <xf numFmtId="0" fontId="102" fillId="18" borderId="10" xfId="0" applyFont="1" applyFill="1" applyBorder="1" applyAlignment="1"/>
    <xf numFmtId="177" fontId="102" fillId="18" borderId="10" xfId="0" quotePrefix="1" applyNumberFormat="1" applyFont="1" applyFill="1" applyBorder="1" applyAlignment="1">
      <alignment horizontal="center" vertical="center" wrapText="1"/>
    </xf>
    <xf numFmtId="178" fontId="102" fillId="18" borderId="10" xfId="0" quotePrefix="1" applyNumberFormat="1" applyFont="1" applyFill="1" applyBorder="1" applyAlignment="1">
      <alignment horizontal="center" vertical="center" wrapText="1"/>
    </xf>
    <xf numFmtId="178" fontId="102" fillId="18" borderId="10" xfId="0" applyNumberFormat="1" applyFont="1" applyFill="1" applyBorder="1" applyAlignment="1">
      <alignment horizontal="center" vertical="center" wrapText="1"/>
    </xf>
    <xf numFmtId="16" fontId="100" fillId="18" borderId="10" xfId="0" quotePrefix="1" applyNumberFormat="1" applyFont="1" applyFill="1" applyBorder="1" applyAlignment="1">
      <alignment horizontal="center" vertical="center" wrapText="1"/>
    </xf>
    <xf numFmtId="0" fontId="100" fillId="18" borderId="10" xfId="0" quotePrefix="1" applyFont="1" applyFill="1" applyBorder="1" applyAlignment="1">
      <alignment horizontal="right" vertical="center" wrapText="1"/>
    </xf>
    <xf numFmtId="0" fontId="100" fillId="18" borderId="10" xfId="0" applyFont="1" applyFill="1" applyBorder="1"/>
    <xf numFmtId="3" fontId="100" fillId="18" borderId="10" xfId="0" applyNumberFormat="1" applyFont="1" applyFill="1" applyBorder="1" applyAlignment="1">
      <alignment vertical="center" wrapText="1"/>
    </xf>
    <xf numFmtId="2" fontId="98" fillId="7" borderId="10" xfId="0" applyNumberFormat="1" applyFont="1" applyFill="1" applyBorder="1" applyAlignment="1">
      <alignment horizontal="left" vertical="center" wrapText="1"/>
    </xf>
    <xf numFmtId="2" fontId="98" fillId="7" borderId="10" xfId="0" applyNumberFormat="1" applyFont="1" applyFill="1" applyBorder="1" applyAlignment="1">
      <alignment horizontal="center" vertical="center"/>
    </xf>
    <xf numFmtId="2" fontId="98" fillId="7" borderId="10" xfId="0" quotePrefix="1" applyNumberFormat="1" applyFont="1" applyFill="1" applyBorder="1" applyAlignment="1">
      <alignment horizontal="center" vertical="center"/>
    </xf>
    <xf numFmtId="2" fontId="98" fillId="7" borderId="10" xfId="0" quotePrefix="1" applyNumberFormat="1" applyFont="1" applyFill="1" applyBorder="1" applyAlignment="1">
      <alignment horizontal="center" vertical="center" wrapText="1"/>
    </xf>
    <xf numFmtId="3" fontId="98" fillId="7" borderId="10" xfId="0" applyNumberFormat="1" applyFont="1" applyFill="1" applyBorder="1" applyAlignment="1">
      <alignment vertical="center" wrapText="1"/>
    </xf>
    <xf numFmtId="0" fontId="102" fillId="18" borderId="10" xfId="0" quotePrefix="1" applyFont="1" applyFill="1" applyBorder="1" applyAlignment="1">
      <alignment horizontal="center" vertical="center"/>
    </xf>
    <xf numFmtId="3" fontId="102" fillId="18" borderId="10" xfId="0" applyNumberFormat="1" applyFont="1" applyFill="1" applyBorder="1" applyAlignment="1">
      <alignment horizontal="left" vertical="center" wrapText="1"/>
    </xf>
    <xf numFmtId="14" fontId="102" fillId="18" borderId="10" xfId="0" quotePrefix="1" applyNumberFormat="1" applyFont="1" applyFill="1" applyBorder="1" applyAlignment="1">
      <alignment horizontal="center" vertical="center"/>
    </xf>
    <xf numFmtId="2" fontId="102" fillId="18" borderId="10" xfId="0" applyNumberFormat="1" applyFont="1" applyFill="1" applyBorder="1" applyAlignment="1">
      <alignment horizontal="center" vertical="center"/>
    </xf>
    <xf numFmtId="14" fontId="102" fillId="18" borderId="10" xfId="0" quotePrefix="1" applyNumberFormat="1" applyFont="1" applyFill="1" applyBorder="1" applyAlignment="1">
      <alignment vertical="center"/>
    </xf>
    <xf numFmtId="2" fontId="102" fillId="18" borderId="10" xfId="0" quotePrefix="1" applyNumberFormat="1" applyFont="1" applyFill="1" applyBorder="1" applyAlignment="1">
      <alignment horizontal="center" vertical="center" wrapText="1"/>
    </xf>
    <xf numFmtId="3" fontId="102" fillId="18" borderId="10" xfId="0" quotePrefix="1" applyNumberFormat="1" applyFont="1" applyFill="1" applyBorder="1" applyAlignment="1">
      <alignment horizontal="center" vertical="center" wrapText="1"/>
    </xf>
    <xf numFmtId="3" fontId="102" fillId="18" borderId="10" xfId="0" quotePrefix="1" applyNumberFormat="1" applyFont="1" applyFill="1" applyBorder="1" applyAlignment="1">
      <alignment horizontal="right" vertical="center" wrapText="1"/>
    </xf>
    <xf numFmtId="0" fontId="102" fillId="18" borderId="10" xfId="0" applyFont="1" applyFill="1" applyBorder="1" applyAlignment="1">
      <alignment horizontal="right" vertical="center"/>
    </xf>
    <xf numFmtId="3" fontId="102" fillId="18" borderId="10" xfId="0" quotePrefix="1" applyNumberFormat="1" applyFont="1" applyFill="1" applyBorder="1" applyAlignment="1">
      <alignment vertical="center" wrapText="1"/>
    </xf>
    <xf numFmtId="9" fontId="102" fillId="18" borderId="10" xfId="0" quotePrefix="1" applyNumberFormat="1" applyFont="1" applyFill="1" applyBorder="1" applyAlignment="1">
      <alignment horizontal="center" vertical="center"/>
    </xf>
    <xf numFmtId="168" fontId="102" fillId="18" borderId="10" xfId="0" applyNumberFormat="1" applyFont="1" applyFill="1" applyBorder="1" applyAlignment="1">
      <alignment vertical="center"/>
    </xf>
    <xf numFmtId="0" fontId="102" fillId="18" borderId="10" xfId="0" applyFont="1" applyFill="1" applyBorder="1" applyAlignment="1">
      <alignment horizontal="center" vertical="center"/>
    </xf>
    <xf numFmtId="179" fontId="102" fillId="18" borderId="10" xfId="0" applyNumberFormat="1" applyFont="1" applyFill="1" applyBorder="1" applyAlignment="1">
      <alignment horizontal="center" vertical="center"/>
    </xf>
    <xf numFmtId="9" fontId="102" fillId="18" borderId="10" xfId="0" applyNumberFormat="1" applyFont="1" applyFill="1" applyBorder="1" applyAlignment="1">
      <alignment horizontal="center" vertical="center"/>
    </xf>
    <xf numFmtId="2" fontId="102" fillId="18" borderId="10" xfId="0" applyNumberFormat="1" applyFont="1" applyFill="1" applyBorder="1" applyAlignment="1">
      <alignment horizontal="left" vertical="center" wrapText="1"/>
    </xf>
    <xf numFmtId="179" fontId="102" fillId="18" borderId="10" xfId="0" quotePrefix="1" applyNumberFormat="1" applyFont="1" applyFill="1" applyBorder="1" applyAlignment="1">
      <alignment horizontal="center" vertical="center"/>
    </xf>
    <xf numFmtId="180" fontId="102" fillId="18" borderId="10" xfId="0" quotePrefix="1" applyNumberFormat="1" applyFont="1" applyFill="1" applyBorder="1" applyAlignment="1">
      <alignment horizontal="center" vertical="center"/>
    </xf>
    <xf numFmtId="0" fontId="107" fillId="7" borderId="10" xfId="0" applyFont="1" applyFill="1" applyBorder="1" applyAlignment="1">
      <alignment horizontal="center" vertical="center"/>
    </xf>
    <xf numFmtId="0" fontId="107" fillId="7" borderId="10" xfId="0" applyFont="1" applyFill="1" applyBorder="1" applyAlignment="1">
      <alignment horizontal="left" vertical="center" wrapText="1"/>
    </xf>
    <xf numFmtId="0" fontId="107" fillId="7" borderId="10" xfId="0" applyFont="1" applyFill="1" applyBorder="1" applyAlignment="1">
      <alignment horizontal="center" vertical="center" wrapText="1"/>
    </xf>
    <xf numFmtId="14" fontId="107" fillId="7" borderId="10" xfId="0" quotePrefix="1" applyNumberFormat="1" applyFont="1" applyFill="1" applyBorder="1" applyAlignment="1">
      <alignment vertical="center" wrapText="1"/>
    </xf>
    <xf numFmtId="9" fontId="107" fillId="7" borderId="10" xfId="0" applyNumberFormat="1" applyFont="1" applyFill="1" applyBorder="1" applyAlignment="1">
      <alignment horizontal="center" vertical="center" wrapText="1"/>
    </xf>
    <xf numFmtId="14" fontId="107" fillId="7" borderId="10" xfId="0" quotePrefix="1" applyNumberFormat="1" applyFont="1" applyFill="1" applyBorder="1" applyAlignment="1">
      <alignment horizontal="center" vertical="center" wrapText="1"/>
    </xf>
    <xf numFmtId="3" fontId="107" fillId="7" borderId="10" xfId="12" applyNumberFormat="1" applyFont="1" applyFill="1" applyBorder="1" applyAlignment="1">
      <alignment horizontal="center" vertical="center"/>
    </xf>
    <xf numFmtId="3" fontId="107" fillId="7" borderId="10" xfId="0" applyNumberFormat="1" applyFont="1" applyFill="1" applyBorder="1" applyAlignment="1">
      <alignment horizontal="center" vertical="center" wrapText="1"/>
    </xf>
    <xf numFmtId="0" fontId="108" fillId="7" borderId="10" xfId="0" applyFont="1" applyFill="1" applyBorder="1"/>
    <xf numFmtId="3" fontId="107" fillId="7" borderId="10" xfId="0" quotePrefix="1" applyNumberFormat="1" applyFont="1" applyFill="1" applyBorder="1" applyAlignment="1">
      <alignment horizontal="right" vertical="center" wrapText="1"/>
    </xf>
    <xf numFmtId="3" fontId="107" fillId="7" borderId="10" xfId="0" applyNumberFormat="1" applyFont="1" applyFill="1" applyBorder="1" applyAlignment="1">
      <alignment horizontal="right" vertical="center" wrapText="1"/>
    </xf>
    <xf numFmtId="3" fontId="107" fillId="7" borderId="10" xfId="0" applyNumberFormat="1" applyFont="1" applyFill="1" applyBorder="1" applyAlignment="1">
      <alignment vertical="center" wrapText="1"/>
    </xf>
    <xf numFmtId="0" fontId="109" fillId="7" borderId="0" xfId="0" applyFont="1" applyFill="1" applyAlignment="1">
      <alignment horizontal="center" vertical="center"/>
    </xf>
    <xf numFmtId="3" fontId="100" fillId="18" borderId="10" xfId="0" quotePrefix="1" applyNumberFormat="1" applyFont="1" applyFill="1" applyBorder="1" applyAlignment="1">
      <alignment horizontal="center" vertical="center"/>
    </xf>
    <xf numFmtId="3" fontId="100" fillId="18" borderId="10" xfId="10" quotePrefix="1" applyNumberFormat="1" applyFont="1" applyFill="1" applyBorder="1" applyAlignment="1">
      <alignment horizontal="center" vertical="center" wrapText="1"/>
    </xf>
    <xf numFmtId="3" fontId="100" fillId="18" borderId="10" xfId="10" applyNumberFormat="1" applyFont="1" applyFill="1" applyBorder="1" applyAlignment="1">
      <alignment horizontal="center" vertical="center" wrapText="1"/>
    </xf>
    <xf numFmtId="17" fontId="100" fillId="18" borderId="10" xfId="0" quotePrefix="1" applyNumberFormat="1" applyFont="1" applyFill="1" applyBorder="1" applyAlignment="1">
      <alignment horizontal="center" vertical="center" wrapText="1"/>
    </xf>
    <xf numFmtId="3" fontId="98" fillId="18" borderId="10" xfId="10" applyNumberFormat="1" applyFont="1" applyFill="1" applyBorder="1" applyAlignment="1">
      <alignment horizontal="right" vertical="center" wrapText="1"/>
    </xf>
    <xf numFmtId="3" fontId="100" fillId="18" borderId="10" xfId="10" applyNumberFormat="1" applyFont="1" applyFill="1" applyBorder="1" applyAlignment="1">
      <alignment horizontal="right" vertical="center" wrapText="1"/>
    </xf>
    <xf numFmtId="0" fontId="102" fillId="18" borderId="10" xfId="0" applyFont="1" applyFill="1" applyBorder="1" applyAlignment="1">
      <alignment vertical="center"/>
    </xf>
    <xf numFmtId="9" fontId="102" fillId="18" borderId="10" xfId="14" applyFont="1" applyFill="1" applyBorder="1" applyAlignment="1">
      <alignment horizontal="center" vertical="center"/>
    </xf>
    <xf numFmtId="14" fontId="102" fillId="18" borderId="10" xfId="0" applyNumberFormat="1" applyFont="1" applyFill="1" applyBorder="1" applyAlignment="1">
      <alignment horizontal="center" vertical="center"/>
    </xf>
    <xf numFmtId="0" fontId="102" fillId="18" borderId="10" xfId="0" applyNumberFormat="1" applyFont="1" applyFill="1" applyBorder="1" applyAlignment="1">
      <alignment horizontal="center" vertical="center" wrapText="1"/>
    </xf>
    <xf numFmtId="176" fontId="102" fillId="18" borderId="10" xfId="0" applyNumberFormat="1" applyFont="1" applyFill="1" applyBorder="1" applyAlignment="1">
      <alignment horizontal="center" vertical="center" wrapText="1"/>
    </xf>
    <xf numFmtId="176" fontId="102" fillId="18" borderId="10" xfId="0" applyNumberFormat="1" applyFont="1" applyFill="1" applyBorder="1" applyAlignment="1">
      <alignment vertical="center"/>
    </xf>
    <xf numFmtId="49" fontId="102" fillId="18" borderId="10" xfId="0" quotePrefix="1" applyNumberFormat="1" applyFont="1" applyFill="1" applyBorder="1" applyAlignment="1">
      <alignment horizontal="center" vertical="center"/>
    </xf>
    <xf numFmtId="176" fontId="102" fillId="18" borderId="10" xfId="0" applyNumberFormat="1" applyFont="1" applyFill="1" applyBorder="1"/>
    <xf numFmtId="3" fontId="102" fillId="18" borderId="10" xfId="0" applyNumberFormat="1" applyFont="1" applyFill="1" applyBorder="1" applyAlignment="1">
      <alignment horizontal="right"/>
    </xf>
    <xf numFmtId="3" fontId="102" fillId="18" borderId="10" xfId="0" applyNumberFormat="1" applyFont="1" applyFill="1" applyBorder="1" applyAlignment="1"/>
    <xf numFmtId="176" fontId="102" fillId="18" borderId="10" xfId="0" applyNumberFormat="1" applyFont="1" applyFill="1" applyBorder="1" applyAlignment="1">
      <alignment horizontal="center" vertical="center"/>
    </xf>
    <xf numFmtId="9" fontId="102" fillId="18" borderId="10" xfId="14" quotePrefix="1" applyFont="1" applyFill="1" applyBorder="1" applyAlignment="1">
      <alignment horizontal="center" vertical="center"/>
    </xf>
    <xf numFmtId="17" fontId="102" fillId="18" borderId="10" xfId="0" quotePrefix="1" applyNumberFormat="1" applyFont="1" applyFill="1" applyBorder="1" applyAlignment="1">
      <alignment horizontal="center" vertical="center" wrapText="1"/>
    </xf>
    <xf numFmtId="3" fontId="100" fillId="18" borderId="10" xfId="0" applyNumberFormat="1" applyFont="1" applyFill="1" applyBorder="1" applyAlignment="1">
      <alignment horizontal="right"/>
    </xf>
    <xf numFmtId="3" fontId="100" fillId="18" borderId="10" xfId="0" applyNumberFormat="1" applyFont="1" applyFill="1" applyBorder="1" applyAlignment="1"/>
    <xf numFmtId="14" fontId="98" fillId="7" borderId="10" xfId="0" quotePrefix="1" applyNumberFormat="1" applyFont="1" applyFill="1" applyBorder="1" applyAlignment="1">
      <alignment horizontal="center" vertical="center" wrapText="1"/>
    </xf>
    <xf numFmtId="9" fontId="98" fillId="7" borderId="10" xfId="0" applyNumberFormat="1" applyFont="1" applyFill="1" applyBorder="1" applyAlignment="1">
      <alignment horizontal="center" vertical="center" wrapText="1"/>
    </xf>
    <xf numFmtId="0" fontId="102" fillId="18" borderId="13" xfId="0" quotePrefix="1" applyFont="1" applyFill="1" applyBorder="1" applyAlignment="1">
      <alignment horizontal="center" vertical="center"/>
    </xf>
    <xf numFmtId="0" fontId="102" fillId="18" borderId="13" xfId="0" applyFont="1" applyFill="1" applyBorder="1" applyAlignment="1">
      <alignment horizontal="left" vertical="center" wrapText="1"/>
    </xf>
    <xf numFmtId="14" fontId="102" fillId="18" borderId="13" xfId="0" quotePrefix="1" applyNumberFormat="1" applyFont="1" applyFill="1" applyBorder="1" applyAlignment="1">
      <alignment horizontal="center" vertical="center" wrapText="1"/>
    </xf>
    <xf numFmtId="0" fontId="102" fillId="18" borderId="13" xfId="0" applyFont="1" applyFill="1" applyBorder="1" applyAlignment="1">
      <alignment horizontal="center" vertical="center" wrapText="1"/>
    </xf>
    <xf numFmtId="9" fontId="102" fillId="18" borderId="13" xfId="0" applyNumberFormat="1" applyFont="1" applyFill="1" applyBorder="1" applyAlignment="1">
      <alignment horizontal="center" vertical="center" wrapText="1"/>
    </xf>
    <xf numFmtId="9" fontId="102" fillId="18" borderId="13" xfId="0" applyNumberFormat="1" applyFont="1" applyFill="1" applyBorder="1" applyAlignment="1">
      <alignment horizontal="center" vertical="center"/>
    </xf>
    <xf numFmtId="0" fontId="102" fillId="18" borderId="13" xfId="0" applyFont="1" applyFill="1" applyBorder="1" applyAlignment="1">
      <alignment horizontal="center" vertical="center"/>
    </xf>
    <xf numFmtId="3" fontId="102" fillId="18" borderId="13" xfId="0" applyNumberFormat="1" applyFont="1" applyFill="1" applyBorder="1" applyAlignment="1">
      <alignment horizontal="center" vertical="center"/>
    </xf>
    <xf numFmtId="176" fontId="102" fillId="18" borderId="13" xfId="0" applyNumberFormat="1" applyFont="1" applyFill="1" applyBorder="1" applyAlignment="1">
      <alignment horizontal="center" vertical="center" wrapText="1"/>
    </xf>
    <xf numFmtId="3" fontId="102" fillId="18" borderId="13" xfId="0" quotePrefix="1" applyNumberFormat="1" applyFont="1" applyFill="1" applyBorder="1" applyAlignment="1">
      <alignment horizontal="right" vertical="center" wrapText="1"/>
    </xf>
    <xf numFmtId="3" fontId="102" fillId="18" borderId="13" xfId="0" applyNumberFormat="1" applyFont="1" applyFill="1" applyBorder="1" applyAlignment="1">
      <alignment horizontal="right" vertical="center"/>
    </xf>
    <xf numFmtId="3" fontId="102" fillId="18" borderId="13" xfId="0" applyNumberFormat="1" applyFont="1" applyFill="1" applyBorder="1" applyAlignment="1">
      <alignment horizontal="right"/>
    </xf>
    <xf numFmtId="3" fontId="102" fillId="18" borderId="13" xfId="0" applyNumberFormat="1" applyFont="1" applyFill="1" applyBorder="1" applyAlignment="1">
      <alignment vertical="center"/>
    </xf>
    <xf numFmtId="3" fontId="102" fillId="18" borderId="13" xfId="0" applyNumberFormat="1" applyFont="1" applyFill="1" applyBorder="1" applyAlignment="1"/>
    <xf numFmtId="3" fontId="100" fillId="18" borderId="13" xfId="0" applyNumberFormat="1" applyFont="1" applyFill="1" applyBorder="1" applyAlignment="1">
      <alignment horizontal="right" vertical="center"/>
    </xf>
    <xf numFmtId="0" fontId="89" fillId="18" borderId="0" xfId="0" applyFont="1" applyFill="1" applyBorder="1" applyAlignment="1">
      <alignment horizontal="center" vertical="center"/>
    </xf>
    <xf numFmtId="0" fontId="89" fillId="18" borderId="0" xfId="0" applyFont="1" applyFill="1" applyBorder="1" applyAlignment="1">
      <alignment horizontal="left" vertical="center"/>
    </xf>
    <xf numFmtId="0" fontId="89" fillId="18" borderId="0" xfId="0" applyFont="1" applyFill="1" applyBorder="1" applyAlignment="1">
      <alignment vertical="center"/>
    </xf>
    <xf numFmtId="0" fontId="88" fillId="18" borderId="0" xfId="0" applyFont="1" applyFill="1" applyAlignment="1">
      <alignment horizontal="center"/>
    </xf>
    <xf numFmtId="0" fontId="88" fillId="18" borderId="0" xfId="0" applyFont="1" applyFill="1" applyAlignment="1">
      <alignment horizontal="left"/>
    </xf>
    <xf numFmtId="3" fontId="88" fillId="18" borderId="0" xfId="0" applyNumberFormat="1" applyFont="1" applyFill="1" applyAlignment="1">
      <alignment horizontal="center" vertical="center"/>
    </xf>
    <xf numFmtId="0" fontId="88" fillId="18" borderId="0" xfId="0" applyFont="1" applyFill="1" applyAlignment="1"/>
    <xf numFmtId="3" fontId="88" fillId="18" borderId="0" xfId="0" applyNumberFormat="1" applyFont="1" applyFill="1" applyAlignment="1"/>
    <xf numFmtId="0" fontId="45" fillId="0" borderId="0" xfId="0" applyFont="1"/>
    <xf numFmtId="3" fontId="97" fillId="18" borderId="0" xfId="0" applyNumberFormat="1" applyFont="1" applyFill="1" applyAlignment="1">
      <alignment horizontal="center" vertical="center"/>
    </xf>
    <xf numFmtId="0" fontId="88" fillId="0" borderId="0" xfId="16" applyFont="1"/>
    <xf numFmtId="0" fontId="88" fillId="0" borderId="0" xfId="16" applyFont="1" applyAlignment="1">
      <alignment horizontal="center"/>
    </xf>
    <xf numFmtId="38" fontId="88" fillId="0" borderId="0" xfId="16" applyNumberFormat="1" applyFont="1" applyAlignment="1">
      <alignment horizontal="right"/>
    </xf>
    <xf numFmtId="3" fontId="88" fillId="0" borderId="0" xfId="16" applyNumberFormat="1" applyFont="1" applyAlignment="1">
      <alignment horizontal="right"/>
    </xf>
    <xf numFmtId="181" fontId="88" fillId="0" borderId="0" xfId="16" applyNumberFormat="1" applyFont="1"/>
    <xf numFmtId="0" fontId="88" fillId="0" borderId="0" xfId="16" applyFont="1" applyAlignment="1">
      <alignment horizontal="right"/>
    </xf>
    <xf numFmtId="0" fontId="87" fillId="8" borderId="8" xfId="16" applyFont="1" applyFill="1" applyBorder="1" applyAlignment="1">
      <alignment horizontal="center" vertical="center"/>
    </xf>
    <xf numFmtId="0" fontId="87" fillId="8" borderId="8" xfId="16" applyFont="1" applyFill="1" applyBorder="1" applyAlignment="1">
      <alignment horizontal="center" vertical="center" wrapText="1"/>
    </xf>
    <xf numFmtId="0" fontId="87" fillId="9" borderId="8" xfId="16" applyFont="1" applyFill="1" applyBorder="1" applyAlignment="1">
      <alignment horizontal="center" vertical="center"/>
    </xf>
    <xf numFmtId="0" fontId="87" fillId="6" borderId="8" xfId="16" applyFont="1" applyFill="1" applyBorder="1" applyAlignment="1">
      <alignment horizontal="center" vertical="center"/>
    </xf>
    <xf numFmtId="0" fontId="112" fillId="6" borderId="8" xfId="16" applyFont="1" applyFill="1" applyBorder="1" applyAlignment="1">
      <alignment horizontal="center" vertical="center" wrapText="1"/>
    </xf>
    <xf numFmtId="0" fontId="88" fillId="6" borderId="8" xfId="16" applyFont="1" applyFill="1" applyBorder="1" applyAlignment="1">
      <alignment horizontal="center" vertical="center" wrapText="1"/>
    </xf>
    <xf numFmtId="0" fontId="88" fillId="0" borderId="0" xfId="16" applyFont="1" applyAlignment="1">
      <alignment horizontal="center" vertical="center" wrapText="1"/>
    </xf>
    <xf numFmtId="0" fontId="88" fillId="8" borderId="8" xfId="16" applyNumberFormat="1" applyFont="1" applyFill="1" applyBorder="1" applyAlignment="1">
      <alignment horizontal="center" vertical="center"/>
    </xf>
    <xf numFmtId="0" fontId="88" fillId="9" borderId="8" xfId="16" applyNumberFormat="1" applyFont="1" applyFill="1" applyBorder="1" applyAlignment="1">
      <alignment horizontal="center" vertical="center"/>
    </xf>
    <xf numFmtId="0" fontId="87" fillId="7" borderId="8" xfId="16" applyFont="1" applyFill="1" applyBorder="1" applyAlignment="1">
      <alignment horizontal="center" vertical="center"/>
    </xf>
    <xf numFmtId="0" fontId="87" fillId="7" borderId="8" xfId="16" applyFont="1" applyFill="1" applyBorder="1" applyAlignment="1">
      <alignment vertical="center" wrapText="1"/>
    </xf>
    <xf numFmtId="38" fontId="87" fillId="7" borderId="8" xfId="17" applyNumberFormat="1" applyFont="1" applyFill="1" applyBorder="1" applyAlignment="1">
      <alignment horizontal="right" vertical="center"/>
    </xf>
    <xf numFmtId="38" fontId="114" fillId="7" borderId="8" xfId="18" applyNumberFormat="1" applyFont="1" applyFill="1" applyBorder="1" applyAlignment="1">
      <alignment horizontal="right" vertical="center"/>
    </xf>
    <xf numFmtId="38" fontId="114" fillId="7" borderId="8" xfId="17" applyNumberFormat="1" applyFont="1" applyFill="1" applyBorder="1" applyAlignment="1">
      <alignment vertical="center"/>
    </xf>
    <xf numFmtId="38" fontId="87" fillId="7" borderId="8" xfId="17" applyNumberFormat="1" applyFont="1" applyFill="1" applyBorder="1" applyAlignment="1">
      <alignment vertical="center"/>
    </xf>
    <xf numFmtId="0" fontId="88" fillId="0" borderId="8" xfId="16" applyFont="1" applyBorder="1" applyAlignment="1">
      <alignment horizontal="center"/>
    </xf>
    <xf numFmtId="0" fontId="88" fillId="0" borderId="8" xfId="16" applyFont="1" applyBorder="1" applyAlignment="1">
      <alignment wrapText="1"/>
    </xf>
    <xf numFmtId="38" fontId="43" fillId="0" borderId="8" xfId="17" applyNumberFormat="1" applyFont="1" applyFill="1" applyBorder="1" applyAlignment="1">
      <alignment horizontal="right" vertical="center"/>
    </xf>
    <xf numFmtId="38" fontId="115" fillId="0" borderId="8" xfId="18" applyNumberFormat="1" applyFont="1" applyFill="1" applyBorder="1" applyAlignment="1">
      <alignment horizontal="right" vertical="center"/>
    </xf>
    <xf numFmtId="38" fontId="115" fillId="0" borderId="8" xfId="17" applyNumberFormat="1" applyFont="1" applyFill="1" applyBorder="1" applyAlignment="1">
      <alignment vertical="center"/>
    </xf>
    <xf numFmtId="38" fontId="88" fillId="0" borderId="8" xfId="17" applyNumberFormat="1" applyFont="1" applyBorder="1" applyAlignment="1">
      <alignment vertical="center"/>
    </xf>
    <xf numFmtId="38" fontId="88" fillId="0" borderId="8" xfId="17" applyNumberFormat="1" applyFont="1" applyFill="1" applyBorder="1" applyAlignment="1">
      <alignment horizontal="right" vertical="center"/>
    </xf>
    <xf numFmtId="38" fontId="43" fillId="0" borderId="8" xfId="18" applyNumberFormat="1" applyFont="1" applyFill="1" applyBorder="1" applyAlignment="1">
      <alignment horizontal="right" vertical="center"/>
    </xf>
    <xf numFmtId="38" fontId="88" fillId="0" borderId="8" xfId="17" applyNumberFormat="1" applyFont="1" applyBorder="1" applyAlignment="1">
      <alignment horizontal="right" vertical="center"/>
    </xf>
    <xf numFmtId="0" fontId="43" fillId="0" borderId="8" xfId="16" applyFont="1" applyBorder="1" applyAlignment="1">
      <alignment horizontal="center"/>
    </xf>
    <xf numFmtId="0" fontId="43" fillId="0" borderId="10" xfId="16" applyFont="1" applyBorder="1" applyAlignment="1">
      <alignment vertical="center" wrapText="1"/>
    </xf>
    <xf numFmtId="38" fontId="43" fillId="0" borderId="8" xfId="17" applyNumberFormat="1" applyFont="1" applyBorder="1" applyAlignment="1">
      <alignment horizontal="right" vertical="center"/>
    </xf>
    <xf numFmtId="0" fontId="43" fillId="0" borderId="0" xfId="16" applyFont="1" applyAlignment="1">
      <alignment wrapText="1"/>
    </xf>
    <xf numFmtId="0" fontId="43" fillId="0" borderId="0" xfId="16" applyFont="1"/>
    <xf numFmtId="0" fontId="88" fillId="0" borderId="10" xfId="16" applyFont="1" applyBorder="1" applyAlignment="1">
      <alignment vertical="center" wrapText="1"/>
    </xf>
    <xf numFmtId="0" fontId="114" fillId="0" borderId="8" xfId="16" applyFont="1" applyBorder="1" applyAlignment="1">
      <alignment horizontal="center"/>
    </xf>
    <xf numFmtId="0" fontId="114" fillId="0" borderId="8" xfId="16" applyFont="1" applyBorder="1" applyAlignment="1">
      <alignment vertical="center" wrapText="1"/>
    </xf>
    <xf numFmtId="38" fontId="114" fillId="0" borderId="8" xfId="17" applyNumberFormat="1" applyFont="1" applyFill="1" applyBorder="1" applyAlignment="1">
      <alignment horizontal="right" vertical="center"/>
    </xf>
    <xf numFmtId="38" fontId="114" fillId="0" borderId="8" xfId="17" applyNumberFormat="1" applyFont="1" applyBorder="1" applyAlignment="1">
      <alignment horizontal="right" vertical="center"/>
    </xf>
    <xf numFmtId="38" fontId="112" fillId="0" borderId="0" xfId="16" applyNumberFormat="1" applyFont="1"/>
    <xf numFmtId="0" fontId="112" fillId="0" borderId="0" xfId="16" applyFont="1"/>
    <xf numFmtId="0" fontId="87" fillId="0" borderId="8" xfId="16" applyFont="1" applyBorder="1" applyAlignment="1">
      <alignment horizontal="center" vertical="center"/>
    </xf>
    <xf numFmtId="0" fontId="87" fillId="0" borderId="8" xfId="16" applyFont="1" applyBorder="1" applyAlignment="1">
      <alignment wrapText="1"/>
    </xf>
    <xf numFmtId="38" fontId="87" fillId="0" borderId="8" xfId="17" applyNumberFormat="1" applyFont="1" applyFill="1" applyBorder="1" applyAlignment="1">
      <alignment horizontal="right" vertical="center"/>
    </xf>
    <xf numFmtId="0" fontId="112" fillId="0" borderId="8" xfId="16" applyFont="1" applyFill="1" applyBorder="1" applyAlignment="1">
      <alignment horizontal="center"/>
    </xf>
    <xf numFmtId="0" fontId="112" fillId="0" borderId="8" xfId="16" applyFont="1" applyFill="1" applyBorder="1" applyAlignment="1">
      <alignment wrapText="1"/>
    </xf>
    <xf numFmtId="38" fontId="112" fillId="0" borderId="8" xfId="17" applyNumberFormat="1" applyFont="1" applyFill="1" applyBorder="1" applyAlignment="1">
      <alignment horizontal="right" vertical="center"/>
    </xf>
    <xf numFmtId="38" fontId="112" fillId="0" borderId="8" xfId="17" applyNumberFormat="1" applyFont="1" applyBorder="1" applyAlignment="1">
      <alignment horizontal="right" vertical="center"/>
    </xf>
    <xf numFmtId="0" fontId="88" fillId="0" borderId="8" xfId="16" applyFont="1" applyFill="1" applyBorder="1" applyAlignment="1">
      <alignment horizontal="center"/>
    </xf>
    <xf numFmtId="0" fontId="88" fillId="7" borderId="10" xfId="16" applyFont="1" applyFill="1" applyBorder="1" applyAlignment="1">
      <alignment vertical="center" wrapText="1"/>
    </xf>
    <xf numFmtId="0" fontId="111" fillId="0" borderId="8" xfId="16" applyFont="1" applyBorder="1" applyAlignment="1">
      <alignment wrapText="1"/>
    </xf>
    <xf numFmtId="38" fontId="43" fillId="0" borderId="8" xfId="17" applyNumberFormat="1" applyFont="1" applyBorder="1" applyAlignment="1">
      <alignment vertical="center"/>
    </xf>
    <xf numFmtId="38" fontId="88" fillId="0" borderId="0" xfId="16" applyNumberFormat="1" applyFont="1"/>
    <xf numFmtId="166" fontId="116" fillId="17" borderId="37" xfId="17" applyNumberFormat="1" applyFont="1" applyFill="1" applyBorder="1" applyAlignment="1">
      <alignment wrapText="1"/>
    </xf>
    <xf numFmtId="0" fontId="112" fillId="0" borderId="8" xfId="16" applyFont="1" applyBorder="1" applyAlignment="1">
      <alignment wrapText="1"/>
    </xf>
    <xf numFmtId="38" fontId="112" fillId="0" borderId="8" xfId="17" applyNumberFormat="1" applyFont="1" applyBorder="1" applyAlignment="1">
      <alignment vertical="center"/>
    </xf>
    <xf numFmtId="0" fontId="87" fillId="7" borderId="8" xfId="16" applyFont="1" applyFill="1" applyBorder="1" applyAlignment="1">
      <alignment horizontal="center"/>
    </xf>
    <xf numFmtId="0" fontId="87" fillId="7" borderId="8" xfId="16" applyFont="1" applyFill="1" applyBorder="1" applyAlignment="1">
      <alignment wrapText="1"/>
    </xf>
    <xf numFmtId="3" fontId="88" fillId="0" borderId="0" xfId="16" applyNumberFormat="1" applyFont="1"/>
    <xf numFmtId="0" fontId="88" fillId="0" borderId="8" xfId="16" applyFont="1" applyBorder="1" applyAlignment="1">
      <alignment vertical="center" wrapText="1"/>
    </xf>
    <xf numFmtId="0" fontId="88" fillId="16" borderId="8" xfId="16" applyFont="1" applyFill="1" applyBorder="1" applyAlignment="1">
      <alignment horizontal="center"/>
    </xf>
    <xf numFmtId="0" fontId="88" fillId="16" borderId="10" xfId="16" applyFont="1" applyFill="1" applyBorder="1" applyAlignment="1">
      <alignment vertical="center" wrapText="1"/>
    </xf>
    <xf numFmtId="38" fontId="88" fillId="16" borderId="8" xfId="17" applyNumberFormat="1" applyFont="1" applyFill="1" applyBorder="1" applyAlignment="1">
      <alignment horizontal="right" vertical="center"/>
    </xf>
    <xf numFmtId="0" fontId="87" fillId="0" borderId="8" xfId="16" applyFont="1" applyBorder="1" applyAlignment="1">
      <alignment horizontal="center"/>
    </xf>
    <xf numFmtId="38" fontId="87" fillId="0" borderId="0" xfId="16" applyNumberFormat="1" applyFont="1"/>
    <xf numFmtId="0" fontId="87" fillId="0" borderId="0" xfId="16" applyFont="1"/>
    <xf numFmtId="0" fontId="87" fillId="13" borderId="8" xfId="16" applyFont="1" applyFill="1" applyBorder="1" applyAlignment="1">
      <alignment horizontal="center" vertical="center"/>
    </xf>
    <xf numFmtId="0" fontId="88" fillId="13" borderId="8" xfId="16" applyFont="1" applyFill="1" applyBorder="1" applyAlignment="1">
      <alignment wrapText="1"/>
    </xf>
    <xf numFmtId="38" fontId="88" fillId="13" borderId="8" xfId="17" applyNumberFormat="1" applyFont="1" applyFill="1" applyBorder="1" applyAlignment="1">
      <alignment horizontal="right" vertical="center"/>
    </xf>
    <xf numFmtId="0" fontId="87" fillId="0" borderId="0" xfId="16" applyFont="1" applyFill="1" applyBorder="1" applyAlignment="1">
      <alignment horizontal="center" vertical="center"/>
    </xf>
    <xf numFmtId="0" fontId="88" fillId="0" borderId="0" xfId="16" applyFont="1" applyFill="1" applyBorder="1" applyAlignment="1">
      <alignment wrapText="1"/>
    </xf>
    <xf numFmtId="38" fontId="88" fillId="0" borderId="0" xfId="17" applyNumberFormat="1" applyFont="1" applyFill="1" applyBorder="1" applyAlignment="1">
      <alignment horizontal="right" vertical="center"/>
    </xf>
    <xf numFmtId="38" fontId="88" fillId="0" borderId="0" xfId="16" applyNumberFormat="1" applyFont="1" applyFill="1"/>
    <xf numFmtId="0" fontId="88" fillId="0" borderId="0" xfId="16" applyFont="1" applyFill="1"/>
    <xf numFmtId="0" fontId="87" fillId="0" borderId="0" xfId="16" applyFont="1" applyFill="1" applyBorder="1" applyAlignment="1">
      <alignment horizontal="center"/>
    </xf>
    <xf numFmtId="0" fontId="87" fillId="0" borderId="0" xfId="16" applyFont="1" applyFill="1" applyBorder="1" applyAlignment="1">
      <alignment wrapText="1"/>
    </xf>
    <xf numFmtId="0" fontId="87" fillId="0" borderId="0" xfId="16" applyFont="1" applyFill="1" applyBorder="1"/>
    <xf numFmtId="38" fontId="87" fillId="0" borderId="0" xfId="16" applyNumberFormat="1" applyFont="1" applyFill="1" applyBorder="1"/>
    <xf numFmtId="38" fontId="88" fillId="0" borderId="0" xfId="16" applyNumberFormat="1" applyFont="1" applyFill="1" applyBorder="1"/>
    <xf numFmtId="0" fontId="87" fillId="0" borderId="0" xfId="16" applyFont="1" applyFill="1"/>
    <xf numFmtId="0" fontId="97" fillId="0" borderId="0" xfId="16" applyFont="1"/>
    <xf numFmtId="38" fontId="87" fillId="7" borderId="0" xfId="16" applyNumberFormat="1" applyFont="1" applyFill="1"/>
    <xf numFmtId="0" fontId="97" fillId="2" borderId="0" xfId="16" applyFont="1" applyFill="1" applyAlignment="1">
      <alignment wrapText="1"/>
    </xf>
    <xf numFmtId="0" fontId="87" fillId="2" borderId="0" xfId="16" applyFont="1" applyFill="1"/>
    <xf numFmtId="38" fontId="87" fillId="2" borderId="0" xfId="16" applyNumberFormat="1" applyFont="1" applyFill="1"/>
    <xf numFmtId="0" fontId="88" fillId="2" borderId="0" xfId="16" applyFont="1" applyFill="1"/>
    <xf numFmtId="0" fontId="26" fillId="0" borderId="0" xfId="0" applyNumberFormat="1" applyFont="1" applyFill="1" applyAlignment="1" applyProtection="1">
      <alignment wrapText="1"/>
      <protection locked="0"/>
    </xf>
    <xf numFmtId="0" fontId="87" fillId="0" borderId="0" xfId="16" applyFont="1" applyAlignment="1">
      <alignment horizontal="center"/>
    </xf>
    <xf numFmtId="166" fontId="79" fillId="0" borderId="0" xfId="1" applyNumberFormat="1" applyFont="1" applyAlignment="1">
      <alignment horizontal="center"/>
    </xf>
    <xf numFmtId="0" fontId="79" fillId="0" borderId="0" xfId="0" applyFont="1" applyAlignment="1">
      <alignment horizontal="center"/>
    </xf>
    <xf numFmtId="0" fontId="87" fillId="18" borderId="0" xfId="0" applyFont="1" applyFill="1" applyAlignment="1">
      <alignment horizontal="center" vertical="center" wrapText="1"/>
    </xf>
    <xf numFmtId="0" fontId="87" fillId="18" borderId="0" xfId="0" applyFont="1" applyFill="1" applyAlignment="1">
      <alignment horizontal="center" vertical="center"/>
    </xf>
    <xf numFmtId="0" fontId="88" fillId="18" borderId="10" xfId="0" applyFont="1" applyFill="1" applyBorder="1" applyAlignment="1">
      <alignment horizontal="center" vertical="center" wrapText="1"/>
    </xf>
    <xf numFmtId="0" fontId="98" fillId="7" borderId="10" xfId="0" applyFont="1" applyFill="1" applyBorder="1" applyAlignment="1">
      <alignment horizontal="left" vertical="center" wrapText="1"/>
    </xf>
    <xf numFmtId="0" fontId="98" fillId="7" borderId="10" xfId="0" applyFont="1" applyFill="1" applyBorder="1" applyAlignment="1">
      <alignment horizontal="left" vertical="center"/>
    </xf>
    <xf numFmtId="0" fontId="29" fillId="5" borderId="8" xfId="3" applyFont="1" applyFill="1" applyBorder="1" applyAlignment="1" applyProtection="1">
      <alignment horizontal="center" vertical="center" wrapText="1"/>
      <protection locked="0"/>
    </xf>
    <xf numFmtId="0" fontId="31" fillId="0" borderId="0" xfId="3" applyFont="1" applyAlignment="1" applyProtection="1">
      <alignment horizontal="center"/>
      <protection locked="0"/>
    </xf>
    <xf numFmtId="0" fontId="23" fillId="0" borderId="0" xfId="3" applyFont="1" applyAlignment="1" applyProtection="1">
      <alignment horizontal="center"/>
      <protection locked="0"/>
    </xf>
    <xf numFmtId="0" fontId="87" fillId="0" borderId="0" xfId="0" applyFont="1" applyAlignment="1">
      <alignment horizontal="center"/>
    </xf>
    <xf numFmtId="0" fontId="87" fillId="0" borderId="10" xfId="0" applyFont="1" applyBorder="1" applyAlignment="1">
      <alignment horizontal="center" vertical="center"/>
    </xf>
    <xf numFmtId="0" fontId="87" fillId="18" borderId="10" xfId="0" applyFont="1" applyFill="1" applyBorder="1" applyAlignment="1">
      <alignment horizontal="center" vertical="center" wrapText="1"/>
    </xf>
    <xf numFmtId="0" fontId="88" fillId="18" borderId="10" xfId="0" applyFont="1" applyFill="1" applyBorder="1" applyAlignment="1">
      <alignment horizontal="left" vertical="center" wrapText="1"/>
    </xf>
    <xf numFmtId="0" fontId="79" fillId="0" borderId="10" xfId="0" applyFont="1" applyBorder="1" applyAlignment="1">
      <alignment horizontal="center" vertical="center"/>
    </xf>
    <xf numFmtId="0" fontId="25" fillId="0" borderId="0" xfId="0" applyNumberFormat="1" applyFont="1" applyFill="1" applyAlignment="1" applyProtection="1">
      <alignment horizontal="center"/>
      <protection locked="0"/>
    </xf>
    <xf numFmtId="0" fontId="17" fillId="0" borderId="0" xfId="3" applyFont="1" applyAlignment="1" applyProtection="1">
      <alignment horizontal="center" vertical="center"/>
      <protection locked="0"/>
    </xf>
    <xf numFmtId="167" fontId="3" fillId="0" borderId="10" xfId="1" applyNumberFormat="1" applyFont="1" applyBorder="1" applyAlignment="1" applyProtection="1">
      <alignment horizontal="center" vertical="center" wrapText="1"/>
      <protection locked="0"/>
    </xf>
    <xf numFmtId="0" fontId="3" fillId="0" borderId="0" xfId="3" applyFont="1" applyAlignment="1" applyProtection="1">
      <alignment horizontal="center" vertical="center"/>
      <protection locked="0"/>
    </xf>
    <xf numFmtId="0" fontId="21" fillId="0" borderId="0" xfId="0" applyFont="1" applyAlignment="1">
      <alignment horizontal="center"/>
    </xf>
    <xf numFmtId="0" fontId="29" fillId="0" borderId="0" xfId="0" applyNumberFormat="1" applyFont="1" applyFill="1" applyAlignment="1" applyProtection="1">
      <alignment horizontal="center" wrapText="1"/>
      <protection locked="0"/>
    </xf>
    <xf numFmtId="167" fontId="64" fillId="0" borderId="0" xfId="1" applyNumberFormat="1" applyFont="1" applyFill="1" applyAlignment="1">
      <alignment horizontal="center"/>
    </xf>
    <xf numFmtId="167" fontId="65" fillId="0" borderId="0" xfId="1" applyNumberFormat="1" applyFont="1" applyFill="1" applyAlignment="1">
      <alignment horizontal="center"/>
    </xf>
    <xf numFmtId="0" fontId="33" fillId="0" borderId="0" xfId="3" applyFont="1" applyAlignment="1" applyProtection="1">
      <alignment horizontal="center"/>
      <protection locked="0"/>
    </xf>
    <xf numFmtId="0" fontId="29" fillId="0" borderId="8" xfId="0" applyNumberFormat="1" applyFont="1" applyFill="1" applyBorder="1" applyAlignment="1" applyProtection="1">
      <alignment horizontal="center" vertical="center"/>
      <protection locked="0"/>
    </xf>
    <xf numFmtId="0" fontId="26" fillId="0" borderId="8" xfId="0" applyNumberFormat="1" applyFont="1" applyFill="1" applyBorder="1" applyAlignment="1" applyProtection="1">
      <alignment horizontal="center" vertical="center" wrapText="1"/>
      <protection locked="0"/>
    </xf>
    <xf numFmtId="0" fontId="26" fillId="0" borderId="8" xfId="1" applyNumberFormat="1" applyFont="1" applyFill="1" applyBorder="1" applyAlignment="1" applyProtection="1">
      <alignment horizontal="center" vertical="center" wrapText="1"/>
      <protection locked="0"/>
    </xf>
    <xf numFmtId="0" fontId="26" fillId="0" borderId="8" xfId="0" applyNumberFormat="1" applyFont="1" applyFill="1" applyBorder="1" applyAlignment="1" applyProtection="1">
      <alignment horizontal="center" vertical="center"/>
      <protection locked="0"/>
    </xf>
    <xf numFmtId="166" fontId="24" fillId="0" borderId="13" xfId="1" applyNumberFormat="1" applyFont="1" applyFill="1" applyBorder="1" applyAlignment="1">
      <alignment horizontal="center" vertical="center"/>
    </xf>
    <xf numFmtId="0" fontId="28" fillId="0" borderId="25" xfId="0" applyFont="1" applyFill="1" applyBorder="1" applyAlignment="1">
      <alignment horizontal="center" vertical="center"/>
    </xf>
    <xf numFmtId="0" fontId="24" fillId="0" borderId="13" xfId="0" applyFont="1" applyFill="1" applyBorder="1" applyAlignment="1">
      <alignment horizontal="center" vertical="center"/>
    </xf>
    <xf numFmtId="0" fontId="1" fillId="0" borderId="0" xfId="0" applyFont="1" applyFill="1" applyAlignment="1" applyProtection="1">
      <alignment vertical="center"/>
      <protection locked="0"/>
    </xf>
    <xf numFmtId="3" fontId="1" fillId="0" borderId="10" xfId="0" applyNumberFormat="1" applyFont="1" applyFill="1" applyBorder="1" applyAlignment="1" applyProtection="1">
      <alignment vertical="center" wrapText="1"/>
      <protection locked="0"/>
    </xf>
    <xf numFmtId="167" fontId="1" fillId="0" borderId="0" xfId="1" applyNumberFormat="1" applyFont="1" applyAlignment="1" applyProtection="1">
      <alignment vertical="center"/>
      <protection locked="0"/>
    </xf>
    <xf numFmtId="3" fontId="1" fillId="0" borderId="0" xfId="0" applyNumberFormat="1" applyFont="1" applyFill="1" applyAlignment="1" applyProtection="1">
      <alignment vertical="center"/>
      <protection locked="0"/>
    </xf>
    <xf numFmtId="43" fontId="1" fillId="0" borderId="0" xfId="1" applyFont="1" applyAlignment="1" applyProtection="1">
      <alignment vertical="center"/>
      <protection locked="0"/>
    </xf>
    <xf numFmtId="0" fontId="32" fillId="0" borderId="0" xfId="2" applyFont="1"/>
    <xf numFmtId="0" fontId="32" fillId="0" borderId="0" xfId="2" applyFont="1" applyAlignment="1">
      <alignment horizontal="center"/>
    </xf>
    <xf numFmtId="0" fontId="35" fillId="0" borderId="0" xfId="7" applyFont="1" applyAlignment="1">
      <alignment horizontal="left" vertical="center"/>
    </xf>
    <xf numFmtId="0" fontId="35" fillId="0" borderId="0" xfId="2" applyFont="1"/>
    <xf numFmtId="0" fontId="180" fillId="0" borderId="0" xfId="2" applyFont="1" applyAlignment="1">
      <alignment horizontal="right"/>
    </xf>
    <xf numFmtId="0" fontId="32" fillId="0" borderId="0" xfId="2" applyFont="1" applyAlignment="1">
      <alignment wrapText="1"/>
    </xf>
    <xf numFmtId="0" fontId="35" fillId="0" borderId="0" xfId="2" applyFont="1" applyAlignment="1">
      <alignment wrapText="1"/>
    </xf>
    <xf numFmtId="0" fontId="182" fillId="0" borderId="8" xfId="2" applyFont="1" applyBorder="1" applyAlignment="1">
      <alignment horizontal="center" vertical="center" wrapText="1"/>
    </xf>
    <xf numFmtId="0" fontId="32" fillId="0" borderId="30" xfId="2" applyFont="1" applyBorder="1" applyAlignment="1">
      <alignment wrapText="1"/>
    </xf>
    <xf numFmtId="0" fontId="181" fillId="0" borderId="31" xfId="2" applyFont="1" applyBorder="1" applyAlignment="1">
      <alignment horizontal="center" vertical="center" wrapText="1"/>
    </xf>
    <xf numFmtId="0" fontId="181" fillId="0" borderId="31" xfId="2" applyFont="1" applyBorder="1" applyAlignment="1">
      <alignment vertical="center" wrapText="1"/>
    </xf>
    <xf numFmtId="0" fontId="182" fillId="0" borderId="31" xfId="2" applyFont="1" applyBorder="1" applyAlignment="1">
      <alignment horizontal="center" wrapText="1"/>
    </xf>
    <xf numFmtId="0" fontId="182" fillId="0" borderId="10" xfId="2" applyFont="1" applyBorder="1" applyAlignment="1">
      <alignment horizontal="center" vertical="center" wrapText="1"/>
    </xf>
    <xf numFmtId="0" fontId="182" fillId="0" borderId="10" xfId="2" applyFont="1" applyBorder="1" applyAlignment="1">
      <alignment horizontal="justify" vertical="center" wrapText="1"/>
    </xf>
    <xf numFmtId="0" fontId="182" fillId="0" borderId="10" xfId="2" applyFont="1" applyBorder="1" applyAlignment="1">
      <alignment horizontal="center" wrapText="1"/>
    </xf>
    <xf numFmtId="0" fontId="182" fillId="0" borderId="10" xfId="2" quotePrefix="1" applyFont="1" applyBorder="1" applyAlignment="1">
      <alignment horizontal="justify" vertical="center" wrapText="1"/>
    </xf>
    <xf numFmtId="0" fontId="182" fillId="0" borderId="10" xfId="2" quotePrefix="1" applyFont="1" applyBorder="1" applyAlignment="1">
      <alignment vertical="center" wrapText="1"/>
    </xf>
    <xf numFmtId="0" fontId="182" fillId="0" borderId="10" xfId="2" applyFont="1" applyBorder="1" applyAlignment="1">
      <alignment vertical="center" wrapText="1"/>
    </xf>
    <xf numFmtId="0" fontId="181" fillId="0" borderId="10" xfId="2" applyFont="1" applyBorder="1" applyAlignment="1">
      <alignment horizontal="center" vertical="center" wrapText="1"/>
    </xf>
    <xf numFmtId="0" fontId="181" fillId="0" borderId="10" xfId="2" applyFont="1" applyBorder="1" applyAlignment="1">
      <alignment vertical="center" wrapText="1"/>
    </xf>
    <xf numFmtId="0" fontId="181" fillId="0" borderId="10" xfId="2" applyFont="1" applyBorder="1" applyAlignment="1">
      <alignment horizontal="justify" vertical="center" wrapText="1"/>
    </xf>
    <xf numFmtId="0" fontId="183" fillId="0" borderId="10" xfId="2" applyFont="1" applyBorder="1" applyAlignment="1">
      <alignment horizontal="justify" vertical="center" wrapText="1"/>
    </xf>
    <xf numFmtId="0" fontId="182" fillId="0" borderId="10" xfId="2" applyFont="1" applyBorder="1" applyAlignment="1">
      <alignment wrapText="1"/>
    </xf>
    <xf numFmtId="49" fontId="181" fillId="0" borderId="10" xfId="4" applyNumberFormat="1" applyFont="1" applyBorder="1" applyAlignment="1">
      <alignment horizontal="justify" vertical="center" wrapText="1"/>
    </xf>
    <xf numFmtId="49" fontId="182" fillId="0" borderId="10" xfId="4" applyNumberFormat="1" applyFont="1" applyBorder="1" applyAlignment="1">
      <alignment horizontal="justify" vertical="center" wrapText="1"/>
    </xf>
    <xf numFmtId="49" fontId="182" fillId="0" borderId="10" xfId="4" applyNumberFormat="1" applyFont="1" applyBorder="1" applyAlignment="1">
      <alignment vertical="center" wrapText="1"/>
    </xf>
    <xf numFmtId="0" fontId="182" fillId="0" borderId="35" xfId="2" applyFont="1" applyBorder="1" applyAlignment="1">
      <alignment horizontal="center" vertical="center" wrapText="1"/>
    </xf>
    <xf numFmtId="0" fontId="182" fillId="0" borderId="35" xfId="2" applyFont="1" applyBorder="1" applyAlignment="1">
      <alignment vertical="center" wrapText="1"/>
    </xf>
    <xf numFmtId="0" fontId="182" fillId="0" borderId="35" xfId="2" applyFont="1" applyBorder="1" applyAlignment="1">
      <alignment wrapText="1"/>
    </xf>
    <xf numFmtId="0" fontId="184" fillId="0" borderId="0" xfId="2" applyFont="1" applyAlignment="1">
      <alignment horizontal="left" vertical="top" wrapText="1"/>
    </xf>
    <xf numFmtId="0" fontId="24" fillId="0" borderId="0" xfId="2" applyFont="1" applyAlignment="1">
      <alignment horizontal="left" vertical="top"/>
    </xf>
    <xf numFmtId="0" fontId="185" fillId="0" borderId="0" xfId="0" applyFont="1"/>
    <xf numFmtId="0" fontId="24" fillId="0" borderId="0" xfId="2" applyFont="1"/>
    <xf numFmtId="0" fontId="32" fillId="0" borderId="0" xfId="2" applyFont="1" applyAlignment="1">
      <alignment horizontal="left" vertical="top"/>
    </xf>
    <xf numFmtId="0" fontId="32" fillId="0" borderId="0" xfId="2" applyFont="1" applyAlignment="1">
      <alignment horizontal="left" vertical="top" wrapText="1"/>
    </xf>
    <xf numFmtId="0" fontId="180" fillId="0" borderId="0" xfId="2" quotePrefix="1" applyFont="1" applyAlignment="1">
      <alignment horizontal="center" wrapText="1"/>
    </xf>
    <xf numFmtId="0" fontId="180" fillId="0" borderId="0" xfId="0" applyFont="1" applyAlignment="1">
      <alignment horizontal="right"/>
    </xf>
    <xf numFmtId="0" fontId="46" fillId="0" borderId="0" xfId="0" applyFont="1" applyAlignment="1">
      <alignment wrapText="1"/>
    </xf>
    <xf numFmtId="0" fontId="186" fillId="0" borderId="0" xfId="2" applyFont="1" applyAlignment="1">
      <alignment horizontal="right"/>
    </xf>
    <xf numFmtId="0" fontId="32" fillId="0" borderId="0" xfId="2" applyFont="1" applyAlignment="1">
      <alignment horizontal="right"/>
    </xf>
    <xf numFmtId="0" fontId="26" fillId="0" borderId="0" xfId="256" applyFont="1"/>
    <xf numFmtId="0" fontId="29" fillId="0" borderId="0" xfId="256" applyFont="1"/>
    <xf numFmtId="0" fontId="29" fillId="0" borderId="0" xfId="256" applyFont="1" applyAlignment="1">
      <alignment horizontal="centerContinuous"/>
    </xf>
    <xf numFmtId="0" fontId="35" fillId="0" borderId="0" xfId="257" applyFont="1" applyAlignment="1">
      <alignment horizontal="right" vertical="center"/>
    </xf>
    <xf numFmtId="0" fontId="23" fillId="0" borderId="0" xfId="256" applyFont="1" applyAlignment="1">
      <alignment wrapText="1"/>
    </xf>
    <xf numFmtId="0" fontId="23" fillId="0" borderId="0" xfId="256" applyFont="1"/>
    <xf numFmtId="0" fontId="187" fillId="0" borderId="0" xfId="257" applyFont="1" applyAlignment="1">
      <alignment vertical="center"/>
    </xf>
    <xf numFmtId="0" fontId="187" fillId="0" borderId="0" xfId="257" applyFont="1" applyAlignment="1">
      <alignment horizontal="center" vertical="center"/>
    </xf>
    <xf numFmtId="0" fontId="25" fillId="0" borderId="0" xfId="256" applyFont="1" applyAlignment="1">
      <alignment horizontal="right"/>
    </xf>
    <xf numFmtId="0" fontId="43" fillId="0" borderId="8" xfId="256" applyFont="1" applyBorder="1" applyAlignment="1">
      <alignment horizontal="center" vertical="center" wrapText="1"/>
    </xf>
    <xf numFmtId="0" fontId="43" fillId="0" borderId="0" xfId="256" applyFont="1" applyAlignment="1">
      <alignment horizontal="center"/>
    </xf>
    <xf numFmtId="0" fontId="26" fillId="0" borderId="31" xfId="256" applyFont="1" applyBorder="1"/>
    <xf numFmtId="0" fontId="189" fillId="0" borderId="49" xfId="256" applyFont="1" applyBorder="1" applyAlignment="1">
      <alignment horizontal="center"/>
    </xf>
    <xf numFmtId="0" fontId="26" fillId="0" borderId="31" xfId="256" applyFont="1" applyBorder="1" applyAlignment="1">
      <alignment vertical="center" textRotation="180"/>
    </xf>
    <xf numFmtId="0" fontId="29" fillId="0" borderId="10" xfId="256" applyFont="1" applyBorder="1" applyAlignment="1">
      <alignment horizontal="center"/>
    </xf>
    <xf numFmtId="0" fontId="189" fillId="0" borderId="50" xfId="256" applyFont="1" applyBorder="1" applyAlignment="1">
      <alignment horizontal="left"/>
    </xf>
    <xf numFmtId="0" fontId="189" fillId="0" borderId="50" xfId="256" applyFont="1" applyBorder="1" applyAlignment="1">
      <alignment horizontal="center"/>
    </xf>
    <xf numFmtId="0" fontId="26" fillId="0" borderId="10" xfId="256" applyFont="1" applyBorder="1"/>
    <xf numFmtId="0" fontId="26" fillId="0" borderId="10" xfId="256" applyFont="1" applyBorder="1" applyAlignment="1">
      <alignment vertical="center" textRotation="180"/>
    </xf>
    <xf numFmtId="0" fontId="26" fillId="0" borderId="10" xfId="256" applyFont="1" applyBorder="1" applyAlignment="1">
      <alignment horizontal="center"/>
    </xf>
    <xf numFmtId="0" fontId="26" fillId="0" borderId="50" xfId="256" applyFont="1" applyBorder="1"/>
    <xf numFmtId="0" fontId="26" fillId="0" borderId="50" xfId="256" applyFont="1" applyBorder="1" applyAlignment="1">
      <alignment horizontal="left"/>
    </xf>
    <xf numFmtId="0" fontId="35" fillId="0" borderId="10" xfId="256" applyFont="1" applyBorder="1" applyAlignment="1">
      <alignment horizontal="center"/>
    </xf>
    <xf numFmtId="0" fontId="35" fillId="0" borderId="10" xfId="256" applyFont="1" applyBorder="1" applyAlignment="1">
      <alignment horizontal="left"/>
    </xf>
    <xf numFmtId="0" fontId="25" fillId="0" borderId="10" xfId="256" applyFont="1" applyBorder="1" applyAlignment="1">
      <alignment horizontal="left"/>
    </xf>
    <xf numFmtId="0" fontId="26" fillId="0" borderId="35" xfId="256" applyFont="1" applyBorder="1" applyAlignment="1">
      <alignment horizontal="center"/>
    </xf>
    <xf numFmtId="0" fontId="26" fillId="0" borderId="51" xfId="256" applyFont="1" applyBorder="1" applyAlignment="1">
      <alignment horizontal="left"/>
    </xf>
    <xf numFmtId="0" fontId="26" fillId="0" borderId="13" xfId="256" applyFont="1" applyBorder="1"/>
    <xf numFmtId="0" fontId="26" fillId="0" borderId="13" xfId="256" applyFont="1" applyBorder="1" applyAlignment="1">
      <alignment horizontal="left"/>
    </xf>
    <xf numFmtId="0" fontId="26" fillId="0" borderId="13" xfId="256" applyFont="1" applyBorder="1" applyAlignment="1">
      <alignment vertical="center" textRotation="180"/>
    </xf>
    <xf numFmtId="0" fontId="180" fillId="0" borderId="0" xfId="256" applyFont="1" applyAlignment="1">
      <alignment horizontal="right"/>
    </xf>
    <xf numFmtId="0" fontId="26" fillId="0" borderId="0" xfId="256" applyFont="1" applyAlignment="1">
      <alignment horizontal="center"/>
    </xf>
    <xf numFmtId="0" fontId="26" fillId="0" borderId="0" xfId="256" applyFont="1" applyAlignment="1">
      <alignment horizontal="centerContinuous"/>
    </xf>
    <xf numFmtId="0" fontId="189" fillId="0" borderId="51" xfId="256" applyFont="1" applyBorder="1" applyAlignment="1">
      <alignment horizontal="center"/>
    </xf>
    <xf numFmtId="0" fontId="26" fillId="0" borderId="25" xfId="256" applyFont="1" applyBorder="1"/>
    <xf numFmtId="0" fontId="26" fillId="0" borderId="25" xfId="256" applyFont="1" applyBorder="1" applyAlignment="1">
      <alignment vertical="center" textRotation="180"/>
    </xf>
    <xf numFmtId="0" fontId="26" fillId="0" borderId="35" xfId="256" applyFont="1" applyBorder="1"/>
    <xf numFmtId="0" fontId="26" fillId="0" borderId="35" xfId="256" applyFont="1" applyBorder="1" applyAlignment="1">
      <alignment vertical="center" textRotation="180"/>
    </xf>
    <xf numFmtId="0" fontId="26" fillId="0" borderId="0" xfId="256" quotePrefix="1" applyFont="1" applyAlignment="1">
      <alignment horizontal="center"/>
    </xf>
    <xf numFmtId="0" fontId="25" fillId="0" borderId="0" xfId="256" applyFont="1" applyAlignment="1">
      <alignment horizontal="center"/>
    </xf>
    <xf numFmtId="0" fontId="25" fillId="0" borderId="0" xfId="256" applyFont="1"/>
    <xf numFmtId="0" fontId="0" fillId="0" borderId="0" xfId="0"/>
    <xf numFmtId="0" fontId="79" fillId="0" borderId="0" xfId="0" applyFont="1" applyAlignment="1">
      <alignment horizontal="center"/>
    </xf>
    <xf numFmtId="3" fontId="29" fillId="0" borderId="0" xfId="154" applyNumberFormat="1" applyFont="1"/>
    <xf numFmtId="166" fontId="26" fillId="0" borderId="0" xfId="8" applyNumberFormat="1" applyFont="1" applyFill="1"/>
    <xf numFmtId="3" fontId="26" fillId="0" borderId="0" xfId="154" applyNumberFormat="1" applyFont="1"/>
    <xf numFmtId="3" fontId="29" fillId="0" borderId="8" xfId="154" applyNumberFormat="1" applyFont="1" applyBorder="1" applyAlignment="1">
      <alignment horizontal="center" vertical="center" wrapText="1"/>
    </xf>
    <xf numFmtId="0" fontId="29" fillId="0" borderId="8" xfId="154" applyFont="1" applyBorder="1" applyAlignment="1">
      <alignment horizontal="center" vertical="center" wrapText="1"/>
    </xf>
    <xf numFmtId="3" fontId="29" fillId="0" borderId="0" xfId="154" applyNumberFormat="1" applyFont="1" applyAlignment="1">
      <alignment horizontal="center"/>
    </xf>
    <xf numFmtId="166" fontId="26" fillId="0" borderId="0" xfId="8" applyNumberFormat="1" applyFont="1" applyFill="1" applyAlignment="1">
      <alignment horizontal="center"/>
    </xf>
    <xf numFmtId="3" fontId="26" fillId="0" borderId="8" xfId="154" applyNumberFormat="1" applyFont="1" applyBorder="1" applyAlignment="1">
      <alignment horizontal="center"/>
    </xf>
    <xf numFmtId="3" fontId="26" fillId="0" borderId="8" xfId="154" applyNumberFormat="1" applyFont="1" applyBorder="1"/>
    <xf numFmtId="3" fontId="29" fillId="0" borderId="8" xfId="154" applyNumberFormat="1" applyFont="1" applyBorder="1"/>
    <xf numFmtId="4" fontId="29" fillId="0" borderId="8" xfId="154" applyNumberFormat="1" applyFont="1" applyBorder="1"/>
    <xf numFmtId="3" fontId="74" fillId="0" borderId="8" xfId="154" applyNumberFormat="1" applyFont="1" applyBorder="1"/>
    <xf numFmtId="4" fontId="29" fillId="0" borderId="8" xfId="154" applyNumberFormat="1" applyFont="1" applyBorder="1" applyAlignment="1">
      <alignment horizontal="right"/>
    </xf>
    <xf numFmtId="3" fontId="29" fillId="0" borderId="8" xfId="154" applyNumberFormat="1" applyFont="1" applyBorder="1" applyAlignment="1">
      <alignment horizontal="right"/>
    </xf>
    <xf numFmtId="3" fontId="26" fillId="0" borderId="0" xfId="154" applyNumberFormat="1" applyFont="1" applyAlignment="1">
      <alignment horizontal="center"/>
    </xf>
    <xf numFmtId="3" fontId="25" fillId="0" borderId="0" xfId="154" applyNumberFormat="1" applyFont="1" applyAlignment="1">
      <alignment horizontal="center"/>
    </xf>
    <xf numFmtId="3" fontId="29" fillId="0" borderId="8" xfId="154" applyNumberFormat="1" applyFont="1" applyBorder="1" applyAlignment="1">
      <alignment horizontal="center"/>
    </xf>
    <xf numFmtId="0" fontId="1" fillId="7" borderId="8" xfId="0" applyFont="1" applyFill="1" applyBorder="1"/>
    <xf numFmtId="0" fontId="1" fillId="46" borderId="8" xfId="0" applyFont="1" applyFill="1" applyBorder="1"/>
    <xf numFmtId="0" fontId="1" fillId="0" borderId="8" xfId="0" applyFont="1" applyBorder="1"/>
    <xf numFmtId="0" fontId="0" fillId="7" borderId="8" xfId="0" applyFill="1" applyBorder="1" applyAlignment="1">
      <alignment horizontal="center"/>
    </xf>
    <xf numFmtId="0" fontId="0" fillId="0" borderId="8" xfId="0" applyBorder="1" applyAlignment="1">
      <alignment horizontal="center"/>
    </xf>
    <xf numFmtId="3" fontId="79" fillId="0" borderId="0" xfId="0" applyNumberFormat="1" applyFont="1"/>
    <xf numFmtId="0" fontId="194" fillId="0" borderId="8" xfId="259" applyFont="1" applyBorder="1" applyAlignment="1">
      <alignment horizontal="center" vertical="center" wrapText="1"/>
    </xf>
    <xf numFmtId="0" fontId="194" fillId="0" borderId="33" xfId="259" applyFont="1" applyBorder="1" applyAlignment="1">
      <alignment horizontal="center" vertical="center" wrapText="1"/>
    </xf>
    <xf numFmtId="0" fontId="45" fillId="5" borderId="8" xfId="0" applyFont="1" applyFill="1" applyBorder="1" applyAlignment="1">
      <alignment horizontal="center" vertical="center"/>
    </xf>
    <xf numFmtId="3" fontId="45" fillId="5" borderId="8" xfId="0" applyNumberFormat="1" applyFont="1" applyFill="1" applyBorder="1" applyAlignment="1">
      <alignment horizontal="center" vertical="center"/>
    </xf>
    <xf numFmtId="3" fontId="45" fillId="5" borderId="8" xfId="0" applyNumberFormat="1" applyFont="1" applyFill="1" applyBorder="1" applyAlignment="1">
      <alignment horizontal="center" vertical="center" wrapText="1"/>
    </xf>
    <xf numFmtId="0" fontId="195" fillId="0" borderId="8" xfId="259" applyFont="1" applyBorder="1" applyAlignment="1">
      <alignment horizontal="center" vertical="center" wrapText="1"/>
    </xf>
    <xf numFmtId="0" fontId="0" fillId="5" borderId="8" xfId="0" applyFill="1" applyBorder="1" applyAlignment="1">
      <alignment horizontal="center"/>
    </xf>
    <xf numFmtId="3" fontId="0" fillId="5" borderId="8" xfId="0" applyNumberFormat="1" applyFill="1" applyBorder="1" applyAlignment="1">
      <alignment horizontal="center"/>
    </xf>
    <xf numFmtId="166" fontId="193" fillId="7" borderId="8" xfId="1" applyNumberFormat="1" applyFont="1" applyFill="1" applyBorder="1" applyAlignment="1">
      <alignment horizontal="center" vertical="center"/>
    </xf>
    <xf numFmtId="166" fontId="193" fillId="7" borderId="8" xfId="1" quotePrefix="1" applyNumberFormat="1" applyFont="1" applyFill="1" applyBorder="1" applyAlignment="1">
      <alignment horizontal="left" vertical="center"/>
    </xf>
    <xf numFmtId="166" fontId="193" fillId="7" borderId="8" xfId="1" quotePrefix="1" applyNumberFormat="1" applyFont="1" applyFill="1" applyBorder="1" applyAlignment="1">
      <alignment horizontal="right" vertical="center"/>
    </xf>
    <xf numFmtId="166" fontId="193" fillId="8" borderId="8" xfId="1" quotePrefix="1" applyNumberFormat="1" applyFont="1" applyFill="1" applyBorder="1" applyAlignment="1">
      <alignment horizontal="right" vertical="center"/>
    </xf>
    <xf numFmtId="166" fontId="0" fillId="5" borderId="8" xfId="1" applyNumberFormat="1" applyFont="1" applyFill="1" applyBorder="1" applyAlignment="1">
      <alignment horizontal="right"/>
    </xf>
    <xf numFmtId="3" fontId="0" fillId="5" borderId="8" xfId="1" applyNumberFormat="1" applyFont="1" applyFill="1" applyBorder="1" applyAlignment="1">
      <alignment horizontal="right"/>
    </xf>
    <xf numFmtId="166" fontId="0" fillId="0" borderId="0" xfId="1" applyNumberFormat="1" applyFont="1" applyAlignment="1">
      <alignment horizontal="right"/>
    </xf>
    <xf numFmtId="3" fontId="0" fillId="7" borderId="8" xfId="0" applyNumberFormat="1" applyFill="1" applyBorder="1"/>
    <xf numFmtId="3" fontId="0" fillId="0" borderId="0" xfId="0" applyNumberFormat="1"/>
    <xf numFmtId="0" fontId="0" fillId="5" borderId="8" xfId="0" applyFill="1" applyBorder="1"/>
    <xf numFmtId="3" fontId="0" fillId="5" borderId="8" xfId="0" applyNumberFormat="1" applyFill="1" applyBorder="1"/>
    <xf numFmtId="0" fontId="0" fillId="0" borderId="8" xfId="0" applyBorder="1"/>
    <xf numFmtId="0" fontId="0" fillId="7" borderId="8" xfId="0" applyFill="1" applyBorder="1"/>
    <xf numFmtId="0" fontId="0" fillId="0" borderId="0" xfId="0" applyAlignment="1">
      <alignment horizontal="center"/>
    </xf>
    <xf numFmtId="0" fontId="74" fillId="0" borderId="0" xfId="260" applyFont="1" applyAlignment="1">
      <alignment horizontal="left"/>
    </xf>
    <xf numFmtId="0" fontId="76" fillId="0" borderId="0" xfId="260" applyFont="1"/>
    <xf numFmtId="43" fontId="76" fillId="0" borderId="0" xfId="261" applyFont="1"/>
    <xf numFmtId="0" fontId="74" fillId="0" borderId="0" xfId="260" applyFont="1"/>
    <xf numFmtId="43" fontId="74" fillId="0" borderId="0" xfId="261" applyFont="1"/>
    <xf numFmtId="0" fontId="76" fillId="0" borderId="0" xfId="260" applyFont="1" applyAlignment="1">
      <alignment horizontal="center"/>
    </xf>
    <xf numFmtId="3" fontId="76" fillId="0" borderId="0" xfId="260" applyNumberFormat="1" applyFont="1"/>
    <xf numFmtId="0" fontId="74" fillId="0" borderId="0" xfId="260" applyFont="1" applyAlignment="1">
      <alignment horizontal="center"/>
    </xf>
    <xf numFmtId="0" fontId="78" fillId="0" borderId="32" xfId="260" applyFont="1" applyBorder="1"/>
    <xf numFmtId="0" fontId="74" fillId="0" borderId="31" xfId="260" applyFont="1" applyBorder="1" applyAlignment="1">
      <alignment horizontal="center" vertical="center" wrapText="1"/>
    </xf>
    <xf numFmtId="43" fontId="74" fillId="0" borderId="31" xfId="261" applyFont="1" applyBorder="1" applyAlignment="1">
      <alignment horizontal="center" vertical="center" wrapText="1"/>
    </xf>
    <xf numFmtId="0" fontId="76" fillId="0" borderId="10" xfId="260" applyFont="1" applyBorder="1" applyAlignment="1">
      <alignment horizontal="center" vertical="center" wrapText="1"/>
    </xf>
    <xf numFmtId="0" fontId="76" fillId="0" borderId="10" xfId="261" applyNumberFormat="1" applyFont="1" applyBorder="1" applyAlignment="1">
      <alignment horizontal="center" vertical="center" wrapText="1"/>
    </xf>
    <xf numFmtId="0" fontId="76" fillId="0" borderId="10" xfId="260" quotePrefix="1" applyFont="1" applyBorder="1" applyAlignment="1">
      <alignment horizontal="center" vertical="center" wrapText="1"/>
    </xf>
    <xf numFmtId="0" fontId="76" fillId="0" borderId="10" xfId="260" applyFont="1" applyBorder="1" applyAlignment="1">
      <alignment horizontal="center"/>
    </xf>
    <xf numFmtId="0" fontId="76" fillId="0" borderId="10" xfId="260" applyFont="1" applyBorder="1"/>
    <xf numFmtId="166" fontId="76" fillId="0" borderId="0" xfId="261" applyNumberFormat="1" applyFont="1"/>
    <xf numFmtId="166" fontId="76" fillId="0" borderId="0" xfId="260" applyNumberFormat="1" applyFont="1"/>
    <xf numFmtId="0" fontId="76" fillId="0" borderId="10" xfId="260" quotePrefix="1" applyFont="1" applyBorder="1"/>
    <xf numFmtId="43" fontId="76" fillId="0" borderId="0" xfId="260" applyNumberFormat="1" applyFont="1"/>
    <xf numFmtId="166" fontId="74" fillId="0" borderId="0" xfId="260" applyNumberFormat="1" applyFont="1"/>
    <xf numFmtId="43" fontId="74" fillId="0" borderId="0" xfId="260" applyNumberFormat="1" applyFont="1"/>
    <xf numFmtId="0" fontId="74" fillId="0" borderId="0" xfId="260" quotePrefix="1" applyFont="1" applyAlignment="1">
      <alignment horizontal="center"/>
    </xf>
    <xf numFmtId="0" fontId="74" fillId="0" borderId="0" xfId="260" applyFont="1" applyBorder="1" applyAlignment="1">
      <alignment horizontal="left"/>
    </xf>
    <xf numFmtId="0" fontId="76" fillId="16" borderId="10" xfId="260" applyFont="1" applyFill="1" applyBorder="1" applyAlignment="1">
      <alignment horizontal="center" vertical="center" wrapText="1"/>
    </xf>
    <xf numFmtId="0" fontId="74" fillId="16" borderId="10" xfId="260" applyFont="1" applyFill="1" applyBorder="1" applyAlignment="1">
      <alignment horizontal="left" vertical="center" wrapText="1"/>
    </xf>
    <xf numFmtId="0" fontId="74" fillId="4" borderId="10" xfId="260" applyFont="1" applyFill="1" applyBorder="1" applyAlignment="1">
      <alignment horizontal="center" vertical="center" wrapText="1"/>
    </xf>
    <xf numFmtId="0" fontId="74" fillId="4" borderId="10" xfId="260" applyFont="1" applyFill="1" applyBorder="1" applyAlignment="1">
      <alignment horizontal="left" vertical="center" wrapText="1"/>
    </xf>
    <xf numFmtId="0" fontId="74" fillId="4" borderId="10" xfId="260" applyFont="1" applyFill="1" applyBorder="1" applyAlignment="1">
      <alignment horizontal="center"/>
    </xf>
    <xf numFmtId="0" fontId="74" fillId="4" borderId="10" xfId="260" applyFont="1" applyFill="1" applyBorder="1"/>
    <xf numFmtId="0" fontId="74" fillId="4" borderId="10" xfId="260" applyFont="1" applyFill="1" applyBorder="1" applyAlignment="1">
      <alignment horizontal="center" vertical="center"/>
    </xf>
    <xf numFmtId="0" fontId="74" fillId="4" borderId="10" xfId="260" applyFont="1" applyFill="1" applyBorder="1" applyAlignment="1">
      <alignment vertical="center" wrapText="1"/>
    </xf>
    <xf numFmtId="0" fontId="74" fillId="0" borderId="0" xfId="260" applyFont="1" applyAlignment="1">
      <alignment vertical="center"/>
    </xf>
    <xf numFmtId="166" fontId="74" fillId="0" borderId="0" xfId="260" applyNumberFormat="1" applyFont="1" applyAlignment="1">
      <alignment vertical="center"/>
    </xf>
    <xf numFmtId="43" fontId="74" fillId="0" borderId="0" xfId="261" applyFont="1" applyAlignment="1">
      <alignment vertical="center"/>
    </xf>
    <xf numFmtId="0" fontId="74" fillId="0" borderId="8" xfId="260" applyFont="1" applyBorder="1" applyAlignment="1">
      <alignment horizontal="center" vertical="center" wrapText="1"/>
    </xf>
    <xf numFmtId="3" fontId="29" fillId="0" borderId="8" xfId="154" applyNumberFormat="1" applyFont="1" applyBorder="1" applyAlignment="1">
      <alignment wrapText="1"/>
    </xf>
    <xf numFmtId="3" fontId="29" fillId="0" borderId="8" xfId="154" quotePrefix="1" applyNumberFormat="1" applyFont="1" applyBorder="1"/>
    <xf numFmtId="3" fontId="26" fillId="0" borderId="8" xfId="154" quotePrefix="1" applyNumberFormat="1" applyFont="1" applyBorder="1"/>
    <xf numFmtId="4" fontId="26" fillId="0" borderId="8" xfId="154" applyNumberFormat="1" applyFont="1" applyBorder="1"/>
    <xf numFmtId="4" fontId="26" fillId="0" borderId="8" xfId="154" applyNumberFormat="1" applyFont="1" applyBorder="1" applyAlignment="1">
      <alignment horizontal="right"/>
    </xf>
    <xf numFmtId="43" fontId="29" fillId="0" borderId="8" xfId="8" applyFont="1" applyFill="1" applyBorder="1"/>
    <xf numFmtId="43" fontId="26" fillId="0" borderId="8" xfId="8" applyFont="1" applyFill="1" applyBorder="1"/>
    <xf numFmtId="176" fontId="26" fillId="0" borderId="8" xfId="154" applyNumberFormat="1" applyFont="1" applyBorder="1"/>
    <xf numFmtId="3" fontId="74" fillId="0" borderId="8" xfId="154" applyNumberFormat="1" applyFont="1" applyBorder="1" applyAlignment="1">
      <alignment horizontal="left" vertical="center"/>
    </xf>
    <xf numFmtId="3" fontId="26" fillId="0" borderId="8" xfId="154" quotePrefix="1" applyNumberFormat="1" applyFont="1" applyBorder="1" applyAlignment="1">
      <alignment horizontal="left" vertical="center"/>
    </xf>
    <xf numFmtId="43" fontId="26" fillId="7" borderId="8" xfId="8" applyFont="1" applyFill="1" applyBorder="1" applyAlignment="1">
      <alignment horizontal="right"/>
    </xf>
    <xf numFmtId="3" fontId="192" fillId="0" borderId="8" xfId="154" applyNumberFormat="1" applyFont="1" applyBorder="1" applyAlignment="1">
      <alignment horizontal="center" vertical="center"/>
    </xf>
    <xf numFmtId="166" fontId="115" fillId="0" borderId="0" xfId="8" applyNumberFormat="1" applyFont="1" applyFill="1" applyAlignment="1">
      <alignment horizontal="center" vertical="center"/>
    </xf>
    <xf numFmtId="3" fontId="192" fillId="0" borderId="0" xfId="154" applyNumberFormat="1" applyFont="1" applyAlignment="1">
      <alignment horizontal="center" vertical="center"/>
    </xf>
    <xf numFmtId="3" fontId="74" fillId="0" borderId="8" xfId="154" applyNumberFormat="1" applyFont="1" applyBorder="1" applyAlignment="1">
      <alignment wrapText="1"/>
    </xf>
    <xf numFmtId="166" fontId="26" fillId="0" borderId="0" xfId="8" applyNumberFormat="1" applyFont="1"/>
    <xf numFmtId="166" fontId="25" fillId="0" borderId="0" xfId="8" applyNumberFormat="1" applyFont="1"/>
    <xf numFmtId="3" fontId="25" fillId="0" borderId="0" xfId="154" applyNumberFormat="1" applyFont="1"/>
    <xf numFmtId="0" fontId="26" fillId="0" borderId="8" xfId="212" applyNumberFormat="1" applyFont="1" applyFill="1" applyBorder="1"/>
    <xf numFmtId="49" fontId="29" fillId="18" borderId="10" xfId="0" applyNumberFormat="1" applyFont="1" applyFill="1" applyBorder="1" applyAlignment="1" applyProtection="1">
      <alignment vertical="center" wrapText="1"/>
      <protection locked="0"/>
    </xf>
    <xf numFmtId="166" fontId="196" fillId="7" borderId="8" xfId="1" applyNumberFormat="1" applyFont="1" applyFill="1" applyBorder="1" applyAlignment="1">
      <alignment horizontal="center" vertical="center"/>
    </xf>
    <xf numFmtId="166" fontId="196" fillId="7" borderId="8" xfId="1" quotePrefix="1" applyNumberFormat="1" applyFont="1" applyFill="1" applyBorder="1" applyAlignment="1">
      <alignment horizontal="left" vertical="center"/>
    </xf>
    <xf numFmtId="166" fontId="45" fillId="5" borderId="8" xfId="1" applyNumberFormat="1" applyFont="1" applyFill="1" applyBorder="1" applyAlignment="1">
      <alignment horizontal="right" vertical="center"/>
    </xf>
    <xf numFmtId="3" fontId="45" fillId="5" borderId="8" xfId="1" applyNumberFormat="1" applyFont="1" applyFill="1" applyBorder="1" applyAlignment="1">
      <alignment horizontal="right" vertical="center"/>
    </xf>
    <xf numFmtId="166" fontId="45" fillId="0" borderId="0" xfId="1" applyNumberFormat="1" applyFont="1" applyAlignment="1">
      <alignment horizontal="right" vertical="center"/>
    </xf>
    <xf numFmtId="41" fontId="26" fillId="0" borderId="10" xfId="0" quotePrefix="1" applyNumberFormat="1" applyFont="1" applyBorder="1" applyAlignment="1" applyProtection="1">
      <alignment vertical="center"/>
      <protection locked="0"/>
    </xf>
    <xf numFmtId="41" fontId="26" fillId="0" borderId="10" xfId="0" quotePrefix="1" applyNumberFormat="1" applyFont="1" applyBorder="1" applyAlignment="1">
      <alignment vertical="center"/>
    </xf>
    <xf numFmtId="41" fontId="26" fillId="0" borderId="10" xfId="0" applyNumberFormat="1" applyFont="1" applyBorder="1" applyAlignment="1">
      <alignment horizontal="center" vertical="center"/>
    </xf>
    <xf numFmtId="41" fontId="25" fillId="0" borderId="10" xfId="0" quotePrefix="1" applyNumberFormat="1" applyFont="1" applyBorder="1" applyAlignment="1" applyProtection="1">
      <alignment vertical="center"/>
      <protection locked="0"/>
    </xf>
    <xf numFmtId="41" fontId="25" fillId="0" borderId="10" xfId="0" applyNumberFormat="1" applyFont="1" applyBorder="1" applyAlignment="1">
      <alignment horizontal="center" vertical="center"/>
    </xf>
    <xf numFmtId="41" fontId="29" fillId="0" borderId="10" xfId="0" quotePrefix="1" applyNumberFormat="1" applyFont="1" applyBorder="1" applyAlignment="1" applyProtection="1">
      <alignment vertical="center"/>
      <protection locked="0"/>
    </xf>
    <xf numFmtId="41" fontId="29" fillId="0" borderId="10" xfId="0" applyNumberFormat="1" applyFont="1" applyBorder="1" applyAlignment="1">
      <alignment horizontal="center" vertical="center"/>
    </xf>
    <xf numFmtId="41" fontId="29" fillId="0" borderId="10" xfId="0" quotePrefix="1" applyNumberFormat="1" applyFont="1" applyBorder="1" applyAlignment="1">
      <alignment vertical="center"/>
    </xf>
    <xf numFmtId="0" fontId="26" fillId="0" borderId="10" xfId="0" applyFont="1" applyBorder="1" applyAlignment="1">
      <alignment vertical="center" wrapText="1"/>
    </xf>
    <xf numFmtId="0" fontId="26" fillId="0" borderId="10" xfId="0" applyFont="1" applyBorder="1" applyAlignment="1">
      <alignment vertical="center"/>
    </xf>
    <xf numFmtId="0" fontId="26" fillId="0" borderId="10" xfId="0" applyFont="1" applyBorder="1" applyAlignment="1" applyProtection="1">
      <alignment horizontal="center" vertical="center"/>
      <protection locked="0"/>
    </xf>
    <xf numFmtId="49" fontId="26" fillId="0" borderId="10" xfId="0" applyNumberFormat="1" applyFont="1" applyBorder="1" applyAlignment="1" applyProtection="1">
      <alignment vertical="center"/>
      <protection locked="0"/>
    </xf>
    <xf numFmtId="0" fontId="26" fillId="0" borderId="13" xfId="0" applyFont="1" applyBorder="1" applyAlignment="1" applyProtection="1">
      <alignment horizontal="center" vertical="center"/>
      <protection locked="0"/>
    </xf>
    <xf numFmtId="0" fontId="45" fillId="7" borderId="8" xfId="0" applyFont="1" applyFill="1" applyBorder="1" applyAlignment="1">
      <alignment horizontal="center"/>
    </xf>
    <xf numFmtId="0" fontId="197" fillId="7" borderId="8" xfId="0" applyFont="1" applyFill="1" applyBorder="1"/>
    <xf numFmtId="0" fontId="74" fillId="0" borderId="8" xfId="260" applyFont="1" applyBorder="1" applyAlignment="1">
      <alignment horizontal="left" vertical="center" wrapText="1"/>
    </xf>
    <xf numFmtId="43" fontId="74" fillId="0" borderId="8" xfId="261" applyFont="1" applyFill="1" applyBorder="1" applyAlignment="1">
      <alignment horizontal="right" vertical="center" wrapText="1"/>
    </xf>
    <xf numFmtId="167" fontId="74" fillId="0" borderId="8" xfId="261" applyNumberFormat="1" applyFont="1" applyFill="1" applyBorder="1" applyAlignment="1">
      <alignment horizontal="right" vertical="center" wrapText="1"/>
    </xf>
    <xf numFmtId="0" fontId="76" fillId="0" borderId="8" xfId="260" applyFont="1" applyBorder="1" applyAlignment="1">
      <alignment horizontal="center" vertical="center"/>
    </xf>
    <xf numFmtId="0" fontId="76" fillId="0" borderId="8" xfId="260" applyFont="1" applyBorder="1" applyAlignment="1">
      <alignment vertical="center"/>
    </xf>
    <xf numFmtId="0" fontId="76" fillId="0" borderId="8" xfId="260" applyFont="1" applyBorder="1" applyAlignment="1">
      <alignment horizontal="right" vertical="center"/>
    </xf>
    <xf numFmtId="43" fontId="76" fillId="0" borderId="8" xfId="261" applyFont="1" applyFill="1" applyBorder="1" applyAlignment="1">
      <alignment horizontal="right" vertical="center"/>
    </xf>
    <xf numFmtId="167" fontId="76" fillId="0" borderId="8" xfId="260" applyNumberFormat="1" applyFont="1" applyBorder="1" applyAlignment="1">
      <alignment horizontal="right" vertical="center"/>
    </xf>
    <xf numFmtId="43" fontId="74" fillId="0" borderId="8" xfId="261" applyFont="1" applyFill="1" applyBorder="1" applyAlignment="1">
      <alignment horizontal="right" vertical="center"/>
    </xf>
    <xf numFmtId="167" fontId="74" fillId="0" borderId="8" xfId="261" applyNumberFormat="1" applyFont="1" applyFill="1" applyBorder="1" applyAlignment="1">
      <alignment horizontal="right" vertical="center"/>
    </xf>
    <xf numFmtId="0" fontId="76" fillId="0" borderId="8" xfId="260" quotePrefix="1" applyFont="1" applyBorder="1" applyAlignment="1">
      <alignment vertical="center"/>
    </xf>
    <xf numFmtId="0" fontId="74" fillId="0" borderId="8" xfId="260" applyFont="1" applyBorder="1" applyAlignment="1">
      <alignment horizontal="center" vertical="center"/>
    </xf>
    <xf numFmtId="0" fontId="74" fillId="0" borderId="8" xfId="260" applyFont="1" applyBorder="1" applyAlignment="1">
      <alignment vertical="center" wrapText="1"/>
    </xf>
    <xf numFmtId="0" fontId="74" fillId="0" borderId="8" xfId="260" applyFont="1" applyBorder="1" applyAlignment="1">
      <alignment horizontal="right" vertical="center"/>
    </xf>
    <xf numFmtId="167" fontId="74" fillId="0" borderId="8" xfId="260" applyNumberFormat="1" applyFont="1" applyBorder="1" applyAlignment="1">
      <alignment horizontal="right" vertical="center"/>
    </xf>
    <xf numFmtId="2" fontId="24" fillId="0" borderId="8" xfId="0" applyNumberFormat="1" applyFont="1" applyBorder="1" applyAlignment="1">
      <alignment horizontal="right" vertical="center"/>
    </xf>
    <xf numFmtId="0" fontId="74" fillId="0" borderId="8" xfId="261" applyNumberFormat="1" applyFont="1" applyFill="1" applyBorder="1" applyAlignment="1">
      <alignment horizontal="right" vertical="center"/>
    </xf>
    <xf numFmtId="0" fontId="76" fillId="0" borderId="8" xfId="261" applyNumberFormat="1" applyFont="1" applyFill="1" applyBorder="1" applyAlignment="1">
      <alignment horizontal="right" vertical="center"/>
    </xf>
    <xf numFmtId="2" fontId="74" fillId="0" borderId="8" xfId="260" applyNumberFormat="1" applyFont="1" applyBorder="1" applyAlignment="1">
      <alignment horizontal="right" vertical="center"/>
    </xf>
    <xf numFmtId="0" fontId="76" fillId="0" borderId="8" xfId="260" applyFont="1" applyBorder="1" applyAlignment="1">
      <alignment vertical="center" wrapText="1"/>
    </xf>
    <xf numFmtId="0" fontId="76" fillId="2" borderId="8" xfId="260" applyFont="1" applyFill="1" applyBorder="1" applyAlignment="1">
      <alignment horizontal="center" vertical="center" wrapText="1"/>
    </xf>
    <xf numFmtId="0" fontId="74" fillId="2" borderId="8" xfId="260" applyFont="1" applyFill="1" applyBorder="1" applyAlignment="1">
      <alignment horizontal="left" vertical="center" wrapText="1"/>
    </xf>
    <xf numFmtId="43" fontId="74" fillId="2" borderId="8" xfId="260" applyNumberFormat="1" applyFont="1" applyFill="1" applyBorder="1" applyAlignment="1">
      <alignment horizontal="right" vertical="center" wrapText="1"/>
    </xf>
    <xf numFmtId="167" fontId="74" fillId="2" borderId="8" xfId="260" applyNumberFormat="1" applyFont="1" applyFill="1" applyBorder="1" applyAlignment="1">
      <alignment horizontal="right" vertical="center" wrapText="1"/>
    </xf>
    <xf numFmtId="3" fontId="29" fillId="2" borderId="8" xfId="154" applyNumberFormat="1" applyFont="1" applyFill="1" applyBorder="1" applyAlignment="1">
      <alignment horizontal="center"/>
    </xf>
    <xf numFmtId="3" fontId="29" fillId="2" borderId="8" xfId="154" applyNumberFormat="1" applyFont="1" applyFill="1" applyBorder="1" applyAlignment="1">
      <alignment horizontal="left"/>
    </xf>
    <xf numFmtId="168" fontId="29" fillId="2" borderId="8" xfId="154" applyNumberFormat="1" applyFont="1" applyFill="1" applyBorder="1"/>
    <xf numFmtId="3" fontId="29" fillId="2" borderId="8" xfId="154" applyNumberFormat="1" applyFont="1" applyFill="1" applyBorder="1"/>
    <xf numFmtId="0" fontId="64" fillId="0" borderId="10" xfId="0" applyFont="1" applyBorder="1"/>
    <xf numFmtId="166" fontId="64" fillId="0" borderId="10" xfId="1" applyNumberFormat="1" applyFont="1" applyFill="1" applyBorder="1"/>
    <xf numFmtId="0" fontId="64" fillId="0" borderId="13" xfId="0" applyFont="1" applyBorder="1"/>
    <xf numFmtId="166" fontId="64" fillId="0" borderId="13" xfId="1" applyNumberFormat="1" applyFont="1" applyFill="1" applyBorder="1"/>
    <xf numFmtId="0" fontId="45" fillId="7" borderId="8" xfId="0" applyFont="1" applyFill="1" applyBorder="1"/>
    <xf numFmtId="166" fontId="45" fillId="7" borderId="8" xfId="1" applyNumberFormat="1" applyFont="1" applyFill="1" applyBorder="1"/>
    <xf numFmtId="166" fontId="64" fillId="0" borderId="10" xfId="1" applyNumberFormat="1" applyFont="1" applyBorder="1"/>
    <xf numFmtId="166" fontId="64" fillId="0" borderId="13" xfId="1" applyNumberFormat="1" applyFont="1" applyBorder="1"/>
    <xf numFmtId="0" fontId="24" fillId="0" borderId="31" xfId="0" applyFont="1" applyBorder="1" applyAlignment="1">
      <alignment horizontal="right" vertical="center"/>
    </xf>
    <xf numFmtId="166" fontId="74" fillId="2" borderId="8" xfId="260" applyNumberFormat="1" applyFont="1" applyFill="1" applyBorder="1" applyAlignment="1">
      <alignment horizontal="right" vertical="center" wrapText="1"/>
    </xf>
    <xf numFmtId="166" fontId="74" fillId="0" borderId="8" xfId="261" applyNumberFormat="1" applyFont="1" applyFill="1" applyBorder="1" applyAlignment="1">
      <alignment horizontal="right" vertical="center" wrapText="1"/>
    </xf>
    <xf numFmtId="167" fontId="76" fillId="0" borderId="8" xfId="261" applyNumberFormat="1" applyFont="1" applyFill="1" applyBorder="1" applyAlignment="1">
      <alignment horizontal="right" vertical="center"/>
    </xf>
    <xf numFmtId="168" fontId="29" fillId="0" borderId="8" xfId="154" applyNumberFormat="1" applyFont="1" applyBorder="1"/>
    <xf numFmtId="3" fontId="26" fillId="0" borderId="8" xfId="8" applyNumberFormat="1" applyFont="1" applyFill="1" applyBorder="1"/>
    <xf numFmtId="3" fontId="29" fillId="0" borderId="8" xfId="8" applyNumberFormat="1" applyFont="1" applyFill="1" applyBorder="1"/>
    <xf numFmtId="166" fontId="76" fillId="0" borderId="8" xfId="260" applyNumberFormat="1" applyFont="1" applyBorder="1" applyAlignment="1">
      <alignment horizontal="right" vertical="center"/>
    </xf>
    <xf numFmtId="166" fontId="76" fillId="0" borderId="8" xfId="261" applyNumberFormat="1" applyFont="1" applyFill="1" applyBorder="1" applyAlignment="1">
      <alignment horizontal="right" vertical="center"/>
    </xf>
    <xf numFmtId="166" fontId="74" fillId="0" borderId="8" xfId="260" applyNumberFormat="1" applyFont="1" applyBorder="1" applyAlignment="1">
      <alignment horizontal="right" vertical="center"/>
    </xf>
    <xf numFmtId="166" fontId="74" fillId="0" borderId="8" xfId="261" applyNumberFormat="1" applyFont="1" applyFill="1" applyBorder="1" applyAlignment="1">
      <alignment horizontal="right" vertical="center"/>
    </xf>
    <xf numFmtId="0" fontId="29" fillId="7" borderId="10" xfId="0" applyFont="1" applyFill="1" applyBorder="1" applyAlignment="1" applyProtection="1">
      <alignment horizontal="center" vertical="center"/>
      <protection locked="0"/>
    </xf>
    <xf numFmtId="49" fontId="29" fillId="7" borderId="10" xfId="0" applyNumberFormat="1" applyFont="1" applyFill="1" applyBorder="1" applyAlignment="1" applyProtection="1">
      <alignment horizontal="center" vertical="center"/>
      <protection locked="0"/>
    </xf>
    <xf numFmtId="41" fontId="29" fillId="7" borderId="10" xfId="0" applyNumberFormat="1" applyFont="1" applyFill="1" applyBorder="1" applyAlignment="1" applyProtection="1">
      <alignment horizontal="center" vertical="center"/>
      <protection locked="0"/>
    </xf>
    <xf numFmtId="167" fontId="29" fillId="0" borderId="0" xfId="1" applyNumberFormat="1" applyFont="1" applyFill="1" applyBorder="1" applyAlignment="1" applyProtection="1">
      <alignment horizontal="center" vertical="center"/>
      <protection locked="0"/>
    </xf>
    <xf numFmtId="0" fontId="26" fillId="0" borderId="0" xfId="0" applyFont="1" applyAlignment="1" applyProtection="1">
      <alignment vertical="center"/>
      <protection locked="0"/>
    </xf>
    <xf numFmtId="0" fontId="29" fillId="0" borderId="0" xfId="0" applyFont="1" applyAlignment="1" applyProtection="1">
      <alignment vertical="center"/>
      <protection locked="0"/>
    </xf>
    <xf numFmtId="0" fontId="29" fillId="3" borderId="10" xfId="0" applyFont="1" applyFill="1" applyBorder="1" applyAlignment="1">
      <alignment horizontal="center" vertical="center"/>
    </xf>
    <xf numFmtId="49" fontId="29" fillId="3" borderId="10" xfId="0" applyNumberFormat="1" applyFont="1" applyFill="1" applyBorder="1" applyAlignment="1">
      <alignment horizontal="center" vertical="center"/>
    </xf>
    <xf numFmtId="167" fontId="198" fillId="0" borderId="0" xfId="1" applyNumberFormat="1" applyFont="1" applyFill="1" applyBorder="1" applyAlignment="1" applyProtection="1">
      <alignment horizontal="center" vertical="center"/>
    </xf>
    <xf numFmtId="41" fontId="198" fillId="0" borderId="0" xfId="0" applyNumberFormat="1" applyFont="1" applyAlignment="1" applyProtection="1">
      <alignment vertical="center"/>
      <protection locked="0"/>
    </xf>
    <xf numFmtId="0" fontId="198" fillId="0" borderId="0" xfId="0" applyFont="1" applyAlignment="1" applyProtection="1">
      <alignment vertical="center"/>
      <protection locked="0"/>
    </xf>
    <xf numFmtId="41" fontId="29" fillId="3" borderId="10" xfId="0" applyNumberFormat="1" applyFont="1" applyFill="1" applyBorder="1" applyAlignment="1">
      <alignment horizontal="center" vertical="center"/>
    </xf>
    <xf numFmtId="49" fontId="25" fillId="0" borderId="10" xfId="0" applyNumberFormat="1" applyFont="1" applyBorder="1" applyAlignment="1" applyProtection="1">
      <alignment horizontal="left" vertical="center"/>
      <protection locked="0"/>
    </xf>
    <xf numFmtId="41" fontId="26" fillId="0" borderId="10" xfId="0" applyNumberFormat="1" applyFont="1" applyBorder="1" applyAlignment="1" applyProtection="1">
      <alignment horizontal="center" vertical="center"/>
      <protection locked="0"/>
    </xf>
    <xf numFmtId="167" fontId="26" fillId="0" borderId="10" xfId="1" applyNumberFormat="1" applyFont="1" applyFill="1" applyBorder="1" applyAlignment="1" applyProtection="1">
      <alignment horizontal="center" vertical="center"/>
      <protection locked="0"/>
    </xf>
    <xf numFmtId="167" fontId="73" fillId="0" borderId="0" xfId="1" applyNumberFormat="1" applyFont="1" applyFill="1" applyBorder="1" applyAlignment="1" applyProtection="1">
      <alignment horizontal="center" vertical="center"/>
    </xf>
    <xf numFmtId="41" fontId="73" fillId="0" borderId="0" xfId="0" applyNumberFormat="1" applyFont="1" applyAlignment="1" applyProtection="1">
      <alignment vertical="center"/>
      <protection locked="0"/>
    </xf>
    <xf numFmtId="0" fontId="73" fillId="0" borderId="0" xfId="0" applyFont="1" applyAlignment="1" applyProtection="1">
      <alignment vertical="center"/>
      <protection locked="0"/>
    </xf>
    <xf numFmtId="0" fontId="26" fillId="10" borderId="10" xfId="0" applyFont="1" applyFill="1" applyBorder="1" applyAlignment="1" applyProtection="1">
      <alignment horizontal="center" vertical="center"/>
      <protection locked="0"/>
    </xf>
    <xf numFmtId="49" fontId="26" fillId="10" borderId="10" xfId="0" applyNumberFormat="1" applyFont="1" applyFill="1" applyBorder="1" applyAlignment="1" applyProtection="1">
      <alignment vertical="center"/>
      <protection locked="0"/>
    </xf>
    <xf numFmtId="166" fontId="26" fillId="10" borderId="10" xfId="1" quotePrefix="1" applyNumberFormat="1" applyFont="1" applyFill="1" applyBorder="1" applyAlignment="1" applyProtection="1">
      <alignment horizontal="center" vertical="center"/>
      <protection locked="0"/>
    </xf>
    <xf numFmtId="167" fontId="73" fillId="0" borderId="0" xfId="1" quotePrefix="1" applyNumberFormat="1" applyFont="1" applyFill="1" applyBorder="1" applyAlignment="1" applyProtection="1">
      <alignment vertical="center"/>
      <protection locked="0"/>
    </xf>
    <xf numFmtId="49" fontId="26" fillId="0" borderId="10" xfId="0" quotePrefix="1" applyNumberFormat="1" applyFont="1" applyBorder="1" applyAlignment="1" applyProtection="1">
      <alignment vertical="center" wrapText="1"/>
      <protection locked="0"/>
    </xf>
    <xf numFmtId="0" fontId="26" fillId="0" borderId="10" xfId="3" applyFont="1" applyBorder="1" applyAlignment="1">
      <alignment horizontal="left" vertical="center"/>
    </xf>
    <xf numFmtId="0" fontId="26" fillId="0" borderId="10" xfId="0" applyFont="1" applyBorder="1" applyAlignment="1" applyProtection="1">
      <alignment vertical="center"/>
      <protection locked="0"/>
    </xf>
    <xf numFmtId="0" fontId="88" fillId="0" borderId="10" xfId="0" applyFont="1" applyBorder="1" applyAlignment="1">
      <alignment horizontal="right" vertical="center"/>
    </xf>
    <xf numFmtId="0" fontId="26" fillId="0" borderId="10" xfId="0" applyFont="1" applyBorder="1" applyAlignment="1">
      <alignment horizontal="left" vertical="center"/>
    </xf>
    <xf numFmtId="0" fontId="43" fillId="0" borderId="10" xfId="0" applyFont="1" applyBorder="1" applyAlignment="1">
      <alignment horizontal="right" vertical="center"/>
    </xf>
    <xf numFmtId="41" fontId="26" fillId="0" borderId="10" xfId="0" quotePrefix="1" applyNumberFormat="1" applyFont="1" applyBorder="1" applyAlignment="1" applyProtection="1">
      <alignment horizontal="center" vertical="center"/>
      <protection locked="0"/>
    </xf>
    <xf numFmtId="0" fontId="26" fillId="0" borderId="10" xfId="0" applyFont="1" applyBorder="1" applyAlignment="1" applyProtection="1">
      <alignment horizontal="center" vertical="center" wrapText="1"/>
      <protection locked="0"/>
    </xf>
    <xf numFmtId="0" fontId="26" fillId="13" borderId="10" xfId="0" applyFont="1" applyFill="1" applyBorder="1" applyAlignment="1" applyProtection="1">
      <alignment horizontal="center" vertical="center" wrapText="1"/>
      <protection locked="0"/>
    </xf>
    <xf numFmtId="49" fontId="25" fillId="13" borderId="10" xfId="0" applyNumberFormat="1" applyFont="1" applyFill="1" applyBorder="1" applyAlignment="1" applyProtection="1">
      <alignment vertical="center" wrapText="1"/>
      <protection locked="0"/>
    </xf>
    <xf numFmtId="41" fontId="26" fillId="13" borderId="10" xfId="0" quotePrefix="1" applyNumberFormat="1" applyFont="1" applyFill="1" applyBorder="1" applyAlignment="1" applyProtection="1">
      <alignment horizontal="center" vertical="center"/>
      <protection locked="0"/>
    </xf>
    <xf numFmtId="0" fontId="73" fillId="0" borderId="0" xfId="0" applyFont="1" applyAlignment="1" applyProtection="1">
      <alignment vertical="center" wrapText="1"/>
      <protection locked="0"/>
    </xf>
    <xf numFmtId="0" fontId="26" fillId="0" borderId="10" xfId="3" quotePrefix="1" applyFont="1" applyBorder="1" applyAlignment="1">
      <alignment horizontal="center" vertical="center"/>
    </xf>
    <xf numFmtId="0" fontId="73" fillId="13" borderId="0" xfId="0" applyFont="1" applyFill="1" applyAlignment="1" applyProtection="1">
      <alignment vertical="center" wrapText="1"/>
      <protection locked="0"/>
    </xf>
    <xf numFmtId="167" fontId="26" fillId="0" borderId="0" xfId="1" quotePrefix="1" applyNumberFormat="1" applyFont="1" applyFill="1" applyBorder="1" applyAlignment="1" applyProtection="1">
      <alignment vertical="center"/>
      <protection locked="0"/>
    </xf>
    <xf numFmtId="41" fontId="81" fillId="0" borderId="10" xfId="0" quotePrefix="1" applyNumberFormat="1" applyFont="1" applyBorder="1" applyAlignment="1" applyProtection="1">
      <alignment vertical="center"/>
      <protection locked="0"/>
    </xf>
    <xf numFmtId="166" fontId="26" fillId="13" borderId="10" xfId="1" quotePrefix="1" applyNumberFormat="1" applyFont="1" applyFill="1" applyBorder="1" applyAlignment="1" applyProtection="1">
      <alignment horizontal="center" vertical="center"/>
      <protection locked="0"/>
    </xf>
    <xf numFmtId="167" fontId="26" fillId="13" borderId="10" xfId="1" quotePrefix="1" applyNumberFormat="1" applyFont="1" applyFill="1" applyBorder="1" applyAlignment="1" applyProtection="1">
      <alignment horizontal="center" vertical="center"/>
      <protection locked="0"/>
    </xf>
    <xf numFmtId="41" fontId="26" fillId="10" borderId="10" xfId="0" quotePrefix="1" applyNumberFormat="1" applyFont="1" applyFill="1" applyBorder="1" applyAlignment="1" applyProtection="1">
      <alignment horizontal="center" vertical="center"/>
      <protection locked="0"/>
    </xf>
    <xf numFmtId="0" fontId="81" fillId="0" borderId="10" xfId="0" applyFont="1" applyBorder="1" applyAlignment="1" applyProtection="1">
      <alignment horizontal="center" vertical="center"/>
      <protection locked="0"/>
    </xf>
    <xf numFmtId="0" fontId="81" fillId="0" borderId="10" xfId="0" applyFont="1" applyBorder="1" applyAlignment="1">
      <alignment horizontal="left" vertical="center" wrapText="1"/>
    </xf>
    <xf numFmtId="41" fontId="81" fillId="0" borderId="10" xfId="0" quotePrefix="1" applyNumberFormat="1" applyFont="1" applyBorder="1" applyAlignment="1" applyProtection="1">
      <alignment horizontal="center" vertical="center"/>
      <protection locked="0"/>
    </xf>
    <xf numFmtId="167" fontId="199" fillId="0" borderId="0" xfId="1" quotePrefix="1" applyNumberFormat="1" applyFont="1" applyFill="1" applyBorder="1" applyAlignment="1" applyProtection="1">
      <alignment vertical="center"/>
      <protection locked="0"/>
    </xf>
    <xf numFmtId="0" fontId="81" fillId="0" borderId="0" xfId="0" applyFont="1" applyAlignment="1" applyProtection="1">
      <alignment vertical="center"/>
      <protection locked="0"/>
    </xf>
    <xf numFmtId="0" fontId="199" fillId="0" borderId="0" xfId="0" applyFont="1" applyAlignment="1" applyProtection="1">
      <alignment vertical="center"/>
      <protection locked="0"/>
    </xf>
    <xf numFmtId="0" fontId="81" fillId="0" borderId="10" xfId="0" quotePrefix="1" applyFont="1" applyBorder="1" applyAlignment="1">
      <alignment horizontal="left" vertical="center" wrapText="1"/>
    </xf>
    <xf numFmtId="41" fontId="199" fillId="0" borderId="10" xfId="0" quotePrefix="1" applyNumberFormat="1" applyFont="1" applyBorder="1" applyAlignment="1" applyProtection="1">
      <alignment horizontal="center" vertical="center"/>
      <protection locked="0"/>
    </xf>
    <xf numFmtId="41" fontId="73" fillId="0" borderId="10" xfId="0" quotePrefix="1" applyNumberFormat="1" applyFont="1" applyBorder="1" applyAlignment="1" applyProtection="1">
      <alignment horizontal="center" vertical="center"/>
      <protection locked="0"/>
    </xf>
    <xf numFmtId="0" fontId="200" fillId="0" borderId="10" xfId="3" quotePrefix="1" applyFont="1" applyBorder="1" applyAlignment="1">
      <alignment horizontal="right" vertical="center"/>
    </xf>
    <xf numFmtId="0" fontId="200" fillId="0" borderId="10" xfId="3" quotePrefix="1" applyFont="1" applyBorder="1" applyAlignment="1">
      <alignment horizontal="center" vertical="center"/>
    </xf>
    <xf numFmtId="41" fontId="81" fillId="0" borderId="10" xfId="0" applyNumberFormat="1" applyFont="1" applyBorder="1" applyAlignment="1">
      <alignment horizontal="center" vertical="center"/>
    </xf>
    <xf numFmtId="41" fontId="200" fillId="0" borderId="10" xfId="0" quotePrefix="1" applyNumberFormat="1" applyFont="1" applyBorder="1" applyAlignment="1" applyProtection="1">
      <alignment horizontal="center" vertical="center"/>
      <protection locked="0"/>
    </xf>
    <xf numFmtId="41" fontId="75" fillId="0" borderId="10" xfId="0" quotePrefix="1" applyNumberFormat="1" applyFont="1" applyBorder="1" applyAlignment="1" applyProtection="1">
      <alignment vertical="center"/>
      <protection locked="0"/>
    </xf>
    <xf numFmtId="41" fontId="201" fillId="0" borderId="10" xfId="0" quotePrefix="1" applyNumberFormat="1" applyFont="1" applyBorder="1" applyAlignment="1" applyProtection="1">
      <alignment vertical="center"/>
      <protection locked="0"/>
    </xf>
    <xf numFmtId="1" fontId="43" fillId="0" borderId="10" xfId="0" quotePrefix="1" applyNumberFormat="1" applyFont="1" applyBorder="1" applyAlignment="1">
      <alignment horizontal="center" vertical="center"/>
    </xf>
    <xf numFmtId="1" fontId="26" fillId="0" borderId="10" xfId="0" quotePrefix="1" applyNumberFormat="1" applyFont="1" applyBorder="1" applyAlignment="1">
      <alignment horizontal="center" vertical="center"/>
    </xf>
    <xf numFmtId="41" fontId="43" fillId="0" borderId="10" xfId="0" quotePrefix="1" applyNumberFormat="1" applyFont="1" applyBorder="1" applyAlignment="1" applyProtection="1">
      <alignment horizontal="center" vertical="center"/>
      <protection locked="0"/>
    </xf>
    <xf numFmtId="1" fontId="43" fillId="0" borderId="10" xfId="0" applyNumberFormat="1" applyFont="1" applyBorder="1" applyAlignment="1">
      <alignment horizontal="center" vertical="center"/>
    </xf>
    <xf numFmtId="1" fontId="26" fillId="0" borderId="10" xfId="0" applyNumberFormat="1" applyFont="1" applyBorder="1" applyAlignment="1">
      <alignment horizontal="center" vertical="center"/>
    </xf>
    <xf numFmtId="0" fontId="26" fillId="0" borderId="10" xfId="0" applyFont="1" applyBorder="1" applyAlignment="1" applyProtection="1">
      <alignment horizontal="left" vertical="center" wrapText="1"/>
      <protection locked="0"/>
    </xf>
    <xf numFmtId="1" fontId="202" fillId="0" borderId="10" xfId="0" quotePrefix="1" applyNumberFormat="1" applyFont="1" applyBorder="1" applyAlignment="1">
      <alignment horizontal="center" vertical="center"/>
    </xf>
    <xf numFmtId="0" fontId="26" fillId="0" borderId="10" xfId="0" quotePrefix="1" applyFont="1" applyBorder="1" applyAlignment="1">
      <alignment horizontal="left" vertical="center" wrapText="1"/>
    </xf>
    <xf numFmtId="0" fontId="75" fillId="0" borderId="10" xfId="3" quotePrefix="1" applyFont="1" applyBorder="1" applyAlignment="1">
      <alignment horizontal="center" vertical="center"/>
    </xf>
    <xf numFmtId="174" fontId="26" fillId="0" borderId="10" xfId="0" quotePrefix="1" applyNumberFormat="1" applyFont="1" applyBorder="1" applyAlignment="1" applyProtection="1">
      <alignment vertical="center"/>
      <protection locked="0"/>
    </xf>
    <xf numFmtId="169" fontId="26" fillId="0" borderId="10" xfId="0" quotePrefix="1" applyNumberFormat="1" applyFont="1" applyBorder="1" applyAlignment="1" applyProtection="1">
      <alignment vertical="center"/>
      <protection locked="0"/>
    </xf>
    <xf numFmtId="41" fontId="25" fillId="0" borderId="10" xfId="0" quotePrefix="1" applyNumberFormat="1" applyFont="1" applyBorder="1" applyAlignment="1" applyProtection="1">
      <alignment horizontal="center" vertical="center"/>
      <protection locked="0"/>
    </xf>
    <xf numFmtId="41" fontId="26" fillId="0" borderId="10" xfId="0" quotePrefix="1" applyNumberFormat="1" applyFont="1" applyBorder="1" applyAlignment="1">
      <alignment horizontal="center" vertical="center" wrapText="1"/>
    </xf>
    <xf numFmtId="41" fontId="25" fillId="0" borderId="10" xfId="0" quotePrefix="1" applyNumberFormat="1" applyFont="1" applyBorder="1" applyAlignment="1">
      <alignment horizontal="center" vertical="center" wrapText="1"/>
    </xf>
    <xf numFmtId="43" fontId="25" fillId="0" borderId="10" xfId="1" quotePrefix="1" applyFont="1" applyFill="1" applyBorder="1" applyAlignment="1" applyProtection="1">
      <alignment vertical="center"/>
      <protection locked="0"/>
    </xf>
    <xf numFmtId="41" fontId="26" fillId="10" borderId="10" xfId="0" quotePrefix="1" applyNumberFormat="1" applyFont="1" applyFill="1" applyBorder="1" applyAlignment="1">
      <alignment horizontal="center" vertical="center"/>
    </xf>
    <xf numFmtId="0" fontId="25" fillId="0" borderId="10" xfId="0" applyFont="1" applyBorder="1" applyAlignment="1" applyProtection="1">
      <alignment horizontal="center" vertical="center"/>
      <protection locked="0"/>
    </xf>
    <xf numFmtId="49" fontId="25" fillId="6" borderId="10" xfId="0" applyNumberFormat="1" applyFont="1" applyFill="1" applyBorder="1" applyAlignment="1" applyProtection="1">
      <alignment vertical="center"/>
      <protection locked="0"/>
    </xf>
    <xf numFmtId="166" fontId="25" fillId="6" borderId="10" xfId="1" quotePrefix="1" applyNumberFormat="1" applyFont="1" applyFill="1" applyBorder="1" applyAlignment="1" applyProtection="1">
      <alignment horizontal="center" vertical="center"/>
      <protection locked="0"/>
    </xf>
    <xf numFmtId="0" fontId="203" fillId="0" borderId="0" xfId="0" applyFont="1" applyAlignment="1" applyProtection="1">
      <alignment vertical="center"/>
      <protection locked="0"/>
    </xf>
    <xf numFmtId="1" fontId="76" fillId="0" borderId="10" xfId="0" quotePrefix="1" applyNumberFormat="1" applyFont="1" applyBorder="1" applyAlignment="1">
      <alignment horizontal="center" vertical="center"/>
    </xf>
    <xf numFmtId="0" fontId="81" fillId="0" borderId="10" xfId="0" applyFont="1" applyBorder="1" applyAlignment="1">
      <alignment horizontal="left" vertical="center"/>
    </xf>
    <xf numFmtId="166" fontId="81" fillId="0" borderId="10" xfId="1" applyNumberFormat="1" applyFont="1" applyFill="1" applyBorder="1" applyAlignment="1">
      <alignment horizontal="center" vertical="center"/>
    </xf>
    <xf numFmtId="0" fontId="26" fillId="0" borderId="10" xfId="0" quotePrefix="1" applyFont="1" applyBorder="1" applyAlignment="1">
      <alignment horizontal="left" vertical="center"/>
    </xf>
    <xf numFmtId="0" fontId="25" fillId="0" borderId="0" xfId="0" applyFont="1" applyAlignment="1" applyProtection="1">
      <alignment vertical="center"/>
      <protection locked="0"/>
    </xf>
    <xf numFmtId="0" fontId="26" fillId="7" borderId="0" xfId="0" applyFont="1" applyFill="1" applyAlignment="1" applyProtection="1">
      <alignment vertical="center"/>
      <protection locked="0"/>
    </xf>
    <xf numFmtId="0" fontId="60" fillId="0" borderId="10" xfId="0" applyFont="1" applyBorder="1" applyAlignment="1" applyProtection="1">
      <alignment horizontal="center" vertical="center"/>
      <protection locked="0"/>
    </xf>
    <xf numFmtId="0" fontId="204" fillId="0" borderId="0" xfId="0" applyFont="1" applyAlignment="1" applyProtection="1">
      <alignment vertical="center"/>
      <protection locked="0"/>
    </xf>
    <xf numFmtId="49" fontId="26" fillId="6" borderId="10" xfId="0" applyNumberFormat="1" applyFont="1" applyFill="1" applyBorder="1" applyAlignment="1" applyProtection="1">
      <alignment vertical="center"/>
      <protection locked="0"/>
    </xf>
    <xf numFmtId="166" fontId="26" fillId="6" borderId="10" xfId="1" quotePrefix="1" applyNumberFormat="1" applyFont="1" applyFill="1" applyBorder="1" applyAlignment="1" applyProtection="1">
      <alignment horizontal="center" vertical="center"/>
      <protection locked="0"/>
    </xf>
    <xf numFmtId="0" fontId="25" fillId="0" borderId="10" xfId="0" applyFont="1" applyBorder="1" applyAlignment="1">
      <alignment vertical="center" wrapText="1"/>
    </xf>
    <xf numFmtId="166" fontId="205" fillId="0" borderId="10" xfId="1" applyNumberFormat="1" applyFont="1" applyFill="1" applyBorder="1" applyAlignment="1">
      <alignment horizontal="right" vertical="center"/>
    </xf>
    <xf numFmtId="41" fontId="25" fillId="6" borderId="10" xfId="0" quotePrefix="1" applyNumberFormat="1" applyFont="1" applyFill="1" applyBorder="1" applyAlignment="1" applyProtection="1">
      <alignment horizontal="center" vertical="center"/>
      <protection locked="0"/>
    </xf>
    <xf numFmtId="0" fontId="29" fillId="0" borderId="10" xfId="0" applyFont="1" applyBorder="1" applyAlignment="1" applyProtection="1">
      <alignment horizontal="center" vertical="center"/>
      <protection locked="0"/>
    </xf>
    <xf numFmtId="49" fontId="29" fillId="0" borderId="10" xfId="0" applyNumberFormat="1" applyFont="1" applyBorder="1" applyAlignment="1" applyProtection="1">
      <alignment vertical="center"/>
      <protection locked="0"/>
    </xf>
    <xf numFmtId="41" fontId="29" fillId="0" borderId="10" xfId="0" quotePrefix="1" applyNumberFormat="1" applyFont="1" applyBorder="1" applyAlignment="1" applyProtection="1">
      <alignment horizontal="center" vertical="center"/>
      <protection locked="0"/>
    </xf>
    <xf numFmtId="41" fontId="29" fillId="3" borderId="10" xfId="0" quotePrefix="1" applyNumberFormat="1" applyFont="1" applyFill="1" applyBorder="1" applyAlignment="1">
      <alignment horizontal="center" vertical="center"/>
    </xf>
    <xf numFmtId="49" fontId="25" fillId="0" borderId="10" xfId="0" applyNumberFormat="1" applyFont="1" applyBorder="1" applyAlignment="1" applyProtection="1">
      <alignment vertical="center"/>
      <protection locked="0"/>
    </xf>
    <xf numFmtId="49" fontId="26" fillId="0" borderId="10" xfId="0" applyNumberFormat="1" applyFont="1" applyBorder="1" applyAlignment="1">
      <alignment vertical="center" wrapText="1"/>
    </xf>
    <xf numFmtId="0" fontId="26" fillId="0" borderId="10" xfId="0" applyFont="1" applyBorder="1" applyAlignment="1">
      <alignment horizontal="right" vertical="center"/>
    </xf>
    <xf numFmtId="0" fontId="73" fillId="0" borderId="0" xfId="0" applyFont="1" applyAlignment="1" applyProtection="1">
      <alignment horizontal="center"/>
      <protection locked="0"/>
    </xf>
    <xf numFmtId="167" fontId="73" fillId="0" borderId="0" xfId="1" applyNumberFormat="1" applyFont="1" applyFill="1" applyAlignment="1" applyProtection="1">
      <protection locked="0"/>
    </xf>
    <xf numFmtId="167" fontId="73" fillId="0" borderId="0" xfId="1" applyNumberFormat="1" applyFont="1" applyFill="1" applyProtection="1">
      <protection locked="0"/>
    </xf>
    <xf numFmtId="0" fontId="73" fillId="0" borderId="0" xfId="0" applyFont="1" applyProtection="1">
      <protection locked="0"/>
    </xf>
    <xf numFmtId="49" fontId="73" fillId="0" borderId="0" xfId="0" applyNumberFormat="1" applyFont="1" applyProtection="1">
      <protection locked="0"/>
    </xf>
    <xf numFmtId="167" fontId="198" fillId="0" borderId="0" xfId="1" applyNumberFormat="1" applyFont="1" applyFill="1" applyProtection="1">
      <protection locked="0"/>
    </xf>
    <xf numFmtId="1" fontId="26" fillId="0" borderId="10" xfId="0" applyNumberFormat="1" applyFont="1" applyBorder="1" applyAlignment="1" applyProtection="1">
      <alignment horizontal="center" vertical="center"/>
      <protection locked="0"/>
    </xf>
    <xf numFmtId="1" fontId="26" fillId="0" borderId="10" xfId="1" applyNumberFormat="1" applyFont="1" applyFill="1" applyBorder="1" applyAlignment="1" applyProtection="1">
      <alignment horizontal="center" vertical="center"/>
      <protection locked="0"/>
    </xf>
    <xf numFmtId="167" fontId="73" fillId="0" borderId="0" xfId="1" applyNumberFormat="1" applyFont="1" applyFill="1" applyBorder="1" applyAlignment="1" applyProtection="1">
      <alignment horizontal="center" vertical="center"/>
      <protection locked="0"/>
    </xf>
    <xf numFmtId="49" fontId="29" fillId="3" borderId="10" xfId="0" applyNumberFormat="1" applyFont="1" applyFill="1" applyBorder="1" applyAlignment="1">
      <alignment horizontal="center" vertical="center" wrapText="1"/>
    </xf>
    <xf numFmtId="49" fontId="25" fillId="0" borderId="10" xfId="0" applyNumberFormat="1" applyFont="1" applyBorder="1" applyAlignment="1" applyProtection="1">
      <alignment horizontal="left" vertical="center" wrapText="1"/>
      <protection locked="0"/>
    </xf>
    <xf numFmtId="49" fontId="26" fillId="0" borderId="10" xfId="0" applyNumberFormat="1" applyFont="1" applyBorder="1" applyAlignment="1" applyProtection="1">
      <alignment vertical="center" wrapText="1"/>
      <protection locked="0"/>
    </xf>
    <xf numFmtId="49" fontId="25" fillId="0" borderId="10" xfId="0" applyNumberFormat="1" applyFont="1" applyBorder="1" applyAlignment="1" applyProtection="1">
      <alignment vertical="center" wrapText="1"/>
      <protection locked="0"/>
    </xf>
    <xf numFmtId="49" fontId="58" fillId="0" borderId="10" xfId="0" applyNumberFormat="1" applyFont="1" applyBorder="1" applyAlignment="1" applyProtection="1">
      <alignment vertical="center" wrapText="1"/>
      <protection locked="0"/>
    </xf>
    <xf numFmtId="41" fontId="25" fillId="0" borderId="10" xfId="0" quotePrefix="1" applyNumberFormat="1" applyFont="1" applyBorder="1" applyAlignment="1">
      <alignment vertical="center"/>
    </xf>
    <xf numFmtId="49" fontId="29" fillId="0" borderId="10" xfId="0" applyNumberFormat="1" applyFont="1" applyBorder="1" applyAlignment="1" applyProtection="1">
      <alignment vertical="center" wrapText="1"/>
      <protection locked="0"/>
    </xf>
    <xf numFmtId="0" fontId="26" fillId="0" borderId="10"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172" fontId="25" fillId="0" borderId="0" xfId="0" applyNumberFormat="1" applyFont="1" applyAlignment="1" applyProtection="1">
      <alignment vertical="center"/>
      <protection locked="0"/>
    </xf>
    <xf numFmtId="49" fontId="26" fillId="0" borderId="0" xfId="0" applyNumberFormat="1" applyFont="1" applyProtection="1">
      <protection locked="0"/>
    </xf>
    <xf numFmtId="166" fontId="26" fillId="0" borderId="10" xfId="0" quotePrefix="1" applyNumberFormat="1" applyFont="1" applyBorder="1" applyAlignment="1">
      <alignment horizontal="center" vertical="center" wrapText="1"/>
    </xf>
    <xf numFmtId="166" fontId="25" fillId="0" borderId="10" xfId="0" quotePrefix="1" applyNumberFormat="1" applyFont="1" applyBorder="1" applyAlignment="1">
      <alignment horizontal="center" vertical="center" wrapText="1"/>
    </xf>
    <xf numFmtId="166" fontId="26" fillId="0" borderId="10" xfId="0" quotePrefix="1" applyNumberFormat="1" applyFont="1" applyBorder="1" applyAlignment="1" applyProtection="1">
      <alignment horizontal="center" vertical="center"/>
      <protection locked="0"/>
    </xf>
    <xf numFmtId="166" fontId="26" fillId="0" borderId="10" xfId="0" quotePrefix="1" applyNumberFormat="1" applyFont="1" applyBorder="1" applyAlignment="1">
      <alignment horizontal="center" vertical="center"/>
    </xf>
    <xf numFmtId="166" fontId="26" fillId="10" borderId="10" xfId="1" quotePrefix="1" applyNumberFormat="1" applyFont="1" applyFill="1" applyBorder="1" applyAlignment="1" applyProtection="1">
      <alignment horizontal="center" vertical="center"/>
    </xf>
    <xf numFmtId="41" fontId="26" fillId="0" borderId="10" xfId="0" quotePrefix="1" applyNumberFormat="1" applyFont="1" applyBorder="1" applyAlignment="1">
      <alignment horizontal="center" vertical="center"/>
    </xf>
    <xf numFmtId="165" fontId="25" fillId="6" borderId="10" xfId="1" quotePrefix="1" applyNumberFormat="1" applyFont="1" applyFill="1" applyBorder="1" applyAlignment="1" applyProtection="1">
      <alignment horizontal="center" vertical="center"/>
      <protection locked="0"/>
    </xf>
    <xf numFmtId="49" fontId="29" fillId="7" borderId="10" xfId="0" applyNumberFormat="1" applyFont="1" applyFill="1" applyBorder="1" applyAlignment="1" applyProtection="1">
      <alignment vertical="center" wrapText="1"/>
      <protection locked="0"/>
    </xf>
    <xf numFmtId="41" fontId="29" fillId="7" borderId="10" xfId="0" applyNumberFormat="1" applyFont="1" applyFill="1" applyBorder="1" applyAlignment="1">
      <alignment horizontal="center" vertical="center"/>
    </xf>
    <xf numFmtId="49" fontId="29" fillId="3" borderId="10" xfId="0" applyNumberFormat="1" applyFont="1" applyFill="1" applyBorder="1" applyAlignment="1">
      <alignment horizontal="left" vertical="center" wrapText="1"/>
    </xf>
    <xf numFmtId="41" fontId="26" fillId="3" borderId="10" xfId="0" applyNumberFormat="1" applyFont="1" applyFill="1" applyBorder="1" applyAlignment="1">
      <alignment horizontal="center" vertical="center"/>
    </xf>
    <xf numFmtId="41" fontId="26" fillId="4" borderId="10" xfId="0" applyNumberFormat="1" applyFont="1" applyFill="1" applyBorder="1" applyAlignment="1">
      <alignment horizontal="center" vertical="center"/>
    </xf>
    <xf numFmtId="41" fontId="26" fillId="3" borderId="10" xfId="0" quotePrefix="1" applyNumberFormat="1" applyFont="1" applyFill="1" applyBorder="1" applyAlignment="1">
      <alignment vertical="center"/>
    </xf>
    <xf numFmtId="41" fontId="26" fillId="4" borderId="10" xfId="0" quotePrefix="1" applyNumberFormat="1" applyFont="1" applyFill="1" applyBorder="1" applyAlignment="1">
      <alignment vertical="center"/>
    </xf>
    <xf numFmtId="41" fontId="25" fillId="3" borderId="10" xfId="0" applyNumberFormat="1" applyFont="1" applyFill="1" applyBorder="1" applyAlignment="1">
      <alignment horizontal="center" vertical="center"/>
    </xf>
    <xf numFmtId="41" fontId="26" fillId="6" borderId="10" xfId="0" quotePrefix="1" applyNumberFormat="1" applyFont="1" applyFill="1" applyBorder="1" applyAlignment="1">
      <alignment vertical="center"/>
    </xf>
    <xf numFmtId="41" fontId="25" fillId="4" borderId="10" xfId="0" applyNumberFormat="1" applyFont="1" applyFill="1" applyBorder="1" applyAlignment="1">
      <alignment horizontal="center" vertical="center"/>
    </xf>
    <xf numFmtId="41" fontId="26" fillId="6" borderId="10" xfId="0" applyNumberFormat="1" applyFont="1" applyFill="1" applyBorder="1" applyAlignment="1">
      <alignment horizontal="center" vertical="center"/>
    </xf>
    <xf numFmtId="41" fontId="25" fillId="4" borderId="10" xfId="0" quotePrefix="1" applyNumberFormat="1" applyFont="1" applyFill="1" applyBorder="1" applyAlignment="1">
      <alignment vertical="center"/>
    </xf>
    <xf numFmtId="41" fontId="29" fillId="4" borderId="10" xfId="0" applyNumberFormat="1" applyFont="1" applyFill="1" applyBorder="1" applyAlignment="1">
      <alignment horizontal="center" vertical="center"/>
    </xf>
    <xf numFmtId="41" fontId="29" fillId="4" borderId="10" xfId="0" quotePrefix="1" applyNumberFormat="1" applyFont="1" applyFill="1" applyBorder="1" applyAlignment="1">
      <alignment vertical="center"/>
    </xf>
    <xf numFmtId="41" fontId="29" fillId="3" borderId="10" xfId="0" quotePrefix="1" applyNumberFormat="1" applyFont="1" applyFill="1" applyBorder="1" applyAlignment="1">
      <alignment vertical="center"/>
    </xf>
    <xf numFmtId="41" fontId="26" fillId="15" borderId="10" xfId="0" quotePrefix="1" applyNumberFormat="1" applyFont="1" applyFill="1" applyBorder="1" applyAlignment="1">
      <alignment vertical="center"/>
    </xf>
    <xf numFmtId="41" fontId="26" fillId="15" borderId="10" xfId="0" applyNumberFormat="1" applyFont="1" applyFill="1" applyBorder="1" applyAlignment="1">
      <alignment horizontal="center" vertical="center"/>
    </xf>
    <xf numFmtId="49" fontId="29" fillId="6" borderId="10" xfId="0" applyNumberFormat="1" applyFont="1" applyFill="1" applyBorder="1" applyAlignment="1" applyProtection="1">
      <alignment vertical="center" wrapText="1"/>
      <protection locked="0"/>
    </xf>
    <xf numFmtId="41" fontId="29" fillId="6" borderId="10" xfId="0" applyNumberFormat="1" applyFont="1" applyFill="1" applyBorder="1" applyAlignment="1">
      <alignment horizontal="center" vertical="center"/>
    </xf>
    <xf numFmtId="0" fontId="29" fillId="18" borderId="10" xfId="0" applyFont="1" applyFill="1" applyBorder="1" applyAlignment="1">
      <alignment horizontal="center" vertical="center"/>
    </xf>
    <xf numFmtId="49" fontId="29" fillId="18" borderId="10" xfId="0" applyNumberFormat="1" applyFont="1" applyFill="1" applyBorder="1" applyAlignment="1">
      <alignment horizontal="left" vertical="center"/>
    </xf>
    <xf numFmtId="41" fontId="29" fillId="18" borderId="10" xfId="0" applyNumberFormat="1" applyFont="1" applyFill="1" applyBorder="1" applyAlignment="1">
      <alignment horizontal="center" vertical="center"/>
    </xf>
    <xf numFmtId="0" fontId="26" fillId="18" borderId="10" xfId="0" applyFont="1" applyFill="1" applyBorder="1" applyAlignment="1" applyProtection="1">
      <alignment horizontal="center" vertical="center"/>
      <protection locked="0"/>
    </xf>
    <xf numFmtId="49" fontId="25" fillId="18" borderId="10" xfId="0" applyNumberFormat="1" applyFont="1" applyFill="1" applyBorder="1" applyAlignment="1" applyProtection="1">
      <alignment horizontal="left" vertical="center"/>
      <protection locked="0"/>
    </xf>
    <xf numFmtId="41" fontId="26" fillId="18" borderId="10" xfId="0" applyNumberFormat="1" applyFont="1" applyFill="1" applyBorder="1" applyAlignment="1" applyProtection="1">
      <alignment horizontal="center" vertical="center"/>
      <protection locked="0"/>
    </xf>
    <xf numFmtId="41" fontId="26" fillId="18" borderId="10" xfId="0" applyNumberFormat="1" applyFont="1" applyFill="1" applyBorder="1" applyAlignment="1">
      <alignment horizontal="center" vertical="center"/>
    </xf>
    <xf numFmtId="41" fontId="26" fillId="18" borderId="10" xfId="0" quotePrefix="1" applyNumberFormat="1" applyFont="1" applyFill="1" applyBorder="1" applyAlignment="1">
      <alignment vertical="center"/>
    </xf>
    <xf numFmtId="41" fontId="26" fillId="0" borderId="10" xfId="0" applyNumberFormat="1" applyFont="1" applyBorder="1" applyAlignment="1" applyProtection="1">
      <alignment vertical="center"/>
      <protection locked="0"/>
    </xf>
    <xf numFmtId="0" fontId="26" fillId="18" borderId="10" xfId="0" applyFont="1" applyFill="1" applyBorder="1" applyAlignment="1" applyProtection="1">
      <alignment horizontal="center" vertical="center" wrapText="1"/>
      <protection locked="0"/>
    </xf>
    <xf numFmtId="0" fontId="25" fillId="18" borderId="10" xfId="0" applyFont="1" applyFill="1" applyBorder="1" applyAlignment="1" applyProtection="1">
      <alignment horizontal="center" vertical="center"/>
      <protection locked="0"/>
    </xf>
    <xf numFmtId="41" fontId="25" fillId="18" borderId="10" xfId="0" applyNumberFormat="1" applyFont="1" applyFill="1" applyBorder="1" applyAlignment="1">
      <alignment horizontal="center" vertical="center"/>
    </xf>
    <xf numFmtId="41" fontId="25" fillId="18" borderId="10" xfId="0" quotePrefix="1" applyNumberFormat="1" applyFont="1" applyFill="1" applyBorder="1" applyAlignment="1">
      <alignment vertical="center"/>
    </xf>
    <xf numFmtId="0" fontId="29" fillId="18" borderId="10" xfId="0" applyFont="1" applyFill="1" applyBorder="1" applyAlignment="1" applyProtection="1">
      <alignment horizontal="center" vertical="center"/>
      <protection locked="0"/>
    </xf>
    <xf numFmtId="41" fontId="29" fillId="18" borderId="10" xfId="0" quotePrefix="1" applyNumberFormat="1" applyFont="1" applyFill="1" applyBorder="1" applyAlignment="1">
      <alignment vertical="center"/>
    </xf>
    <xf numFmtId="49" fontId="29" fillId="6" borderId="10" xfId="0" applyNumberFormat="1" applyFont="1" applyFill="1" applyBorder="1" applyAlignment="1">
      <alignment horizontal="left" vertical="center"/>
    </xf>
    <xf numFmtId="49" fontId="29" fillId="3" borderId="10" xfId="0" applyNumberFormat="1" applyFont="1" applyFill="1" applyBorder="1" applyAlignment="1">
      <alignment horizontal="left" vertical="center"/>
    </xf>
    <xf numFmtId="169" fontId="26" fillId="3" borderId="10" xfId="0" quotePrefix="1" applyNumberFormat="1" applyFont="1" applyFill="1" applyBorder="1" applyAlignment="1">
      <alignment vertical="center"/>
    </xf>
    <xf numFmtId="169" fontId="26" fillId="4" borderId="10" xfId="0" applyNumberFormat="1" applyFont="1" applyFill="1" applyBorder="1" applyAlignment="1">
      <alignment horizontal="center" vertical="center"/>
    </xf>
    <xf numFmtId="169" fontId="26" fillId="4" borderId="10" xfId="0" quotePrefix="1" applyNumberFormat="1" applyFont="1" applyFill="1" applyBorder="1" applyAlignment="1">
      <alignment vertical="center"/>
    </xf>
    <xf numFmtId="169" fontId="26" fillId="3" borderId="10" xfId="0" applyNumberFormat="1" applyFont="1" applyFill="1" applyBorder="1" applyAlignment="1">
      <alignment horizontal="center" vertical="center"/>
    </xf>
    <xf numFmtId="49" fontId="58" fillId="0" borderId="10" xfId="0" applyNumberFormat="1" applyFont="1" applyBorder="1" applyAlignment="1" applyProtection="1">
      <alignment vertical="center"/>
      <protection locked="0"/>
    </xf>
    <xf numFmtId="169" fontId="25" fillId="0" borderId="10" xfId="0" quotePrefix="1" applyNumberFormat="1" applyFont="1" applyBorder="1" applyAlignment="1" applyProtection="1">
      <alignment vertical="center"/>
      <protection locked="0"/>
    </xf>
    <xf numFmtId="169" fontId="25" fillId="4" borderId="10" xfId="0" applyNumberFormat="1" applyFont="1" applyFill="1" applyBorder="1" applyAlignment="1">
      <alignment horizontal="center" vertical="center"/>
    </xf>
    <xf numFmtId="41" fontId="29" fillId="6" borderId="10" xfId="0" quotePrefix="1" applyNumberFormat="1" applyFont="1" applyFill="1" applyBorder="1" applyAlignment="1">
      <alignment vertical="center"/>
    </xf>
    <xf numFmtId="174" fontId="25" fillId="0" borderId="10" xfId="0" quotePrefix="1" applyNumberFormat="1" applyFont="1" applyBorder="1" applyAlignment="1" applyProtection="1">
      <alignment vertical="center"/>
      <protection locked="0"/>
    </xf>
    <xf numFmtId="174" fontId="26" fillId="3" borderId="10" xfId="0" applyNumberFormat="1" applyFont="1" applyFill="1" applyBorder="1" applyAlignment="1">
      <alignment horizontal="center" vertical="center"/>
    </xf>
    <xf numFmtId="174" fontId="26" fillId="4" borderId="10" xfId="0" applyNumberFormat="1" applyFont="1" applyFill="1" applyBorder="1" applyAlignment="1">
      <alignment horizontal="center" vertical="center"/>
    </xf>
    <xf numFmtId="0" fontId="25" fillId="0" borderId="10" xfId="1" applyNumberFormat="1" applyFont="1" applyFill="1" applyBorder="1" applyAlignment="1">
      <alignment horizontal="center" vertical="center"/>
    </xf>
    <xf numFmtId="0" fontId="25" fillId="0" borderId="10" xfId="1" quotePrefix="1" applyNumberFormat="1" applyFont="1" applyFill="1" applyBorder="1" applyAlignment="1">
      <alignment vertical="center"/>
    </xf>
    <xf numFmtId="169" fontId="25" fillId="4" borderId="10" xfId="0" quotePrefix="1" applyNumberFormat="1" applyFont="1" applyFill="1" applyBorder="1" applyAlignment="1">
      <alignment vertical="center"/>
    </xf>
    <xf numFmtId="0" fontId="25" fillId="0" borderId="10" xfId="1" applyNumberFormat="1" applyFont="1" applyFill="1" applyBorder="1" applyAlignment="1">
      <alignment vertical="center"/>
    </xf>
    <xf numFmtId="174" fontId="29" fillId="0" borderId="10" xfId="0" quotePrefix="1" applyNumberFormat="1" applyFont="1" applyBorder="1" applyAlignment="1" applyProtection="1">
      <alignment vertical="center"/>
      <protection locked="0"/>
    </xf>
    <xf numFmtId="0" fontId="29" fillId="19" borderId="10" xfId="0" applyFont="1" applyFill="1" applyBorder="1" applyAlignment="1" applyProtection="1">
      <alignment horizontal="center" vertical="center"/>
      <protection locked="0"/>
    </xf>
    <xf numFmtId="49" fontId="29" fillId="19" borderId="10" xfId="0" applyNumberFormat="1" applyFont="1" applyFill="1" applyBorder="1" applyAlignment="1" applyProtection="1">
      <alignment vertical="center" wrapText="1"/>
      <protection locked="0"/>
    </xf>
    <xf numFmtId="41" fontId="29" fillId="19" borderId="10" xfId="0" applyNumberFormat="1" applyFont="1" applyFill="1" applyBorder="1" applyAlignment="1">
      <alignment horizontal="center" vertical="center"/>
    </xf>
    <xf numFmtId="0" fontId="29" fillId="19" borderId="10" xfId="0" applyFont="1" applyFill="1" applyBorder="1" applyAlignment="1">
      <alignment horizontal="center" vertical="center"/>
    </xf>
    <xf numFmtId="49" fontId="29" fillId="19" borderId="10" xfId="0" applyNumberFormat="1" applyFont="1" applyFill="1" applyBorder="1" applyAlignment="1">
      <alignment horizontal="left" vertical="center" wrapText="1"/>
    </xf>
    <xf numFmtId="41" fontId="60" fillId="3" borderId="10" xfId="0" applyNumberFormat="1" applyFont="1" applyFill="1" applyBorder="1" applyAlignment="1">
      <alignment horizontal="center" vertical="center"/>
    </xf>
    <xf numFmtId="49" fontId="26" fillId="0" borderId="13" xfId="0" applyNumberFormat="1" applyFont="1" applyBorder="1" applyAlignment="1" applyProtection="1">
      <alignment vertical="center" wrapText="1"/>
      <protection locked="0"/>
    </xf>
    <xf numFmtId="0" fontId="26" fillId="0" borderId="13" xfId="0" applyFont="1" applyBorder="1" applyAlignment="1" applyProtection="1">
      <alignment vertical="center"/>
      <protection locked="0"/>
    </xf>
    <xf numFmtId="0" fontId="26" fillId="0" borderId="0" xfId="0" applyFont="1" applyAlignment="1" applyProtection="1">
      <alignment horizontal="center"/>
      <protection locked="0"/>
    </xf>
    <xf numFmtId="49" fontId="26" fillId="0" borderId="0" xfId="0" applyNumberFormat="1" applyFont="1" applyAlignment="1" applyProtection="1">
      <alignment wrapText="1"/>
      <protection locked="0"/>
    </xf>
    <xf numFmtId="41" fontId="29" fillId="7" borderId="10" xfId="1" applyNumberFormat="1" applyFont="1" applyFill="1" applyBorder="1" applyAlignment="1" applyProtection="1">
      <alignment horizontal="center" vertical="center"/>
      <protection locked="0"/>
    </xf>
    <xf numFmtId="41" fontId="29" fillId="3" borderId="10" xfId="1" applyNumberFormat="1" applyFont="1" applyFill="1" applyBorder="1" applyAlignment="1" applyProtection="1">
      <alignment horizontal="center" vertical="center"/>
    </xf>
    <xf numFmtId="41" fontId="26" fillId="0" borderId="10" xfId="1" applyNumberFormat="1" applyFont="1" applyFill="1" applyBorder="1" applyAlignment="1" applyProtection="1">
      <alignment horizontal="center" vertical="center"/>
    </xf>
    <xf numFmtId="41" fontId="26" fillId="0" borderId="10" xfId="1" applyNumberFormat="1" applyFont="1" applyFill="1" applyBorder="1" applyAlignment="1" applyProtection="1">
      <alignment horizontal="center" vertical="center"/>
      <protection locked="0"/>
    </xf>
    <xf numFmtId="41" fontId="26" fillId="10" borderId="10" xfId="1" quotePrefix="1" applyNumberFormat="1" applyFont="1" applyFill="1" applyBorder="1" applyAlignment="1" applyProtection="1">
      <alignment vertical="center"/>
      <protection locked="0"/>
    </xf>
    <xf numFmtId="41" fontId="26" fillId="0" borderId="10" xfId="1" quotePrefix="1" applyNumberFormat="1" applyFont="1" applyFill="1" applyBorder="1" applyAlignment="1" applyProtection="1">
      <alignment vertical="center"/>
      <protection locked="0"/>
    </xf>
    <xf numFmtId="41" fontId="88" fillId="0" borderId="10" xfId="0" applyNumberFormat="1" applyFont="1" applyBorder="1" applyAlignment="1">
      <alignment vertical="center"/>
    </xf>
    <xf numFmtId="41" fontId="43" fillId="0" borderId="10" xfId="1" quotePrefix="1" applyNumberFormat="1" applyFont="1" applyFill="1" applyBorder="1" applyAlignment="1">
      <alignment horizontal="right" vertical="center"/>
    </xf>
    <xf numFmtId="41" fontId="26" fillId="0" borderId="10" xfId="1" applyNumberFormat="1" applyFont="1" applyFill="1" applyBorder="1" applyAlignment="1" applyProtection="1">
      <alignment horizontal="right" vertical="center"/>
    </xf>
    <xf numFmtId="41" fontId="26" fillId="0" borderId="10" xfId="1" quotePrefix="1" applyNumberFormat="1" applyFont="1" applyFill="1" applyBorder="1" applyAlignment="1" applyProtection="1">
      <alignment vertical="center"/>
    </xf>
    <xf numFmtId="41" fontId="26" fillId="0" borderId="10" xfId="0" quotePrefix="1" applyNumberFormat="1" applyFont="1" applyBorder="1" applyAlignment="1">
      <alignment horizontal="right" vertical="center"/>
    </xf>
    <xf numFmtId="41" fontId="43" fillId="0" borderId="10" xfId="0" applyNumberFormat="1" applyFont="1" applyBorder="1" applyAlignment="1">
      <alignment vertical="center"/>
    </xf>
    <xf numFmtId="41" fontId="26" fillId="0" borderId="10" xfId="1" quotePrefix="1" applyNumberFormat="1" applyFont="1" applyFill="1" applyBorder="1" applyAlignment="1">
      <alignment horizontal="right" vertical="center"/>
    </xf>
    <xf numFmtId="41" fontId="26" fillId="0" borderId="10" xfId="1" applyNumberFormat="1" applyFont="1" applyFill="1" applyBorder="1" applyAlignment="1">
      <alignment horizontal="center" vertical="center" wrapText="1"/>
    </xf>
    <xf numFmtId="41" fontId="26" fillId="4" borderId="10" xfId="1" applyNumberFormat="1" applyFont="1" applyFill="1" applyBorder="1" applyAlignment="1" applyProtection="1">
      <alignment horizontal="center" vertical="center"/>
    </xf>
    <xf numFmtId="41" fontId="26" fillId="13" borderId="10" xfId="1" quotePrefix="1" applyNumberFormat="1" applyFont="1" applyFill="1" applyBorder="1" applyAlignment="1" applyProtection="1">
      <alignment vertical="center"/>
      <protection locked="0"/>
    </xf>
    <xf numFmtId="41" fontId="26" fillId="13" borderId="10" xfId="1" quotePrefix="1" applyNumberFormat="1" applyFont="1" applyFill="1" applyBorder="1" applyAlignment="1" applyProtection="1">
      <alignment vertical="center"/>
    </xf>
    <xf numFmtId="41" fontId="81" fillId="0" borderId="10" xfId="0" applyNumberFormat="1" applyFont="1" applyBorder="1" applyAlignment="1" applyProtection="1">
      <alignment vertical="center"/>
      <protection locked="0"/>
    </xf>
    <xf numFmtId="41" fontId="26" fillId="0" borderId="10" xfId="1" applyNumberFormat="1" applyFont="1" applyFill="1" applyBorder="1" applyAlignment="1" applyProtection="1">
      <alignment vertical="center"/>
      <protection locked="0"/>
    </xf>
    <xf numFmtId="41" fontId="199" fillId="0" borderId="10" xfId="1" applyNumberFormat="1" applyFont="1" applyFill="1" applyBorder="1" applyAlignment="1" applyProtection="1">
      <alignment horizontal="center" vertical="center"/>
    </xf>
    <xf numFmtId="41" fontId="199" fillId="0" borderId="10" xfId="1" quotePrefix="1" applyNumberFormat="1" applyFont="1" applyFill="1" applyBorder="1" applyAlignment="1" applyProtection="1">
      <alignment vertical="center"/>
      <protection locked="0"/>
    </xf>
    <xf numFmtId="41" fontId="199" fillId="0" borderId="10" xfId="1" applyNumberFormat="1" applyFont="1" applyFill="1" applyBorder="1" applyAlignment="1" applyProtection="1">
      <alignment vertical="center"/>
      <protection locked="0"/>
    </xf>
    <xf numFmtId="41" fontId="199" fillId="0" borderId="10" xfId="1" quotePrefix="1" applyNumberFormat="1" applyFont="1" applyFill="1" applyBorder="1" applyAlignment="1" applyProtection="1">
      <alignment vertical="center"/>
    </xf>
    <xf numFmtId="41" fontId="81" fillId="0" borderId="10" xfId="1" quotePrefix="1" applyNumberFormat="1" applyFont="1" applyFill="1" applyBorder="1" applyAlignment="1" applyProtection="1">
      <alignment vertical="center"/>
    </xf>
    <xf numFmtId="41" fontId="81" fillId="0" borderId="10" xfId="0" quotePrefix="1" applyNumberFormat="1" applyFont="1" applyBorder="1" applyAlignment="1">
      <alignment vertical="center"/>
    </xf>
    <xf numFmtId="41" fontId="73" fillId="0" borderId="10" xfId="1" applyNumberFormat="1" applyFont="1" applyFill="1" applyBorder="1" applyAlignment="1" applyProtection="1">
      <alignment horizontal="center" vertical="center"/>
    </xf>
    <xf numFmtId="41" fontId="73" fillId="0" borderId="10" xfId="1" quotePrefix="1" applyNumberFormat="1" applyFont="1" applyFill="1" applyBorder="1" applyAlignment="1" applyProtection="1">
      <alignment vertical="center"/>
      <protection locked="0"/>
    </xf>
    <xf numFmtId="41" fontId="73" fillId="0" borderId="10" xfId="1" quotePrefix="1" applyNumberFormat="1" applyFont="1" applyFill="1" applyBorder="1" applyAlignment="1" applyProtection="1">
      <alignment vertical="center"/>
    </xf>
    <xf numFmtId="41" fontId="200" fillId="0" borderId="10" xfId="1" applyNumberFormat="1" applyFont="1" applyFill="1" applyBorder="1" applyAlignment="1" applyProtection="1">
      <alignment horizontal="right" vertical="center"/>
    </xf>
    <xf numFmtId="41" fontId="200" fillId="0" borderId="10" xfId="1" quotePrefix="1" applyNumberFormat="1" applyFont="1" applyFill="1" applyBorder="1" applyAlignment="1">
      <alignment horizontal="right" vertical="center"/>
    </xf>
    <xf numFmtId="41" fontId="200" fillId="0" borderId="10" xfId="1" quotePrefix="1" applyNumberFormat="1" applyFont="1" applyFill="1" applyBorder="1" applyAlignment="1" applyProtection="1">
      <alignment horizontal="right" vertical="center"/>
      <protection locked="0"/>
    </xf>
    <xf numFmtId="41" fontId="200" fillId="0" borderId="10" xfId="1" quotePrefix="1" applyNumberFormat="1" applyFont="1" applyFill="1" applyBorder="1" applyAlignment="1" applyProtection="1">
      <alignment horizontal="right" vertical="center"/>
    </xf>
    <xf numFmtId="41" fontId="26" fillId="10" borderId="10" xfId="1" applyNumberFormat="1" applyFont="1" applyFill="1" applyBorder="1" applyAlignment="1" applyProtection="1">
      <alignment horizontal="center" vertical="center"/>
    </xf>
    <xf numFmtId="41" fontId="26" fillId="10" borderId="10" xfId="1" quotePrefix="1" applyNumberFormat="1" applyFont="1" applyFill="1" applyBorder="1" applyAlignment="1" applyProtection="1">
      <alignment vertical="center"/>
    </xf>
    <xf numFmtId="41" fontId="76" fillId="0" borderId="10" xfId="1" applyNumberFormat="1" applyFont="1" applyFill="1" applyBorder="1" applyAlignment="1" applyProtection="1">
      <alignment horizontal="right" vertical="center"/>
    </xf>
    <xf numFmtId="41" fontId="75" fillId="18" borderId="10" xfId="0" quotePrefix="1" applyNumberFormat="1" applyFont="1" applyFill="1" applyBorder="1" applyAlignment="1" applyProtection="1">
      <alignment vertical="center"/>
      <protection locked="0"/>
    </xf>
    <xf numFmtId="41" fontId="75" fillId="18" borderId="10" xfId="0" applyNumberFormat="1" applyFont="1" applyFill="1" applyBorder="1" applyAlignment="1">
      <alignment horizontal="center" vertical="center"/>
    </xf>
    <xf numFmtId="41" fontId="75" fillId="18" borderId="10" xfId="0" quotePrefix="1" applyNumberFormat="1" applyFont="1" applyFill="1" applyBorder="1" applyAlignment="1">
      <alignment vertical="center"/>
    </xf>
    <xf numFmtId="41" fontId="201" fillId="18" borderId="10" xfId="0" quotePrefix="1" applyNumberFormat="1" applyFont="1" applyFill="1" applyBorder="1" applyAlignment="1" applyProtection="1">
      <alignment vertical="center"/>
      <protection locked="0"/>
    </xf>
    <xf numFmtId="41" fontId="201" fillId="18" borderId="10" xfId="0" applyNumberFormat="1" applyFont="1" applyFill="1" applyBorder="1" applyAlignment="1">
      <alignment horizontal="center" vertical="center"/>
    </xf>
    <xf numFmtId="41" fontId="26" fillId="10" borderId="10" xfId="1" quotePrefix="1" applyNumberFormat="1" applyFont="1" applyFill="1" applyBorder="1" applyAlignment="1" applyProtection="1">
      <alignment horizontal="center" vertical="center"/>
      <protection locked="0"/>
    </xf>
    <xf numFmtId="41" fontId="43" fillId="0" borderId="10" xfId="1" applyNumberFormat="1" applyFont="1" applyFill="1" applyBorder="1" applyAlignment="1">
      <alignment horizontal="right" vertical="center"/>
    </xf>
    <xf numFmtId="41" fontId="43" fillId="7" borderId="10" xfId="1" applyNumberFormat="1" applyFont="1" applyFill="1" applyBorder="1" applyAlignment="1">
      <alignment horizontal="right" vertical="center"/>
    </xf>
    <xf numFmtId="41" fontId="43" fillId="0" borderId="10" xfId="1" applyNumberFormat="1" applyFont="1" applyFill="1" applyBorder="1" applyAlignment="1">
      <alignment horizontal="right" vertical="center" wrapText="1"/>
    </xf>
    <xf numFmtId="41" fontId="43" fillId="0" borderId="10" xfId="1" quotePrefix="1" applyNumberFormat="1" applyFont="1" applyFill="1" applyBorder="1" applyAlignment="1" applyProtection="1">
      <alignment horizontal="right" vertical="center"/>
      <protection locked="0"/>
    </xf>
    <xf numFmtId="41" fontId="26" fillId="0" borderId="10" xfId="1" applyNumberFormat="1" applyFont="1" applyFill="1" applyBorder="1" applyAlignment="1">
      <alignment vertical="center"/>
    </xf>
    <xf numFmtId="41" fontId="26" fillId="0" borderId="10" xfId="1" applyNumberFormat="1" applyFont="1" applyFill="1" applyBorder="1" applyAlignment="1">
      <alignment vertical="center" wrapText="1"/>
    </xf>
    <xf numFmtId="41" fontId="26" fillId="0" borderId="10" xfId="1" applyNumberFormat="1" applyFont="1" applyFill="1" applyBorder="1" applyAlignment="1">
      <alignment horizontal="center" vertical="center"/>
    </xf>
    <xf numFmtId="41" fontId="43" fillId="0" borderId="10" xfId="0" quotePrefix="1" applyNumberFormat="1" applyFont="1" applyBorder="1" applyAlignment="1">
      <alignment horizontal="right" vertical="center"/>
    </xf>
    <xf numFmtId="41" fontId="73" fillId="0" borderId="10" xfId="1" applyNumberFormat="1" applyFont="1" applyFill="1" applyBorder="1" applyAlignment="1" applyProtection="1">
      <alignment vertical="center"/>
      <protection locked="0"/>
    </xf>
    <xf numFmtId="41" fontId="26" fillId="0" borderId="10" xfId="7" applyNumberFormat="1" applyFont="1" applyBorder="1" applyAlignment="1">
      <alignment horizontal="center" vertical="center"/>
    </xf>
    <xf numFmtId="41" fontId="26" fillId="0" borderId="10" xfId="1" quotePrefix="1" applyNumberFormat="1" applyFont="1" applyFill="1" applyBorder="1" applyAlignment="1" applyProtection="1">
      <alignment horizontal="right" vertical="center"/>
      <protection locked="0"/>
    </xf>
    <xf numFmtId="41" fontId="26" fillId="0" borderId="10" xfId="1" quotePrefix="1" applyNumberFormat="1" applyFont="1" applyFill="1" applyBorder="1" applyAlignment="1" applyProtection="1">
      <alignment horizontal="right" vertical="center"/>
    </xf>
    <xf numFmtId="41" fontId="202" fillId="0" borderId="10" xfId="1" applyNumberFormat="1" applyFont="1" applyFill="1" applyBorder="1" applyAlignment="1" applyProtection="1">
      <alignment horizontal="right" vertical="center"/>
    </xf>
    <xf numFmtId="41" fontId="202" fillId="0" borderId="10" xfId="1" applyNumberFormat="1" applyFont="1" applyFill="1" applyBorder="1" applyAlignment="1">
      <alignment horizontal="right" vertical="center"/>
    </xf>
    <xf numFmtId="41" fontId="202" fillId="0" borderId="10" xfId="1" applyNumberFormat="1" applyFont="1" applyFill="1" applyBorder="1" applyAlignment="1">
      <alignment horizontal="right" vertical="center" wrapText="1"/>
    </xf>
    <xf numFmtId="41" fontId="75" fillId="0" borderId="10" xfId="1" applyNumberFormat="1" applyFont="1" applyFill="1" applyBorder="1" applyAlignment="1" applyProtection="1">
      <alignment horizontal="right" vertical="center"/>
    </xf>
    <xf numFmtId="41" fontId="76" fillId="0" borderId="10" xfId="1" quotePrefix="1" applyNumberFormat="1" applyFont="1" applyFill="1" applyBorder="1" applyAlignment="1" applyProtection="1">
      <alignment horizontal="center" vertical="center"/>
      <protection locked="0"/>
    </xf>
    <xf numFmtId="41" fontId="75" fillId="0" borderId="10" xfId="1" quotePrefix="1" applyNumberFormat="1" applyFont="1" applyFill="1" applyBorder="1" applyAlignment="1">
      <alignment horizontal="right" vertical="center"/>
    </xf>
    <xf numFmtId="41" fontId="75" fillId="0" borderId="10" xfId="1" quotePrefix="1" applyNumberFormat="1" applyFont="1" applyFill="1" applyBorder="1" applyAlignment="1" applyProtection="1">
      <alignment horizontal="right" vertical="center"/>
      <protection locked="0"/>
    </xf>
    <xf numFmtId="41" fontId="75" fillId="0" borderId="10" xfId="1" quotePrefix="1" applyNumberFormat="1" applyFont="1" applyFill="1" applyBorder="1" applyAlignment="1" applyProtection="1">
      <alignment horizontal="right" vertical="center"/>
    </xf>
    <xf numFmtId="41" fontId="25" fillId="0" borderId="10" xfId="1" applyNumberFormat="1" applyFont="1" applyFill="1" applyBorder="1" applyAlignment="1" applyProtection="1">
      <alignment horizontal="center" vertical="center"/>
    </xf>
    <xf numFmtId="41" fontId="25" fillId="0" borderId="10" xfId="1" quotePrefix="1" applyNumberFormat="1" applyFont="1" applyFill="1" applyBorder="1" applyAlignment="1" applyProtection="1">
      <alignment vertical="center"/>
      <protection locked="0"/>
    </xf>
    <xf numFmtId="41" fontId="25" fillId="0" borderId="10" xfId="1" quotePrefix="1" applyNumberFormat="1" applyFont="1" applyFill="1" applyBorder="1" applyAlignment="1" applyProtection="1">
      <alignment vertical="center"/>
    </xf>
    <xf numFmtId="41" fontId="25" fillId="0" borderId="10" xfId="0" applyNumberFormat="1" applyFont="1" applyBorder="1" applyAlignment="1">
      <alignment horizontal="right" vertical="center" wrapText="1"/>
    </xf>
    <xf numFmtId="41" fontId="25" fillId="0" borderId="10" xfId="0" quotePrefix="1" applyNumberFormat="1" applyFont="1" applyBorder="1" applyAlignment="1">
      <alignment horizontal="right" vertical="center" wrapText="1"/>
    </xf>
    <xf numFmtId="41" fontId="25" fillId="6" borderId="10" xfId="1" quotePrefix="1" applyNumberFormat="1" applyFont="1" applyFill="1" applyBorder="1" applyAlignment="1" applyProtection="1">
      <alignment vertical="center"/>
      <protection locked="0"/>
    </xf>
    <xf numFmtId="41" fontId="26" fillId="0" borderId="10" xfId="1" quotePrefix="1" applyNumberFormat="1" applyFont="1" applyFill="1" applyBorder="1" applyAlignment="1" applyProtection="1">
      <alignment horizontal="center" vertical="center"/>
      <protection locked="0"/>
    </xf>
    <xf numFmtId="41" fontId="76" fillId="0" borderId="10" xfId="1" applyNumberFormat="1" applyFont="1" applyFill="1" applyBorder="1" applyAlignment="1">
      <alignment horizontal="right" vertical="center"/>
    </xf>
    <xf numFmtId="41" fontId="76" fillId="0" borderId="10" xfId="1" applyNumberFormat="1" applyFont="1" applyFill="1" applyBorder="1" applyAlignment="1">
      <alignment horizontal="right" vertical="center" wrapText="1"/>
    </xf>
    <xf numFmtId="41" fontId="25" fillId="0" borderId="10" xfId="0" quotePrefix="1" applyNumberFormat="1" applyFont="1" applyBorder="1" applyAlignment="1" applyProtection="1">
      <alignment horizontal="right" vertical="center"/>
      <protection locked="0"/>
    </xf>
    <xf numFmtId="41" fontId="202" fillId="18" borderId="10" xfId="0" applyNumberFormat="1" applyFont="1" applyFill="1" applyBorder="1" applyAlignment="1">
      <alignment horizontal="center" vertical="center"/>
    </xf>
    <xf numFmtId="41" fontId="81" fillId="0" borderId="10" xfId="1" applyNumberFormat="1" applyFont="1" applyFill="1" applyBorder="1" applyAlignment="1">
      <alignment horizontal="center" vertical="center"/>
    </xf>
    <xf numFmtId="41" fontId="81" fillId="0" borderId="10" xfId="1" applyNumberFormat="1" applyFont="1" applyFill="1" applyBorder="1" applyAlignment="1" applyProtection="1">
      <alignment horizontal="center" vertical="center"/>
    </xf>
    <xf numFmtId="41" fontId="81" fillId="0" borderId="10" xfId="1" quotePrefix="1" applyNumberFormat="1" applyFont="1" applyFill="1" applyBorder="1" applyAlignment="1" applyProtection="1">
      <alignment vertical="center"/>
      <protection locked="0"/>
    </xf>
    <xf numFmtId="41" fontId="112" fillId="0" borderId="10" xfId="1" applyNumberFormat="1" applyFont="1" applyFill="1" applyBorder="1" applyAlignment="1">
      <alignment horizontal="right" vertical="center" wrapText="1"/>
    </xf>
    <xf numFmtId="41" fontId="200" fillId="0" borderId="10" xfId="0" quotePrefix="1" applyNumberFormat="1" applyFont="1" applyBorder="1" applyAlignment="1" applyProtection="1">
      <alignment vertical="center"/>
      <protection locked="0"/>
    </xf>
    <xf numFmtId="41" fontId="200" fillId="0" borderId="10" xfId="1" quotePrefix="1" applyNumberFormat="1" applyFont="1" applyFill="1" applyBorder="1" applyAlignment="1" applyProtection="1">
      <alignment horizontal="center" vertical="center"/>
      <protection locked="0"/>
    </xf>
    <xf numFmtId="41" fontId="200" fillId="18" borderId="10" xfId="0" applyNumberFormat="1" applyFont="1" applyFill="1" applyBorder="1" applyAlignment="1">
      <alignment horizontal="center" vertical="center"/>
    </xf>
    <xf numFmtId="41" fontId="200" fillId="0" borderId="10" xfId="0" applyNumberFormat="1" applyFont="1" applyBorder="1" applyAlignment="1">
      <alignment horizontal="center" vertical="center"/>
    </xf>
    <xf numFmtId="41" fontId="26" fillId="6" borderId="10" xfId="1" quotePrefix="1" applyNumberFormat="1" applyFont="1" applyFill="1" applyBorder="1" applyAlignment="1" applyProtection="1">
      <alignment vertical="center"/>
      <protection locked="0"/>
    </xf>
    <xf numFmtId="41" fontId="26" fillId="3" borderId="10" xfId="1" quotePrefix="1" applyNumberFormat="1" applyFont="1" applyFill="1" applyBorder="1" applyAlignment="1" applyProtection="1">
      <alignment vertical="center"/>
    </xf>
    <xf numFmtId="41" fontId="75" fillId="18" borderId="10" xfId="1" applyNumberFormat="1" applyFont="1" applyFill="1" applyBorder="1" applyAlignment="1" applyProtection="1">
      <alignment horizontal="center" vertical="center"/>
    </xf>
    <xf numFmtId="41" fontId="202" fillId="0" borderId="10" xfId="1" applyNumberFormat="1" applyFont="1" applyFill="1" applyBorder="1" applyAlignment="1">
      <alignment vertical="center"/>
    </xf>
    <xf numFmtId="41" fontId="202" fillId="0" borderId="10" xfId="1" applyNumberFormat="1" applyFont="1" applyFill="1" applyBorder="1" applyAlignment="1">
      <alignment vertical="center" wrapText="1"/>
    </xf>
    <xf numFmtId="41" fontId="29" fillId="0" borderId="10" xfId="1" quotePrefix="1" applyNumberFormat="1" applyFont="1" applyFill="1" applyBorder="1" applyAlignment="1" applyProtection="1">
      <alignment vertical="center"/>
      <protection locked="0"/>
    </xf>
    <xf numFmtId="41" fontId="29" fillId="0" borderId="10" xfId="1" applyNumberFormat="1" applyFont="1" applyFill="1" applyBorder="1" applyAlignment="1" applyProtection="1">
      <alignment horizontal="center" vertical="center"/>
    </xf>
    <xf numFmtId="41" fontId="29" fillId="0" borderId="10" xfId="1" quotePrefix="1" applyNumberFormat="1" applyFont="1" applyFill="1" applyBorder="1" applyAlignment="1" applyProtection="1">
      <alignment vertical="center"/>
    </xf>
    <xf numFmtId="41" fontId="29" fillId="3" borderId="10" xfId="1" quotePrefix="1" applyNumberFormat="1" applyFont="1" applyFill="1" applyBorder="1" applyAlignment="1" applyProtection="1">
      <alignment vertical="center"/>
    </xf>
    <xf numFmtId="41" fontId="25" fillId="3" borderId="10" xfId="1" applyNumberFormat="1" applyFont="1" applyFill="1" applyBorder="1" applyAlignment="1" applyProtection="1">
      <alignment horizontal="center" vertical="center"/>
    </xf>
    <xf numFmtId="41" fontId="25" fillId="3" borderId="10" xfId="1" quotePrefix="1" applyNumberFormat="1" applyFont="1" applyFill="1" applyBorder="1" applyAlignment="1" applyProtection="1">
      <alignment vertical="center"/>
      <protection locked="0"/>
    </xf>
    <xf numFmtId="41" fontId="25" fillId="4" borderId="10" xfId="1" applyNumberFormat="1" applyFont="1" applyFill="1" applyBorder="1" applyAlignment="1" applyProtection="1">
      <alignment horizontal="center" vertical="center"/>
    </xf>
    <xf numFmtId="41" fontId="25" fillId="4" borderId="10" xfId="1" quotePrefix="1" applyNumberFormat="1" applyFont="1" applyFill="1" applyBorder="1" applyAlignment="1" applyProtection="1">
      <alignment vertical="center"/>
    </xf>
    <xf numFmtId="41" fontId="29" fillId="0" borderId="10" xfId="0" applyNumberFormat="1" applyFont="1" applyBorder="1" applyAlignment="1" applyProtection="1">
      <alignment vertical="center"/>
      <protection locked="0"/>
    </xf>
    <xf numFmtId="41" fontId="26" fillId="0" borderId="10" xfId="1" applyNumberFormat="1" applyFont="1" applyFill="1" applyBorder="1" applyAlignment="1" applyProtection="1">
      <alignment horizontal="right" vertical="center"/>
      <protection locked="0"/>
    </xf>
    <xf numFmtId="41" fontId="29" fillId="0" borderId="10" xfId="1" applyNumberFormat="1" applyFont="1" applyFill="1" applyBorder="1" applyAlignment="1">
      <alignment horizontal="center" vertical="center" wrapText="1"/>
    </xf>
    <xf numFmtId="41" fontId="29" fillId="0" borderId="10" xfId="0" applyNumberFormat="1" applyFont="1" applyBorder="1" applyAlignment="1">
      <alignment horizontal="center" vertical="center" wrapText="1"/>
    </xf>
    <xf numFmtId="41" fontId="26" fillId="3" borderId="10" xfId="1" applyNumberFormat="1" applyFont="1" applyFill="1" applyBorder="1" applyAlignment="1" applyProtection="1">
      <alignment horizontal="center" vertical="center"/>
    </xf>
    <xf numFmtId="41" fontId="26" fillId="4" borderId="10" xfId="1" quotePrefix="1" applyNumberFormat="1" applyFont="1" applyFill="1" applyBorder="1" applyAlignment="1" applyProtection="1">
      <alignment vertical="center"/>
    </xf>
    <xf numFmtId="41" fontId="26" fillId="13" borderId="10" xfId="1" applyNumberFormat="1" applyFont="1" applyFill="1" applyBorder="1" applyAlignment="1" applyProtection="1">
      <alignment horizontal="center" vertical="center"/>
    </xf>
    <xf numFmtId="41" fontId="26" fillId="0" borderId="10" xfId="0" applyNumberFormat="1" applyFont="1" applyBorder="1" applyAlignment="1">
      <alignment horizontal="right" vertical="center" wrapText="1"/>
    </xf>
    <xf numFmtId="41" fontId="26" fillId="0" borderId="10" xfId="0" quotePrefix="1" applyNumberFormat="1" applyFont="1" applyBorder="1" applyAlignment="1">
      <alignment horizontal="right" vertical="center" wrapText="1"/>
    </xf>
    <xf numFmtId="41" fontId="73" fillId="0" borderId="10" xfId="0" applyNumberFormat="1" applyFont="1" applyBorder="1" applyAlignment="1">
      <alignment horizontal="center" vertical="center"/>
    </xf>
    <xf numFmtId="41" fontId="73" fillId="0" borderId="10" xfId="0" quotePrefix="1" applyNumberFormat="1" applyFont="1" applyBorder="1" applyAlignment="1" applyProtection="1">
      <alignment vertical="center"/>
      <protection locked="0"/>
    </xf>
    <xf numFmtId="41" fontId="73" fillId="0" borderId="10" xfId="0" quotePrefix="1" applyNumberFormat="1" applyFont="1" applyBorder="1" applyAlignment="1">
      <alignment vertical="center"/>
    </xf>
    <xf numFmtId="3" fontId="45" fillId="5" borderId="4" xfId="0" applyNumberFormat="1" applyFont="1" applyFill="1" applyBorder="1" applyAlignment="1">
      <alignment horizontal="center" vertical="center" wrapText="1"/>
    </xf>
    <xf numFmtId="0" fontId="29" fillId="7" borderId="8" xfId="263" applyFont="1" applyFill="1" applyBorder="1" applyAlignment="1">
      <alignment horizontal="center" vertical="center"/>
    </xf>
    <xf numFmtId="0" fontId="65" fillId="7" borderId="8" xfId="0" applyFont="1" applyFill="1" applyBorder="1"/>
    <xf numFmtId="3" fontId="29" fillId="7" borderId="8" xfId="263" applyNumberFormat="1" applyFont="1" applyFill="1" applyBorder="1" applyAlignment="1">
      <alignment horizontal="right" vertical="center"/>
    </xf>
    <xf numFmtId="0" fontId="26" fillId="0" borderId="8" xfId="263" applyFont="1" applyBorder="1" applyAlignment="1">
      <alignment horizontal="center" vertical="center"/>
    </xf>
    <xf numFmtId="0" fontId="64" fillId="46" borderId="8" xfId="0" applyFont="1" applyFill="1" applyBorder="1"/>
    <xf numFmtId="0" fontId="26" fillId="0" borderId="8" xfId="263" applyFont="1" applyBorder="1" applyAlignment="1">
      <alignment horizontal="right" vertical="center"/>
    </xf>
    <xf numFmtId="0" fontId="64" fillId="5" borderId="8" xfId="0" applyFont="1" applyFill="1" applyBorder="1"/>
    <xf numFmtId="3" fontId="64" fillId="5" borderId="8" xfId="0" applyNumberFormat="1" applyFont="1" applyFill="1" applyBorder="1"/>
    <xf numFmtId="3" fontId="26" fillId="5" borderId="8" xfId="0" applyNumberFormat="1" applyFont="1" applyFill="1" applyBorder="1"/>
    <xf numFmtId="0" fontId="64" fillId="0" borderId="8" xfId="0" applyFont="1" applyBorder="1" applyAlignment="1">
      <alignment horizontal="right"/>
    </xf>
    <xf numFmtId="0" fontId="208" fillId="0" borderId="8" xfId="0" applyFont="1" applyBorder="1" applyAlignment="1">
      <alignment horizontal="center" vertical="center"/>
    </xf>
    <xf numFmtId="0" fontId="208" fillId="0" borderId="8" xfId="0" applyFont="1" applyBorder="1" applyAlignment="1">
      <alignment horizontal="left" vertical="center"/>
    </xf>
    <xf numFmtId="0" fontId="208" fillId="0" borderId="8" xfId="0" applyFont="1" applyBorder="1" applyAlignment="1">
      <alignment horizontal="right" vertical="center"/>
    </xf>
    <xf numFmtId="1" fontId="208" fillId="0" borderId="8" xfId="0" applyNumberFormat="1" applyFont="1" applyBorder="1" applyAlignment="1">
      <alignment horizontal="right" vertical="center"/>
    </xf>
    <xf numFmtId="3" fontId="208" fillId="0" borderId="8" xfId="0" applyNumberFormat="1" applyFont="1" applyBorder="1" applyAlignment="1">
      <alignment horizontal="right" vertical="center"/>
    </xf>
    <xf numFmtId="0" fontId="209" fillId="17" borderId="10" xfId="260" applyFont="1" applyFill="1" applyBorder="1"/>
    <xf numFmtId="4" fontId="26" fillId="2" borderId="8" xfId="154" applyNumberFormat="1" applyFont="1" applyFill="1" applyBorder="1" applyAlignment="1">
      <alignment horizontal="right" vertical="center"/>
    </xf>
    <xf numFmtId="0" fontId="79" fillId="0" borderId="8" xfId="0" applyFont="1" applyBorder="1" applyAlignment="1">
      <alignment horizontal="justify" vertical="center"/>
    </xf>
    <xf numFmtId="3" fontId="29" fillId="0" borderId="8" xfId="154" applyNumberFormat="1" applyFont="1" applyBorder="1" applyAlignment="1">
      <alignment horizontal="center" vertical="center"/>
    </xf>
    <xf numFmtId="3" fontId="74" fillId="0" borderId="8" xfId="154" applyNumberFormat="1" applyFont="1" applyBorder="1" applyAlignment="1">
      <alignment vertical="center"/>
    </xf>
    <xf numFmtId="3" fontId="29" fillId="0" borderId="8" xfId="154" applyNumberFormat="1" applyFont="1" applyBorder="1" applyAlignment="1">
      <alignment horizontal="right" vertical="center"/>
    </xf>
    <xf numFmtId="4" fontId="29" fillId="0" borderId="8" xfId="154" applyNumberFormat="1" applyFont="1" applyBorder="1" applyAlignment="1">
      <alignment horizontal="right" vertical="center"/>
    </xf>
    <xf numFmtId="168" fontId="29" fillId="0" borderId="8" xfId="154" applyNumberFormat="1" applyFont="1" applyBorder="1" applyAlignment="1">
      <alignment horizontal="right" vertical="center"/>
    </xf>
    <xf numFmtId="168" fontId="29" fillId="0" borderId="8" xfId="8" applyNumberFormat="1" applyFont="1" applyFill="1" applyBorder="1" applyAlignment="1">
      <alignment vertical="center"/>
    </xf>
    <xf numFmtId="3" fontId="29" fillId="0" borderId="8" xfId="154" applyNumberFormat="1" applyFont="1" applyBorder="1" applyAlignment="1">
      <alignment vertical="center" wrapText="1"/>
    </xf>
    <xf numFmtId="3" fontId="29" fillId="0" borderId="8" xfId="154" applyNumberFormat="1" applyFont="1" applyBorder="1" applyAlignment="1">
      <alignment vertical="center"/>
    </xf>
    <xf numFmtId="168" fontId="29" fillId="0" borderId="8" xfId="154" applyNumberFormat="1" applyFont="1" applyBorder="1" applyAlignment="1">
      <alignment vertical="center"/>
    </xf>
    <xf numFmtId="3" fontId="29" fillId="0" borderId="8" xfId="154" quotePrefix="1" applyNumberFormat="1" applyFont="1" applyBorder="1" applyAlignment="1">
      <alignment vertical="center"/>
    </xf>
    <xf numFmtId="4" fontId="29" fillId="0" borderId="8" xfId="154" applyNumberFormat="1" applyFont="1" applyBorder="1" applyAlignment="1">
      <alignment vertical="center"/>
    </xf>
    <xf numFmtId="168" fontId="26" fillId="0" borderId="8" xfId="8" applyNumberFormat="1" applyFont="1" applyFill="1" applyBorder="1" applyAlignment="1">
      <alignment vertical="center"/>
    </xf>
    <xf numFmtId="3" fontId="26" fillId="0" borderId="8" xfId="154" applyNumberFormat="1" applyFont="1" applyBorder="1" applyAlignment="1">
      <alignment horizontal="center" vertical="center"/>
    </xf>
    <xf numFmtId="3" fontId="26" fillId="0" borderId="8" xfId="154" quotePrefix="1" applyNumberFormat="1" applyFont="1" applyBorder="1" applyAlignment="1">
      <alignment vertical="center"/>
    </xf>
    <xf numFmtId="3" fontId="26" fillId="0" borderId="8" xfId="154" applyNumberFormat="1" applyFont="1" applyBorder="1" applyAlignment="1">
      <alignment vertical="center"/>
    </xf>
    <xf numFmtId="4" fontId="26" fillId="0" borderId="8" xfId="154" applyNumberFormat="1" applyFont="1" applyBorder="1" applyAlignment="1">
      <alignment vertical="center"/>
    </xf>
    <xf numFmtId="168" fontId="26" fillId="0" borderId="8" xfId="154" applyNumberFormat="1" applyFont="1" applyBorder="1" applyAlignment="1">
      <alignment vertical="center"/>
    </xf>
    <xf numFmtId="3" fontId="26" fillId="0" borderId="8" xfId="0" applyNumberFormat="1" applyFont="1" applyBorder="1" applyAlignment="1">
      <alignment vertical="center"/>
    </xf>
    <xf numFmtId="4" fontId="26" fillId="0" borderId="8" xfId="154" applyNumberFormat="1" applyFont="1" applyBorder="1" applyAlignment="1">
      <alignment horizontal="right" vertical="center"/>
    </xf>
    <xf numFmtId="43" fontId="29" fillId="0" borderId="8" xfId="8" applyFont="1" applyFill="1" applyBorder="1" applyAlignment="1">
      <alignment vertical="center"/>
    </xf>
    <xf numFmtId="43" fontId="26" fillId="0" borderId="8" xfId="8" applyFont="1" applyFill="1" applyBorder="1" applyAlignment="1">
      <alignment vertical="center"/>
    </xf>
    <xf numFmtId="3" fontId="74" fillId="0" borderId="8" xfId="154" applyNumberFormat="1" applyFont="1" applyBorder="1" applyAlignment="1">
      <alignment vertical="center" wrapText="1"/>
    </xf>
    <xf numFmtId="176" fontId="26" fillId="0" borderId="8" xfId="154" applyNumberFormat="1" applyFont="1" applyBorder="1" applyAlignment="1">
      <alignment vertical="center"/>
    </xf>
    <xf numFmtId="43" fontId="26" fillId="0" borderId="8" xfId="8" applyFont="1" applyFill="1" applyBorder="1" applyAlignment="1">
      <alignment horizontal="right" vertical="center"/>
    </xf>
    <xf numFmtId="0" fontId="29" fillId="0" borderId="8" xfId="212" applyNumberFormat="1" applyFont="1" applyFill="1" applyBorder="1" applyAlignment="1">
      <alignment vertical="center"/>
    </xf>
    <xf numFmtId="168" fontId="29" fillId="0" borderId="8" xfId="212" applyNumberFormat="1" applyFont="1" applyFill="1" applyBorder="1" applyAlignment="1">
      <alignment vertical="center"/>
    </xf>
    <xf numFmtId="0" fontId="26" fillId="0" borderId="8" xfId="212" applyNumberFormat="1" applyFont="1" applyFill="1" applyBorder="1" applyAlignment="1">
      <alignment vertical="center"/>
    </xf>
    <xf numFmtId="168" fontId="25" fillId="0" borderId="8" xfId="154" applyNumberFormat="1" applyFont="1" applyBorder="1" applyAlignment="1">
      <alignment vertical="center"/>
    </xf>
    <xf numFmtId="3" fontId="210" fillId="0" borderId="8" xfId="0" applyNumberFormat="1" applyFont="1" applyBorder="1" applyAlignment="1">
      <alignment vertical="center"/>
    </xf>
    <xf numFmtId="4" fontId="210" fillId="0" borderId="8" xfId="154" applyNumberFormat="1" applyFont="1" applyBorder="1" applyAlignment="1">
      <alignment vertical="center"/>
    </xf>
    <xf numFmtId="168" fontId="26" fillId="0" borderId="8" xfId="154" applyNumberFormat="1" applyFont="1" applyBorder="1"/>
    <xf numFmtId="170" fontId="74" fillId="0" borderId="8" xfId="260" applyNumberFormat="1" applyFont="1" applyBorder="1" applyAlignment="1">
      <alignment horizontal="right" vertical="center"/>
    </xf>
    <xf numFmtId="4" fontId="81" fillId="18" borderId="8" xfId="154" applyNumberFormat="1" applyFont="1" applyFill="1" applyBorder="1"/>
    <xf numFmtId="3" fontId="26" fillId="18" borderId="10" xfId="0" applyNumberFormat="1" applyFont="1" applyFill="1" applyBorder="1"/>
    <xf numFmtId="3" fontId="26" fillId="18" borderId="13" xfId="0" applyNumberFormat="1" applyFont="1" applyFill="1" applyBorder="1"/>
    <xf numFmtId="3" fontId="26" fillId="0" borderId="4" xfId="154" applyNumberFormat="1" applyFont="1" applyBorder="1" applyAlignment="1">
      <alignment horizontal="center" vertical="center"/>
    </xf>
    <xf numFmtId="168" fontId="26" fillId="0" borderId="8" xfId="8" applyNumberFormat="1" applyFont="1" applyFill="1" applyBorder="1"/>
    <xf numFmtId="3" fontId="45" fillId="7" borderId="8" xfId="0" applyNumberFormat="1" applyFont="1" applyFill="1" applyBorder="1"/>
    <xf numFmtId="0" fontId="77" fillId="0" borderId="8" xfId="0" applyFont="1" applyBorder="1" applyAlignment="1">
      <alignment horizontal="left" wrapText="1"/>
    </xf>
    <xf numFmtId="0" fontId="76" fillId="0" borderId="8" xfId="0" applyFont="1" applyBorder="1" applyAlignment="1">
      <alignment horizontal="left" wrapText="1"/>
    </xf>
    <xf numFmtId="3" fontId="64" fillId="0" borderId="0" xfId="0" applyNumberFormat="1" applyFont="1"/>
    <xf numFmtId="41" fontId="29" fillId="6" borderId="8" xfId="0" quotePrefix="1" applyNumberFormat="1" applyFont="1" applyFill="1" applyBorder="1" applyAlignment="1" applyProtection="1">
      <alignment vertical="center"/>
    </xf>
    <xf numFmtId="0" fontId="88" fillId="18" borderId="8" xfId="0" applyFont="1" applyFill="1" applyBorder="1"/>
    <xf numFmtId="0" fontId="77" fillId="18" borderId="8" xfId="0" applyFont="1" applyFill="1" applyBorder="1"/>
    <xf numFmtId="3" fontId="77" fillId="18" borderId="8" xfId="0" applyNumberFormat="1" applyFont="1" applyFill="1" applyBorder="1"/>
    <xf numFmtId="166" fontId="76" fillId="18" borderId="8" xfId="1" applyNumberFormat="1" applyFont="1" applyFill="1" applyBorder="1"/>
    <xf numFmtId="166" fontId="207" fillId="18" borderId="8" xfId="0" applyNumberFormat="1" applyFont="1" applyFill="1" applyBorder="1"/>
    <xf numFmtId="0" fontId="87" fillId="7" borderId="8" xfId="0" applyFont="1" applyFill="1" applyBorder="1" applyAlignment="1">
      <alignment horizontal="center"/>
    </xf>
    <xf numFmtId="0" fontId="87" fillId="7" borderId="8" xfId="0" applyFont="1" applyFill="1" applyBorder="1"/>
    <xf numFmtId="3" fontId="87" fillId="7" borderId="8" xfId="0" applyNumberFormat="1" applyFont="1" applyFill="1" applyBorder="1"/>
    <xf numFmtId="166" fontId="45" fillId="5" borderId="8" xfId="1" applyNumberFormat="1" applyFont="1" applyFill="1" applyBorder="1"/>
    <xf numFmtId="166" fontId="0" fillId="5" borderId="8" xfId="1" applyNumberFormat="1" applyFont="1" applyFill="1" applyBorder="1" applyAlignment="1"/>
    <xf numFmtId="166" fontId="0" fillId="5" borderId="8" xfId="1" applyNumberFormat="1" applyFont="1" applyFill="1" applyBorder="1"/>
    <xf numFmtId="166" fontId="0" fillId="5" borderId="8" xfId="1" applyNumberFormat="1" applyFont="1" applyFill="1" applyBorder="1" applyAlignment="1">
      <alignment wrapText="1"/>
    </xf>
    <xf numFmtId="43" fontId="0" fillId="5" borderId="8" xfId="1" applyFont="1" applyFill="1" applyBorder="1"/>
    <xf numFmtId="3" fontId="45" fillId="5" borderId="8" xfId="0" applyNumberFormat="1" applyFont="1" applyFill="1" applyBorder="1"/>
    <xf numFmtId="3" fontId="0" fillId="5" borderId="8" xfId="0" applyNumberFormat="1" applyFill="1" applyBorder="1" applyAlignment="1">
      <alignment wrapText="1"/>
    </xf>
    <xf numFmtId="3" fontId="0" fillId="0" borderId="8" xfId="0" applyNumberFormat="1" applyBorder="1"/>
    <xf numFmtId="0" fontId="0" fillId="42" borderId="8" xfId="0" applyFill="1" applyBorder="1"/>
    <xf numFmtId="166" fontId="211" fillId="42" borderId="8" xfId="10" applyNumberFormat="1" applyFont="1" applyFill="1" applyBorder="1"/>
    <xf numFmtId="166" fontId="212" fillId="42" borderId="8" xfId="10" applyNumberFormat="1" applyFont="1" applyFill="1" applyBorder="1"/>
    <xf numFmtId="166" fontId="212" fillId="42" borderId="8" xfId="10" applyNumberFormat="1" applyFont="1" applyFill="1" applyBorder="1" applyAlignment="1">
      <alignment wrapText="1"/>
    </xf>
    <xf numFmtId="43" fontId="212" fillId="42" borderId="8" xfId="10" applyFont="1" applyFill="1" applyBorder="1"/>
    <xf numFmtId="0" fontId="45" fillId="0" borderId="8" xfId="0" applyFont="1" applyBorder="1"/>
    <xf numFmtId="0" fontId="45" fillId="5" borderId="8" xfId="0" applyFont="1" applyFill="1" applyBorder="1"/>
    <xf numFmtId="0" fontId="26" fillId="0" borderId="0" xfId="256" applyFont="1" applyAlignment="1">
      <alignment horizontal="center"/>
    </xf>
    <xf numFmtId="0" fontId="29" fillId="0" borderId="0" xfId="256" applyFont="1" applyAlignment="1">
      <alignment horizontal="left"/>
    </xf>
    <xf numFmtId="0" fontId="26" fillId="0" borderId="8" xfId="0" applyFont="1" applyBorder="1" applyAlignment="1">
      <alignment vertical="center"/>
    </xf>
    <xf numFmtId="0" fontId="32" fillId="0" borderId="0" xfId="2" applyFont="1" applyAlignment="1">
      <alignment horizontal="left" vertical="top" wrapText="1"/>
    </xf>
    <xf numFmtId="0" fontId="35" fillId="0" borderId="0" xfId="2" applyFont="1" applyAlignment="1">
      <alignment horizontal="center" wrapText="1"/>
    </xf>
    <xf numFmtId="0" fontId="0" fillId="0" borderId="0" xfId="0"/>
    <xf numFmtId="0" fontId="46" fillId="0" borderId="0" xfId="2" applyFont="1" applyAlignment="1">
      <alignment horizontal="center"/>
    </xf>
    <xf numFmtId="0" fontId="181" fillId="0" borderId="19" xfId="2" applyFont="1" applyBorder="1" applyAlignment="1">
      <alignment horizontal="center" vertical="center" wrapText="1"/>
    </xf>
    <xf numFmtId="0" fontId="0" fillId="0" borderId="6" xfId="0" applyBorder="1"/>
    <xf numFmtId="0" fontId="184" fillId="0" borderId="21" xfId="2" applyFont="1" applyBorder="1" applyAlignment="1">
      <alignment horizontal="left" vertical="top" wrapText="1"/>
    </xf>
    <xf numFmtId="0" fontId="0" fillId="0" borderId="21" xfId="0" applyBorder="1"/>
    <xf numFmtId="0" fontId="87" fillId="0" borderId="0" xfId="16" applyFont="1" applyAlignment="1">
      <alignment horizontal="center"/>
    </xf>
    <xf numFmtId="38" fontId="88" fillId="0" borderId="21" xfId="17" applyNumberFormat="1" applyFont="1" applyFill="1" applyBorder="1" applyAlignment="1">
      <alignment horizontal="center" vertical="center"/>
    </xf>
    <xf numFmtId="38" fontId="87" fillId="0" borderId="0" xfId="17" applyNumberFormat="1" applyFont="1" applyFill="1" applyBorder="1" applyAlignment="1">
      <alignment horizontal="center" vertical="center"/>
    </xf>
    <xf numFmtId="0" fontId="89" fillId="0" borderId="0" xfId="16" applyFont="1" applyAlignment="1">
      <alignment horizontal="center"/>
    </xf>
    <xf numFmtId="0" fontId="87" fillId="18" borderId="0" xfId="0" applyFont="1" applyFill="1" applyBorder="1" applyAlignment="1">
      <alignment horizontal="center" vertical="center"/>
    </xf>
    <xf numFmtId="0" fontId="88" fillId="18" borderId="31" xfId="0" applyFont="1" applyFill="1" applyBorder="1" applyAlignment="1">
      <alignment horizontal="center" vertical="center" wrapText="1"/>
    </xf>
    <xf numFmtId="0" fontId="88" fillId="18" borderId="10" xfId="0" applyFont="1" applyFill="1" applyBorder="1" applyAlignment="1">
      <alignment horizontal="center" vertical="center"/>
    </xf>
    <xf numFmtId="0" fontId="65" fillId="18" borderId="0" xfId="0" applyFont="1" applyFill="1" applyAlignment="1">
      <alignment horizontal="center" vertical="center" wrapText="1"/>
    </xf>
    <xf numFmtId="0" fontId="87" fillId="18" borderId="0" xfId="0" applyFont="1" applyFill="1" applyAlignment="1">
      <alignment horizontal="center" vertical="center" wrapText="1"/>
    </xf>
    <xf numFmtId="0" fontId="87" fillId="18" borderId="0" xfId="0" applyFont="1" applyFill="1" applyAlignment="1">
      <alignment horizontal="center" vertical="center"/>
    </xf>
    <xf numFmtId="0" fontId="88" fillId="18" borderId="31" xfId="0" applyFont="1" applyFill="1" applyBorder="1" applyAlignment="1">
      <alignment horizontal="center" vertical="center"/>
    </xf>
    <xf numFmtId="0" fontId="88" fillId="18" borderId="10" xfId="0" applyFont="1" applyFill="1" applyBorder="1" applyAlignment="1">
      <alignment horizontal="center" vertical="center" wrapText="1"/>
    </xf>
    <xf numFmtId="3" fontId="107" fillId="7" borderId="10" xfId="0" applyNumberFormat="1" applyFont="1" applyFill="1" applyBorder="1" applyAlignment="1">
      <alignment horizontal="left" vertical="center"/>
    </xf>
    <xf numFmtId="0" fontId="98" fillId="7" borderId="10" xfId="0" applyFont="1" applyFill="1" applyBorder="1" applyAlignment="1">
      <alignment horizontal="left" vertical="center" wrapText="1"/>
    </xf>
    <xf numFmtId="0" fontId="87" fillId="18" borderId="32" xfId="0" applyFont="1" applyFill="1" applyBorder="1" applyAlignment="1">
      <alignment horizontal="center" vertical="center"/>
    </xf>
    <xf numFmtId="0" fontId="98" fillId="7" borderId="10" xfId="0" applyFont="1" applyFill="1" applyBorder="1" applyAlignment="1">
      <alignment horizontal="left" vertical="center"/>
    </xf>
    <xf numFmtId="3" fontId="98" fillId="7" borderId="10" xfId="0" applyNumberFormat="1" applyFont="1" applyFill="1" applyBorder="1" applyAlignment="1">
      <alignment horizontal="left" vertical="center" wrapText="1"/>
    </xf>
    <xf numFmtId="3" fontId="98" fillId="7" borderId="10" xfId="0" applyNumberFormat="1" applyFont="1" applyFill="1" applyBorder="1" applyAlignment="1">
      <alignment horizontal="left" vertical="center"/>
    </xf>
    <xf numFmtId="0" fontId="29" fillId="5" borderId="8" xfId="3" applyFont="1" applyFill="1" applyBorder="1" applyAlignment="1" applyProtection="1">
      <alignment horizontal="center" vertical="center" wrapText="1"/>
      <protection locked="0"/>
    </xf>
    <xf numFmtId="0" fontId="31" fillId="0" borderId="0" xfId="3" applyFont="1" applyAlignment="1" applyProtection="1">
      <alignment horizontal="center"/>
      <protection locked="0"/>
    </xf>
    <xf numFmtId="0" fontId="28" fillId="0" borderId="0" xfId="0" applyFont="1" applyFill="1" applyAlignment="1" applyProtection="1">
      <alignment horizontal="left"/>
      <protection locked="0"/>
    </xf>
    <xf numFmtId="0" fontId="37" fillId="0" borderId="0" xfId="3" applyFont="1" applyAlignment="1" applyProtection="1">
      <alignment horizontal="center" vertical="center" wrapText="1"/>
      <protection locked="0"/>
    </xf>
    <xf numFmtId="0" fontId="46" fillId="0" borderId="0" xfId="7" applyNumberFormat="1" applyFont="1" applyAlignment="1">
      <alignment horizontal="center" vertical="center"/>
    </xf>
    <xf numFmtId="0" fontId="27" fillId="0" borderId="32" xfId="3" applyFont="1" applyBorder="1" applyAlignment="1" applyProtection="1">
      <alignment horizontal="right" vertical="center" wrapText="1"/>
      <protection locked="0"/>
    </xf>
    <xf numFmtId="0" fontId="29" fillId="5" borderId="8" xfId="3" applyFont="1" applyFill="1" applyBorder="1" applyAlignment="1" applyProtection="1">
      <alignment horizontal="center" vertical="center"/>
      <protection locked="0"/>
    </xf>
    <xf numFmtId="0" fontId="23" fillId="0" borderId="0" xfId="3" applyFont="1" applyAlignment="1" applyProtection="1">
      <alignment horizontal="center"/>
      <protection locked="0"/>
    </xf>
    <xf numFmtId="166" fontId="26" fillId="0" borderId="21" xfId="1" applyNumberFormat="1" applyFont="1" applyFill="1" applyBorder="1" applyAlignment="1" applyProtection="1">
      <alignment horizontal="center" vertical="center"/>
      <protection locked="0"/>
    </xf>
    <xf numFmtId="0" fontId="87" fillId="0" borderId="0" xfId="0" applyFont="1" applyAlignment="1">
      <alignment horizontal="center"/>
    </xf>
    <xf numFmtId="0" fontId="89" fillId="0" borderId="0" xfId="0" applyFont="1" applyBorder="1" applyAlignment="1">
      <alignment horizontal="right"/>
    </xf>
    <xf numFmtId="0" fontId="87" fillId="0" borderId="31" xfId="0" applyFont="1" applyBorder="1" applyAlignment="1">
      <alignment horizontal="center" vertical="center"/>
    </xf>
    <xf numFmtId="0" fontId="87" fillId="0" borderId="10" xfId="0" applyFont="1" applyBorder="1" applyAlignment="1">
      <alignment horizontal="center" vertical="center"/>
    </xf>
    <xf numFmtId="0" fontId="87" fillId="18" borderId="31" xfId="0" applyFont="1" applyFill="1" applyBorder="1" applyAlignment="1">
      <alignment horizontal="center" vertical="center" wrapText="1"/>
    </xf>
    <xf numFmtId="0" fontId="87" fillId="18" borderId="10" xfId="0" applyFont="1" applyFill="1" applyBorder="1" applyAlignment="1">
      <alignment horizontal="center" vertical="center" wrapText="1"/>
    </xf>
    <xf numFmtId="0" fontId="89" fillId="0" borderId="31" xfId="0" applyFont="1" applyBorder="1" applyAlignment="1">
      <alignment horizontal="center" vertical="center"/>
    </xf>
    <xf numFmtId="0" fontId="43" fillId="18" borderId="10" xfId="0" applyFont="1" applyFill="1" applyBorder="1" applyAlignment="1">
      <alignment horizontal="left" vertical="center" wrapText="1"/>
    </xf>
    <xf numFmtId="166" fontId="88" fillId="0" borderId="31" xfId="1" applyNumberFormat="1" applyFont="1" applyBorder="1" applyAlignment="1">
      <alignment horizontal="center" vertical="center" wrapText="1"/>
    </xf>
    <xf numFmtId="166" fontId="88" fillId="0" borderId="10" xfId="1" applyNumberFormat="1" applyFont="1" applyBorder="1" applyAlignment="1">
      <alignment horizontal="center" vertical="center" wrapText="1"/>
    </xf>
    <xf numFmtId="0" fontId="87" fillId="0" borderId="10" xfId="0" applyFont="1" applyBorder="1" applyAlignment="1">
      <alignment horizontal="left" vertical="center"/>
    </xf>
    <xf numFmtId="0" fontId="88" fillId="18" borderId="10" xfId="0" applyFont="1" applyFill="1" applyBorder="1" applyAlignment="1">
      <alignment horizontal="left" vertical="center" wrapText="1"/>
    </xf>
    <xf numFmtId="0" fontId="87" fillId="18" borderId="10" xfId="0" applyFont="1" applyFill="1" applyBorder="1" applyAlignment="1">
      <alignment horizontal="left" vertical="center" wrapText="1"/>
    </xf>
    <xf numFmtId="0" fontId="88" fillId="18" borderId="13" xfId="0" applyFont="1" applyFill="1" applyBorder="1" applyAlignment="1">
      <alignment vertical="center" wrapText="1"/>
    </xf>
    <xf numFmtId="0" fontId="79" fillId="0" borderId="0" xfId="0" applyFont="1" applyAlignment="1">
      <alignment horizontal="center"/>
    </xf>
    <xf numFmtId="0" fontId="85" fillId="0" borderId="0" xfId="0" applyFont="1" applyAlignment="1">
      <alignment horizontal="right"/>
    </xf>
    <xf numFmtId="0" fontId="79" fillId="0" borderId="31" xfId="0" applyFont="1" applyBorder="1" applyAlignment="1">
      <alignment horizontal="center" vertical="center"/>
    </xf>
    <xf numFmtId="0" fontId="79" fillId="0" borderId="10" xfId="0" applyFont="1" applyBorder="1" applyAlignment="1">
      <alignment horizontal="center" vertical="center"/>
    </xf>
    <xf numFmtId="0" fontId="79" fillId="0" borderId="31" xfId="0" applyFont="1" applyBorder="1" applyAlignment="1">
      <alignment horizontal="center" vertical="center" wrapText="1"/>
    </xf>
    <xf numFmtId="0" fontId="0" fillId="0" borderId="32" xfId="0" applyBorder="1" applyAlignment="1">
      <alignment horizontal="center"/>
    </xf>
    <xf numFmtId="0" fontId="77" fillId="0" borderId="19" xfId="0" applyFont="1" applyBorder="1" applyAlignment="1">
      <alignment horizontal="center"/>
    </xf>
    <xf numFmtId="0" fontId="77" fillId="0" borderId="6" xfId="0" applyFont="1" applyBorder="1" applyAlignment="1">
      <alignment horizontal="center"/>
    </xf>
    <xf numFmtId="0" fontId="77" fillId="0" borderId="19" xfId="0" applyFont="1" applyBorder="1" applyAlignment="1">
      <alignment horizontal="center" vertical="center" wrapText="1"/>
    </xf>
    <xf numFmtId="0" fontId="77" fillId="0" borderId="6" xfId="0" applyFont="1" applyBorder="1" applyAlignment="1">
      <alignment horizontal="center" vertical="center" wrapText="1"/>
    </xf>
    <xf numFmtId="0" fontId="77" fillId="0" borderId="33" xfId="0" applyFont="1" applyBorder="1" applyAlignment="1">
      <alignment horizontal="center" wrapText="1"/>
    </xf>
    <xf numFmtId="0" fontId="77" fillId="0" borderId="30" xfId="0" applyFont="1" applyBorder="1" applyAlignment="1">
      <alignment horizontal="center" wrapText="1"/>
    </xf>
    <xf numFmtId="0" fontId="77" fillId="0" borderId="34" xfId="0" applyFont="1" applyBorder="1" applyAlignment="1">
      <alignment horizontal="center" wrapText="1"/>
    </xf>
    <xf numFmtId="166" fontId="79" fillId="0" borderId="0" xfId="1" applyNumberFormat="1" applyFont="1" applyAlignment="1">
      <alignment horizontal="center"/>
    </xf>
    <xf numFmtId="166" fontId="77" fillId="0" borderId="0" xfId="1" applyNumberFormat="1" applyFont="1" applyAlignment="1">
      <alignment horizontal="center"/>
    </xf>
    <xf numFmtId="0" fontId="77" fillId="0" borderId="10" xfId="0" applyFont="1" applyBorder="1" applyAlignment="1">
      <alignment horizontal="center" vertical="center" wrapText="1"/>
    </xf>
    <xf numFmtId="0" fontId="65" fillId="0" borderId="10" xfId="0" applyFont="1" applyBorder="1" applyAlignment="1">
      <alignment horizontal="center" vertical="center" wrapText="1"/>
    </xf>
    <xf numFmtId="166" fontId="77" fillId="0" borderId="0" xfId="1" applyNumberFormat="1" applyFont="1" applyBorder="1" applyAlignment="1">
      <alignment horizontal="center"/>
    </xf>
    <xf numFmtId="0" fontId="65" fillId="0" borderId="0" xfId="0" applyFont="1" applyAlignment="1">
      <alignment horizontal="center" vertical="center"/>
    </xf>
    <xf numFmtId="0" fontId="65" fillId="0" borderId="33" xfId="0" applyFont="1" applyBorder="1" applyAlignment="1">
      <alignment horizontal="center" vertical="center"/>
    </xf>
    <xf numFmtId="0" fontId="65" fillId="0" borderId="34" xfId="0" applyFont="1" applyBorder="1" applyAlignment="1">
      <alignment horizontal="center" vertical="center"/>
    </xf>
    <xf numFmtId="0" fontId="25" fillId="0" borderId="0" xfId="0" applyFont="1" applyAlignment="1">
      <alignment horizontal="center" vertical="center"/>
    </xf>
    <xf numFmtId="166" fontId="29" fillId="0" borderId="31" xfId="1" applyNumberFormat="1" applyFont="1" applyFill="1" applyBorder="1" applyAlignment="1" applyProtection="1">
      <alignment horizontal="center" vertical="center" wrapText="1"/>
      <protection locked="0"/>
    </xf>
    <xf numFmtId="166" fontId="29" fillId="0" borderId="10" xfId="1" applyNumberFormat="1" applyFont="1" applyFill="1" applyBorder="1" applyAlignment="1" applyProtection="1">
      <alignment horizontal="center" vertical="center" wrapText="1"/>
      <protection locked="0"/>
    </xf>
    <xf numFmtId="0" fontId="198" fillId="0" borderId="0" xfId="0" applyFont="1" applyAlignment="1" applyProtection="1">
      <alignment horizontal="left"/>
      <protection locked="0"/>
    </xf>
    <xf numFmtId="0" fontId="198" fillId="0" borderId="0" xfId="0" applyFont="1" applyAlignment="1" applyProtection="1">
      <alignment horizontal="center"/>
      <protection locked="0"/>
    </xf>
    <xf numFmtId="0" fontId="25" fillId="0" borderId="0" xfId="0" applyFont="1" applyAlignment="1" applyProtection="1">
      <alignment horizontal="center"/>
      <protection locked="0"/>
    </xf>
    <xf numFmtId="0" fontId="26" fillId="5" borderId="31" xfId="0" applyFont="1" applyFill="1" applyBorder="1" applyAlignment="1" applyProtection="1">
      <alignment horizontal="center" vertical="center"/>
      <protection locked="0"/>
    </xf>
    <xf numFmtId="0" fontId="26" fillId="5" borderId="10" xfId="0" applyFont="1" applyFill="1" applyBorder="1" applyAlignment="1" applyProtection="1">
      <alignment horizontal="center" vertical="center"/>
      <protection locked="0"/>
    </xf>
    <xf numFmtId="49" fontId="26" fillId="5" borderId="31" xfId="0" applyNumberFormat="1" applyFont="1" applyFill="1" applyBorder="1" applyAlignment="1" applyProtection="1">
      <alignment horizontal="center" vertical="center"/>
      <protection locked="0"/>
    </xf>
    <xf numFmtId="49" fontId="26" fillId="5" borderId="10" xfId="0" applyNumberFormat="1" applyFont="1" applyFill="1" applyBorder="1" applyAlignment="1" applyProtection="1">
      <alignment horizontal="center" vertical="center"/>
      <protection locked="0"/>
    </xf>
    <xf numFmtId="0" fontId="206" fillId="5" borderId="31" xfId="0" applyFont="1" applyFill="1" applyBorder="1" applyAlignment="1" applyProtection="1">
      <alignment horizontal="center" vertical="center" wrapText="1"/>
      <protection locked="0"/>
    </xf>
    <xf numFmtId="0" fontId="206" fillId="5" borderId="10" xfId="0" applyFont="1" applyFill="1" applyBorder="1" applyAlignment="1" applyProtection="1">
      <alignment horizontal="center" vertical="center" wrapText="1"/>
      <protection locked="0"/>
    </xf>
    <xf numFmtId="167" fontId="29" fillId="5" borderId="10" xfId="1" applyNumberFormat="1" applyFont="1" applyFill="1" applyBorder="1" applyAlignment="1" applyProtection="1">
      <alignment horizontal="center" vertical="center" wrapText="1"/>
      <protection locked="0"/>
    </xf>
    <xf numFmtId="167" fontId="29" fillId="5" borderId="31" xfId="1" applyNumberFormat="1" applyFont="1" applyFill="1" applyBorder="1" applyAlignment="1" applyProtection="1">
      <alignment horizontal="center" vertical="center" wrapText="1"/>
      <protection locked="0"/>
    </xf>
    <xf numFmtId="167" fontId="29" fillId="5" borderId="10" xfId="1" applyNumberFormat="1" applyFont="1" applyFill="1" applyBorder="1" applyAlignment="1" applyProtection="1">
      <alignment horizontal="center" vertical="center"/>
      <protection locked="0"/>
    </xf>
    <xf numFmtId="167" fontId="42" fillId="5" borderId="10" xfId="1" applyNumberFormat="1" applyFont="1" applyFill="1" applyBorder="1" applyAlignment="1" applyProtection="1">
      <alignment horizontal="center" vertical="center"/>
      <protection locked="0"/>
    </xf>
    <xf numFmtId="0" fontId="25" fillId="0" borderId="0" xfId="3" applyFont="1" applyAlignment="1">
      <alignment horizontal="center"/>
    </xf>
    <xf numFmtId="0" fontId="29" fillId="0" borderId="0" xfId="3" applyFont="1" applyAlignment="1">
      <alignment horizontal="center"/>
    </xf>
    <xf numFmtId="0" fontId="29" fillId="5" borderId="19" xfId="0" applyNumberFormat="1" applyFont="1" applyFill="1" applyBorder="1" applyAlignment="1" applyProtection="1">
      <alignment horizontal="center" vertical="center" wrapText="1"/>
      <protection locked="0"/>
    </xf>
    <xf numFmtId="0" fontId="29" fillId="5" borderId="4" xfId="0" applyNumberFormat="1" applyFont="1" applyFill="1" applyBorder="1" applyAlignment="1" applyProtection="1">
      <alignment horizontal="center" vertical="center" wrapText="1"/>
      <protection locked="0"/>
    </xf>
    <xf numFmtId="0" fontId="29" fillId="5" borderId="6" xfId="0" applyNumberFormat="1" applyFont="1" applyFill="1" applyBorder="1" applyAlignment="1" applyProtection="1">
      <alignment horizontal="center" vertical="center" wrapText="1"/>
      <protection locked="0"/>
    </xf>
    <xf numFmtId="0" fontId="29" fillId="0" borderId="0" xfId="0" applyNumberFormat="1" applyFont="1" applyFill="1" applyAlignment="1" applyProtection="1">
      <alignment horizontal="center"/>
      <protection locked="0"/>
    </xf>
    <xf numFmtId="0" fontId="29" fillId="5" borderId="2" xfId="0" applyNumberFormat="1" applyFont="1" applyFill="1" applyBorder="1" applyAlignment="1" applyProtection="1">
      <alignment horizontal="center" vertical="center" wrapText="1"/>
      <protection locked="0"/>
    </xf>
    <xf numFmtId="0" fontId="29" fillId="5" borderId="4" xfId="0" applyFont="1" applyFill="1" applyBorder="1" applyAlignment="1" applyProtection="1">
      <alignment horizontal="center" vertical="center" wrapText="1"/>
      <protection locked="0"/>
    </xf>
    <xf numFmtId="0" fontId="29" fillId="5" borderId="6" xfId="0" applyFont="1" applyFill="1" applyBorder="1" applyAlignment="1" applyProtection="1">
      <alignment horizontal="center" vertical="center" wrapText="1"/>
      <protection locked="0"/>
    </xf>
    <xf numFmtId="0" fontId="82" fillId="5" borderId="15" xfId="0" applyFont="1" applyFill="1" applyBorder="1" applyAlignment="1" applyProtection="1">
      <alignment horizontal="center" vertical="center"/>
      <protection locked="0"/>
    </xf>
    <xf numFmtId="0" fontId="42" fillId="5" borderId="20" xfId="0" applyNumberFormat="1" applyFont="1" applyFill="1" applyBorder="1" applyAlignment="1" applyProtection="1">
      <alignment horizontal="center" vertical="center"/>
      <protection locked="0"/>
    </xf>
    <xf numFmtId="0" fontId="42" fillId="5" borderId="21" xfId="0" applyNumberFormat="1" applyFont="1" applyFill="1" applyBorder="1" applyAlignment="1" applyProtection="1">
      <alignment horizontal="center" vertical="center"/>
      <protection locked="0"/>
    </xf>
    <xf numFmtId="0" fontId="42" fillId="5" borderId="22" xfId="0" applyNumberFormat="1" applyFont="1" applyFill="1" applyBorder="1" applyAlignment="1" applyProtection="1">
      <alignment horizontal="center" vertical="center"/>
      <protection locked="0"/>
    </xf>
    <xf numFmtId="0" fontId="29" fillId="5" borderId="31" xfId="0" applyNumberFormat="1" applyFont="1" applyFill="1" applyBorder="1" applyAlignment="1" applyProtection="1">
      <alignment horizontal="center" vertical="center" wrapText="1"/>
      <protection locked="0"/>
    </xf>
    <xf numFmtId="0" fontId="29" fillId="5" borderId="10" xfId="0" applyNumberFormat="1" applyFont="1" applyFill="1" applyBorder="1" applyAlignment="1" applyProtection="1">
      <alignment horizontal="center" vertical="center" wrapText="1"/>
      <protection locked="0"/>
    </xf>
    <xf numFmtId="0" fontId="29" fillId="0" borderId="0" xfId="0" applyFont="1" applyFill="1" applyAlignment="1" applyProtection="1">
      <alignment horizontal="center"/>
      <protection locked="0"/>
    </xf>
    <xf numFmtId="0" fontId="26" fillId="5" borderId="1" xfId="0" applyNumberFormat="1" applyFont="1" applyFill="1" applyBorder="1" applyAlignment="1" applyProtection="1">
      <alignment horizontal="center" vertical="center"/>
      <protection locked="0"/>
    </xf>
    <xf numFmtId="0" fontId="26" fillId="5" borderId="3" xfId="0" applyNumberFormat="1" applyFont="1" applyFill="1" applyBorder="1" applyAlignment="1" applyProtection="1">
      <alignment horizontal="center" vertical="center"/>
      <protection locked="0"/>
    </xf>
    <xf numFmtId="0" fontId="26" fillId="5" borderId="5" xfId="0" applyNumberFormat="1" applyFont="1" applyFill="1" applyBorder="1" applyAlignment="1" applyProtection="1">
      <alignment horizontal="center" vertical="center"/>
      <protection locked="0"/>
    </xf>
    <xf numFmtId="49" fontId="26" fillId="5" borderId="2" xfId="0" applyNumberFormat="1" applyFont="1" applyFill="1" applyBorder="1" applyAlignment="1" applyProtection="1">
      <alignment horizontal="center" vertical="center" wrapText="1"/>
      <protection locked="0"/>
    </xf>
    <xf numFmtId="49" fontId="26" fillId="5" borderId="4" xfId="0" applyNumberFormat="1" applyFont="1" applyFill="1" applyBorder="1" applyAlignment="1" applyProtection="1">
      <alignment horizontal="center" vertical="center" wrapText="1"/>
      <protection locked="0"/>
    </xf>
    <xf numFmtId="49" fontId="26" fillId="5" borderId="6" xfId="0" applyNumberFormat="1" applyFont="1" applyFill="1" applyBorder="1" applyAlignment="1" applyProtection="1">
      <alignment horizontal="center" vertical="center" wrapText="1"/>
      <protection locked="0"/>
    </xf>
    <xf numFmtId="167" fontId="20" fillId="0" borderId="0" xfId="1" applyNumberFormat="1" applyFont="1" applyAlignment="1" applyProtection="1">
      <alignment horizontal="center" vertical="center"/>
      <protection locked="0"/>
    </xf>
    <xf numFmtId="167" fontId="3" fillId="0" borderId="0" xfId="1" applyNumberFormat="1" applyFont="1" applyAlignment="1" applyProtection="1">
      <alignment horizontal="center" vertical="center"/>
      <protection locked="0"/>
    </xf>
    <xf numFmtId="167" fontId="5" fillId="0" borderId="0" xfId="1" applyNumberFormat="1" applyFont="1" applyAlignment="1" applyProtection="1">
      <alignment horizontal="center" vertical="center"/>
      <protection locked="0"/>
    </xf>
    <xf numFmtId="0" fontId="17" fillId="0" borderId="0" xfId="3" applyFont="1" applyAlignment="1" applyProtection="1">
      <alignment horizontal="center" vertical="center"/>
      <protection locked="0"/>
    </xf>
    <xf numFmtId="167" fontId="3" fillId="0" borderId="31" xfId="1" applyNumberFormat="1" applyFont="1" applyBorder="1" applyAlignment="1" applyProtection="1">
      <alignment horizontal="center" vertical="center" wrapText="1"/>
      <protection locked="0"/>
    </xf>
    <xf numFmtId="167" fontId="3" fillId="0" borderId="10" xfId="1" applyNumberFormat="1" applyFont="1" applyBorder="1" applyAlignment="1" applyProtection="1">
      <alignment horizontal="center" vertical="center" wrapText="1"/>
      <protection locked="0"/>
    </xf>
    <xf numFmtId="0" fontId="3" fillId="0" borderId="0" xfId="0" applyFont="1" applyAlignment="1" applyProtection="1">
      <alignment horizontal="left" vertical="center"/>
      <protection locked="0"/>
    </xf>
    <xf numFmtId="0" fontId="3" fillId="0" borderId="0" xfId="3" applyFont="1" applyAlignment="1" applyProtection="1">
      <alignment horizontal="center" vertical="center" wrapText="1"/>
      <protection locked="0"/>
    </xf>
    <xf numFmtId="0" fontId="3" fillId="0" borderId="0" xfId="3" applyFont="1" applyAlignment="1" applyProtection="1">
      <alignment horizontal="center" vertical="center"/>
      <protection locked="0"/>
    </xf>
    <xf numFmtId="0" fontId="5" fillId="0" borderId="0" xfId="0" applyNumberFormat="1" applyFont="1" applyFill="1" applyAlignment="1" applyProtection="1">
      <alignment horizontal="center" vertical="center"/>
      <protection locked="0"/>
    </xf>
    <xf numFmtId="167" fontId="5" fillId="0" borderId="0" xfId="1" applyNumberFormat="1" applyFont="1" applyBorder="1" applyAlignment="1" applyProtection="1">
      <alignment horizontal="center" vertical="center" wrapText="1"/>
      <protection locked="0"/>
    </xf>
    <xf numFmtId="0" fontId="3" fillId="0" borderId="31" xfId="3" applyFont="1" applyBorder="1" applyAlignment="1" applyProtection="1">
      <alignment horizontal="center" vertical="center"/>
      <protection locked="0"/>
    </xf>
    <xf numFmtId="0" fontId="3" fillId="0" borderId="10" xfId="3" applyFont="1" applyBorder="1" applyAlignment="1" applyProtection="1">
      <alignment horizontal="center" vertical="center"/>
      <protection locked="0"/>
    </xf>
    <xf numFmtId="166" fontId="3" fillId="0" borderId="31" xfId="1" applyNumberFormat="1" applyFont="1" applyBorder="1" applyAlignment="1" applyProtection="1">
      <alignment horizontal="center" vertical="center" wrapText="1"/>
      <protection locked="0"/>
    </xf>
    <xf numFmtId="166" fontId="3" fillId="0" borderId="10" xfId="1" applyNumberFormat="1" applyFont="1" applyBorder="1" applyAlignment="1" applyProtection="1">
      <alignment horizontal="center" vertical="center" wrapText="1"/>
      <protection locked="0"/>
    </xf>
    <xf numFmtId="166" fontId="3" fillId="0" borderId="10" xfId="1" applyNumberFormat="1" applyFont="1" applyBorder="1" applyAlignment="1" applyProtection="1">
      <alignment horizontal="center" vertical="center"/>
      <protection locked="0"/>
    </xf>
    <xf numFmtId="0" fontId="3" fillId="0" borderId="10" xfId="3" applyFont="1" applyBorder="1" applyAlignment="1" applyProtection="1">
      <alignment horizontal="center" vertical="center" wrapText="1"/>
      <protection locked="0"/>
    </xf>
    <xf numFmtId="43" fontId="20" fillId="0" borderId="0" xfId="1" applyFont="1" applyAlignment="1" applyProtection="1">
      <alignment horizontal="center" vertical="center"/>
      <protection locked="0"/>
    </xf>
    <xf numFmtId="43" fontId="3" fillId="0" borderId="0" xfId="1" applyFont="1" applyAlignment="1" applyProtection="1">
      <alignment horizontal="center" vertical="center"/>
      <protection locked="0"/>
    </xf>
    <xf numFmtId="43" fontId="5" fillId="0" borderId="0" xfId="1" applyFont="1" applyAlignment="1" applyProtection="1">
      <alignment horizontal="center" vertical="center"/>
      <protection locked="0"/>
    </xf>
    <xf numFmtId="43" fontId="3" fillId="0" borderId="27" xfId="1" applyFont="1" applyBorder="1" applyAlignment="1" applyProtection="1">
      <alignment horizontal="center" vertical="center" wrapText="1"/>
      <protection locked="0"/>
    </xf>
    <xf numFmtId="43" fontId="3" fillId="0" borderId="10" xfId="1" applyFont="1" applyBorder="1" applyAlignment="1" applyProtection="1">
      <alignment horizontal="center" vertical="center" wrapText="1"/>
      <protection locked="0"/>
    </xf>
    <xf numFmtId="43" fontId="3" fillId="0" borderId="13" xfId="1" applyFont="1" applyBorder="1" applyAlignment="1" applyProtection="1">
      <alignment horizontal="center" vertical="center" wrapText="1"/>
      <protection locked="0"/>
    </xf>
    <xf numFmtId="43" fontId="3" fillId="0" borderId="28" xfId="1" applyFont="1" applyBorder="1" applyAlignment="1" applyProtection="1">
      <alignment horizontal="center" vertical="center" wrapText="1"/>
      <protection locked="0"/>
    </xf>
    <xf numFmtId="43" fontId="3" fillId="0" borderId="11" xfId="1" applyFont="1" applyBorder="1" applyAlignment="1" applyProtection="1">
      <alignment horizontal="center" vertical="center" wrapText="1"/>
      <protection locked="0"/>
    </xf>
    <xf numFmtId="43" fontId="3" fillId="0" borderId="14" xfId="1" applyFont="1" applyBorder="1" applyAlignment="1" applyProtection="1">
      <alignment horizontal="center" vertical="center" wrapText="1"/>
      <protection locked="0"/>
    </xf>
    <xf numFmtId="43" fontId="3" fillId="0" borderId="8" xfId="1" applyFont="1" applyBorder="1" applyAlignment="1" applyProtection="1">
      <alignment horizontal="center" vertical="center" wrapText="1"/>
      <protection locked="0"/>
    </xf>
    <xf numFmtId="43" fontId="3" fillId="0" borderId="25" xfId="1" applyFont="1" applyBorder="1" applyAlignment="1" applyProtection="1">
      <alignment horizontal="center" vertical="center" wrapText="1"/>
      <protection locked="0"/>
    </xf>
    <xf numFmtId="43" fontId="3" fillId="0" borderId="15" xfId="1" applyFont="1" applyBorder="1" applyAlignment="1" applyProtection="1">
      <alignment horizontal="center" vertical="center" wrapText="1"/>
      <protection locked="0"/>
    </xf>
    <xf numFmtId="0" fontId="12" fillId="0" borderId="0" xfId="3" applyFont="1" applyAlignment="1" applyProtection="1">
      <alignment horizontal="center" vertical="center" wrapText="1"/>
      <protection locked="0"/>
    </xf>
    <xf numFmtId="0" fontId="12" fillId="0" borderId="0" xfId="3" applyFont="1" applyAlignment="1" applyProtection="1">
      <alignment horizontal="center" vertical="center"/>
      <protection locked="0"/>
    </xf>
    <xf numFmtId="43" fontId="5" fillId="0" borderId="0" xfId="1" applyFont="1" applyBorder="1" applyAlignment="1" applyProtection="1">
      <alignment horizontal="center" vertical="center" wrapText="1"/>
      <protection locked="0"/>
    </xf>
    <xf numFmtId="0" fontId="3" fillId="0" borderId="26" xfId="3" applyFont="1" applyBorder="1" applyAlignment="1" applyProtection="1">
      <alignment horizontal="center" vertical="center"/>
      <protection locked="0"/>
    </xf>
    <xf numFmtId="0" fontId="3" fillId="0" borderId="9" xfId="3" applyFont="1" applyBorder="1" applyAlignment="1" applyProtection="1">
      <alignment horizontal="center" vertical="center"/>
      <protection locked="0"/>
    </xf>
    <xf numFmtId="0" fontId="3" fillId="0" borderId="12" xfId="3" applyFont="1" applyBorder="1" applyAlignment="1" applyProtection="1">
      <alignment horizontal="center" vertical="center"/>
      <protection locked="0"/>
    </xf>
    <xf numFmtId="0" fontId="3" fillId="0" borderId="27" xfId="3" applyFont="1" applyBorder="1" applyAlignment="1" applyProtection="1">
      <alignment horizontal="center" vertical="center"/>
      <protection locked="0"/>
    </xf>
    <xf numFmtId="0" fontId="3" fillId="0" borderId="13" xfId="3" applyFont="1" applyBorder="1" applyAlignment="1" applyProtection="1">
      <alignment horizontal="center" vertical="center"/>
      <protection locked="0"/>
    </xf>
    <xf numFmtId="0" fontId="3" fillId="0" borderId="15" xfId="3" applyFont="1" applyBorder="1" applyAlignment="1" applyProtection="1">
      <alignment horizontal="center" vertical="center"/>
      <protection locked="0"/>
    </xf>
    <xf numFmtId="166" fontId="3" fillId="0" borderId="27" xfId="1" applyNumberFormat="1" applyFont="1" applyBorder="1" applyAlignment="1" applyProtection="1">
      <alignment horizontal="center" vertical="center" wrapText="1"/>
      <protection locked="0"/>
    </xf>
    <xf numFmtId="166" fontId="3" fillId="0" borderId="13" xfId="1" applyNumberFormat="1" applyFont="1" applyBorder="1" applyAlignment="1" applyProtection="1">
      <alignment horizontal="center" vertical="center"/>
      <protection locked="0"/>
    </xf>
    <xf numFmtId="166" fontId="3" fillId="0" borderId="13" xfId="1" applyNumberFormat="1" applyFont="1" applyBorder="1" applyAlignment="1" applyProtection="1">
      <alignment horizontal="center" vertical="center" wrapText="1"/>
      <protection locked="0"/>
    </xf>
    <xf numFmtId="166" fontId="3" fillId="0" borderId="25" xfId="1" applyNumberFormat="1" applyFont="1" applyBorder="1" applyAlignment="1" applyProtection="1">
      <alignment horizontal="center" vertical="center" wrapText="1"/>
      <protection locked="0"/>
    </xf>
    <xf numFmtId="0" fontId="3" fillId="0" borderId="25" xfId="3" applyFont="1" applyBorder="1" applyAlignment="1" applyProtection="1">
      <alignment horizontal="center" vertical="center" wrapText="1"/>
      <protection locked="0"/>
    </xf>
    <xf numFmtId="0" fontId="3" fillId="0" borderId="13" xfId="3" applyFont="1" applyBorder="1" applyAlignment="1" applyProtection="1">
      <alignment horizontal="center" vertical="center" wrapText="1"/>
      <protection locked="0"/>
    </xf>
    <xf numFmtId="0" fontId="21" fillId="0" borderId="0" xfId="0" applyFont="1" applyAlignment="1">
      <alignment horizontal="center"/>
    </xf>
    <xf numFmtId="167" fontId="64" fillId="0" borderId="0" xfId="1" applyNumberFormat="1" applyFont="1" applyFill="1" applyAlignment="1">
      <alignment horizontal="center"/>
    </xf>
    <xf numFmtId="167" fontId="65" fillId="0" borderId="0" xfId="1" applyNumberFormat="1" applyFont="1" applyFill="1" applyAlignment="1">
      <alignment horizontal="center"/>
    </xf>
    <xf numFmtId="0" fontId="42" fillId="0" borderId="0" xfId="0" applyNumberFormat="1" applyFont="1" applyFill="1" applyAlignment="1" applyProtection="1">
      <alignment horizontal="left" wrapText="1"/>
      <protection locked="0"/>
    </xf>
    <xf numFmtId="0" fontId="33" fillId="0" borderId="0" xfId="3" applyFont="1" applyAlignment="1" applyProtection="1">
      <alignment horizontal="center"/>
      <protection locked="0"/>
    </xf>
    <xf numFmtId="0" fontId="29" fillId="0" borderId="0" xfId="0" applyFont="1" applyFill="1" applyAlignment="1" applyProtection="1">
      <alignment horizontal="left"/>
      <protection locked="0"/>
    </xf>
    <xf numFmtId="0" fontId="29" fillId="0" borderId="0" xfId="0" applyNumberFormat="1" applyFont="1" applyFill="1" applyAlignment="1" applyProtection="1">
      <alignment horizontal="center" wrapText="1"/>
      <protection locked="0"/>
    </xf>
    <xf numFmtId="0" fontId="71" fillId="0" borderId="0" xfId="0" applyNumberFormat="1" applyFont="1" applyAlignment="1">
      <alignment horizontal="center" vertical="center"/>
    </xf>
    <xf numFmtId="0" fontId="29" fillId="0" borderId="31" xfId="0" applyNumberFormat="1" applyFont="1" applyFill="1" applyBorder="1" applyAlignment="1" applyProtection="1">
      <alignment horizontal="center" vertical="center"/>
      <protection locked="0"/>
    </xf>
    <xf numFmtId="0" fontId="29" fillId="0" borderId="10" xfId="0" applyNumberFormat="1" applyFont="1" applyFill="1" applyBorder="1" applyAlignment="1" applyProtection="1">
      <alignment horizontal="center" vertical="center"/>
      <protection locked="0"/>
    </xf>
    <xf numFmtId="0" fontId="29" fillId="0" borderId="31" xfId="0" applyFont="1" applyFill="1" applyBorder="1" applyAlignment="1" applyProtection="1">
      <alignment horizontal="center" vertical="center" wrapText="1"/>
      <protection locked="0"/>
    </xf>
    <xf numFmtId="0" fontId="29" fillId="0" borderId="10" xfId="0" applyFont="1" applyFill="1" applyBorder="1" applyAlignment="1" applyProtection="1">
      <alignment horizontal="center" vertical="center" wrapText="1"/>
      <protection locked="0"/>
    </xf>
    <xf numFmtId="167" fontId="29" fillId="0" borderId="31" xfId="1" applyNumberFormat="1" applyFont="1" applyFill="1" applyBorder="1" applyAlignment="1" applyProtection="1">
      <alignment horizontal="center" vertical="center" wrapText="1"/>
      <protection locked="0"/>
    </xf>
    <xf numFmtId="167" fontId="29" fillId="0" borderId="10" xfId="1" applyNumberFormat="1" applyFont="1" applyFill="1" applyBorder="1" applyAlignment="1" applyProtection="1">
      <alignment horizontal="center" vertical="center" wrapText="1"/>
      <protection locked="0"/>
    </xf>
    <xf numFmtId="0" fontId="23" fillId="0" borderId="0" xfId="256" applyFont="1" applyAlignment="1">
      <alignment horizontal="center" wrapText="1"/>
    </xf>
    <xf numFmtId="0" fontId="187" fillId="0" borderId="0" xfId="257" applyFont="1" applyAlignment="1">
      <alignment horizontal="center" vertical="center"/>
    </xf>
    <xf numFmtId="0" fontId="35" fillId="0" borderId="19" xfId="256" applyFont="1" applyBorder="1" applyAlignment="1">
      <alignment horizontal="center" vertical="center" wrapText="1"/>
    </xf>
    <xf numFmtId="0" fontId="35" fillId="0" borderId="4" xfId="256" applyFont="1" applyBorder="1" applyAlignment="1">
      <alignment horizontal="center" vertical="center" wrapText="1"/>
    </xf>
    <xf numFmtId="0" fontId="35" fillId="0" borderId="6" xfId="256" applyFont="1" applyBorder="1" applyAlignment="1">
      <alignment horizontal="center" vertical="center" wrapText="1"/>
    </xf>
    <xf numFmtId="0" fontId="29" fillId="0" borderId="19" xfId="256" applyFont="1" applyBorder="1" applyAlignment="1">
      <alignment horizontal="center" vertical="center" wrapText="1"/>
    </xf>
    <xf numFmtId="0" fontId="188" fillId="0" borderId="4" xfId="256" applyFont="1" applyBorder="1" applyAlignment="1">
      <alignment horizontal="center" vertical="center" wrapText="1"/>
    </xf>
    <xf numFmtId="0" fontId="188" fillId="0" borderId="6" xfId="256" applyFont="1" applyBorder="1" applyAlignment="1">
      <alignment horizontal="center" vertical="center" wrapText="1"/>
    </xf>
    <xf numFmtId="0" fontId="29" fillId="0" borderId="33" xfId="256" applyFont="1" applyBorder="1" applyAlignment="1">
      <alignment horizontal="center" vertical="center" wrapText="1"/>
    </xf>
    <xf numFmtId="0" fontId="29" fillId="0" borderId="30" xfId="256" applyFont="1" applyBorder="1" applyAlignment="1">
      <alignment horizontal="center" vertical="center" wrapText="1"/>
    </xf>
    <xf numFmtId="0" fontId="29" fillId="0" borderId="34" xfId="256" applyFont="1" applyBorder="1" applyAlignment="1">
      <alignment horizontal="center" vertical="center" wrapText="1"/>
    </xf>
    <xf numFmtId="0" fontId="29" fillId="0" borderId="4" xfId="256" applyFont="1" applyBorder="1" applyAlignment="1">
      <alignment horizontal="center" vertical="center" wrapText="1"/>
    </xf>
    <xf numFmtId="0" fontId="29" fillId="0" borderId="6" xfId="256" applyFont="1" applyBorder="1" applyAlignment="1">
      <alignment horizontal="center" vertical="center" wrapText="1"/>
    </xf>
    <xf numFmtId="0" fontId="180" fillId="0" borderId="0" xfId="256" applyFont="1" applyAlignment="1">
      <alignment horizontal="center"/>
    </xf>
    <xf numFmtId="0" fontId="29" fillId="0" borderId="8" xfId="0" applyFont="1" applyFill="1" applyBorder="1" applyAlignment="1" applyProtection="1">
      <alignment horizontal="center" vertical="center" wrapText="1"/>
      <protection locked="0"/>
    </xf>
    <xf numFmtId="0" fontId="26" fillId="0" borderId="8" xfId="0" applyNumberFormat="1" applyFont="1" applyFill="1" applyBorder="1" applyAlignment="1" applyProtection="1">
      <alignment horizontal="center" vertical="center" wrapText="1"/>
      <protection locked="0"/>
    </xf>
    <xf numFmtId="0" fontId="26" fillId="0" borderId="8" xfId="1" applyNumberFormat="1" applyFont="1" applyFill="1" applyBorder="1" applyAlignment="1" applyProtection="1">
      <alignment horizontal="center" vertical="center" wrapText="1"/>
      <protection locked="0"/>
    </xf>
    <xf numFmtId="0" fontId="28" fillId="0" borderId="8" xfId="0" applyNumberFormat="1" applyFont="1" applyFill="1" applyBorder="1" applyAlignment="1">
      <alignment horizontal="left" vertical="center"/>
    </xf>
    <xf numFmtId="0" fontId="26" fillId="0" borderId="0" xfId="0" applyNumberFormat="1" applyFont="1" applyFill="1" applyAlignment="1" applyProtection="1">
      <alignment horizontal="left"/>
      <protection locked="0"/>
    </xf>
    <xf numFmtId="0" fontId="24" fillId="0" borderId="0" xfId="0" applyNumberFormat="1" applyFont="1" applyFill="1" applyAlignment="1" applyProtection="1">
      <alignment horizontal="center" wrapText="1"/>
      <protection locked="0"/>
    </xf>
    <xf numFmtId="0" fontId="72" fillId="0" borderId="0" xfId="0" applyNumberFormat="1" applyFont="1" applyFill="1" applyAlignment="1">
      <alignment horizontal="center" vertical="center"/>
    </xf>
    <xf numFmtId="0" fontId="26" fillId="0" borderId="8" xfId="0" applyNumberFormat="1" applyFont="1" applyFill="1" applyBorder="1" applyAlignment="1" applyProtection="1">
      <alignment horizontal="center" vertical="center"/>
      <protection locked="0"/>
    </xf>
    <xf numFmtId="0" fontId="74" fillId="0" borderId="0" xfId="260" applyFont="1" applyAlignment="1">
      <alignment horizontal="center" wrapText="1"/>
    </xf>
    <xf numFmtId="0" fontId="74" fillId="0" borderId="0" xfId="260" applyFont="1" applyAlignment="1">
      <alignment horizontal="center"/>
    </xf>
    <xf numFmtId="3" fontId="78" fillId="0" borderId="0" xfId="260" applyNumberFormat="1" applyFont="1" applyAlignment="1">
      <alignment horizontal="center"/>
    </xf>
    <xf numFmtId="0" fontId="74" fillId="0" borderId="21" xfId="260" applyFont="1" applyBorder="1" applyAlignment="1">
      <alignment horizontal="left"/>
    </xf>
    <xf numFmtId="0" fontId="74" fillId="0" borderId="0" xfId="260" applyFont="1" applyAlignment="1">
      <alignment horizontal="left"/>
    </xf>
    <xf numFmtId="3" fontId="23" fillId="0" borderId="0" xfId="154" applyNumberFormat="1" applyFont="1" applyAlignment="1">
      <alignment horizontal="center"/>
    </xf>
    <xf numFmtId="3" fontId="25" fillId="0" borderId="0" xfId="154" applyNumberFormat="1" applyFont="1" applyAlignment="1">
      <alignment horizontal="center"/>
    </xf>
    <xf numFmtId="3" fontId="29" fillId="0" borderId="0" xfId="154" applyNumberFormat="1" applyFont="1" applyAlignment="1">
      <alignment horizontal="left"/>
    </xf>
    <xf numFmtId="3" fontId="29" fillId="0" borderId="0" xfId="154" applyNumberFormat="1" applyFont="1" applyAlignment="1">
      <alignment horizontal="center"/>
    </xf>
    <xf numFmtId="0" fontId="194" fillId="0" borderId="2" xfId="259" applyFont="1" applyBorder="1" applyAlignment="1">
      <alignment horizontal="center" vertical="center" wrapText="1"/>
    </xf>
    <xf numFmtId="0" fontId="194" fillId="0" borderId="6" xfId="259" applyFont="1" applyBorder="1" applyAlignment="1">
      <alignment horizontal="center" vertical="center" wrapText="1"/>
    </xf>
    <xf numFmtId="0" fontId="194" fillId="0" borderId="16" xfId="259" applyFont="1" applyBorder="1" applyAlignment="1">
      <alignment horizontal="center" vertical="center" wrapText="1"/>
    </xf>
    <xf numFmtId="0" fontId="194" fillId="0" borderId="17" xfId="259" applyFont="1" applyBorder="1" applyAlignment="1">
      <alignment horizontal="center" vertical="center" wrapText="1"/>
    </xf>
    <xf numFmtId="0" fontId="45" fillId="5" borderId="8" xfId="0" applyFont="1" applyFill="1" applyBorder="1" applyAlignment="1">
      <alignment horizontal="center" vertical="center" wrapText="1"/>
    </xf>
    <xf numFmtId="0" fontId="194" fillId="0" borderId="54" xfId="259" applyFont="1" applyBorder="1" applyAlignment="1">
      <alignment horizontal="center" vertical="center" wrapText="1"/>
    </xf>
    <xf numFmtId="0" fontId="194" fillId="0" borderId="5" xfId="259" applyFont="1" applyBorder="1" applyAlignment="1">
      <alignment horizontal="center" vertical="center" wrapText="1"/>
    </xf>
    <xf numFmtId="0" fontId="194" fillId="0" borderId="15" xfId="259" applyFont="1" applyBorder="1" applyAlignment="1">
      <alignment horizontal="center" vertical="center" wrapText="1"/>
    </xf>
    <xf numFmtId="0" fontId="194" fillId="0" borderId="52" xfId="259" applyFont="1" applyBorder="1" applyAlignment="1">
      <alignment horizontal="center" vertical="center" wrapText="1"/>
    </xf>
    <xf numFmtId="0" fontId="194" fillId="0" borderId="53" xfId="259" applyFont="1" applyBorder="1" applyAlignment="1">
      <alignment horizontal="center" vertical="center" wrapText="1"/>
    </xf>
    <xf numFmtId="0" fontId="194" fillId="0" borderId="18" xfId="259" applyFont="1" applyBorder="1" applyAlignment="1">
      <alignment horizontal="center" vertical="center" wrapText="1"/>
    </xf>
    <xf numFmtId="0" fontId="52" fillId="0" borderId="0" xfId="0" applyFont="1" applyFill="1" applyAlignment="1">
      <alignment horizontal="center"/>
    </xf>
    <xf numFmtId="166" fontId="24" fillId="0" borderId="31" xfId="1" applyNumberFormat="1" applyFont="1" applyFill="1" applyBorder="1" applyAlignment="1">
      <alignment horizontal="center" vertical="center"/>
    </xf>
    <xf numFmtId="166" fontId="24" fillId="0" borderId="13" xfId="1" applyNumberFormat="1" applyFont="1" applyFill="1" applyBorder="1" applyAlignment="1">
      <alignment horizontal="center" vertical="center"/>
    </xf>
    <xf numFmtId="0" fontId="28" fillId="0" borderId="25" xfId="0" applyFont="1" applyFill="1" applyBorder="1" applyAlignment="1">
      <alignment horizontal="center" vertical="center"/>
    </xf>
    <xf numFmtId="0" fontId="47" fillId="0" borderId="10" xfId="0" applyFont="1" applyFill="1" applyBorder="1" applyAlignment="1">
      <alignment horizontal="left" vertical="center"/>
    </xf>
    <xf numFmtId="166" fontId="51" fillId="0" borderId="0" xfId="1" applyNumberFormat="1" applyFont="1" applyFill="1" applyAlignment="1">
      <alignment horizontal="center"/>
    </xf>
    <xf numFmtId="0" fontId="28" fillId="0" borderId="0" xfId="0" applyFont="1" applyFill="1" applyAlignment="1">
      <alignment horizontal="center" vertical="center" wrapText="1"/>
    </xf>
    <xf numFmtId="0" fontId="24" fillId="0" borderId="31" xfId="0" applyFont="1" applyFill="1" applyBorder="1" applyAlignment="1">
      <alignment horizontal="center" vertical="center"/>
    </xf>
    <xf numFmtId="0" fontId="24" fillId="0" borderId="13" xfId="0" applyFont="1" applyFill="1" applyBorder="1" applyAlignment="1">
      <alignment horizontal="center" vertical="center"/>
    </xf>
    <xf numFmtId="0" fontId="24" fillId="0" borderId="31" xfId="0" applyFont="1" applyFill="1" applyBorder="1" applyAlignment="1">
      <alignment horizontal="center" vertical="center" wrapText="1"/>
    </xf>
    <xf numFmtId="0" fontId="24" fillId="0" borderId="13" xfId="0" applyFont="1" applyFill="1" applyBorder="1" applyAlignment="1">
      <alignment horizontal="center" vertical="center" wrapText="1"/>
    </xf>
    <xf numFmtId="0" fontId="26" fillId="0" borderId="23" xfId="0" applyFont="1" applyFill="1" applyBorder="1" applyAlignment="1" applyProtection="1">
      <alignment horizontal="center" vertical="center"/>
      <protection locked="0"/>
    </xf>
    <xf numFmtId="0" fontId="29" fillId="0" borderId="3" xfId="0" applyFont="1" applyFill="1" applyBorder="1" applyAlignment="1" applyProtection="1">
      <alignment horizontal="center" vertical="center"/>
      <protection locked="0"/>
    </xf>
    <xf numFmtId="0" fontId="29" fillId="0" borderId="23" xfId="0" applyFont="1" applyFill="1" applyBorder="1" applyAlignment="1" applyProtection="1">
      <alignment horizontal="center" vertical="center"/>
      <protection locked="0"/>
    </xf>
    <xf numFmtId="0" fontId="26" fillId="0" borderId="8" xfId="0" applyFont="1" applyBorder="1" applyAlignment="1">
      <alignment vertical="center" wrapText="1"/>
    </xf>
    <xf numFmtId="49" fontId="26" fillId="0" borderId="8" xfId="0" applyNumberFormat="1" applyFont="1" applyBorder="1" applyAlignment="1">
      <alignment horizontal="left" vertical="center"/>
    </xf>
    <xf numFmtId="0" fontId="26" fillId="0" borderId="0" xfId="0" applyFont="1" applyFill="1" applyAlignment="1" applyProtection="1">
      <alignment horizontal="center"/>
      <protection locked="0"/>
    </xf>
    <xf numFmtId="41" fontId="29" fillId="0" borderId="8" xfId="0" applyNumberFormat="1" applyFont="1" applyFill="1" applyBorder="1" applyAlignment="1" applyProtection="1">
      <alignment vertical="center"/>
      <protection locked="0"/>
    </xf>
    <xf numFmtId="41" fontId="26" fillId="0" borderId="8" xfId="0" applyNumberFormat="1" applyFont="1" applyFill="1" applyBorder="1" applyAlignment="1" applyProtection="1">
      <alignment vertical="center"/>
      <protection locked="0"/>
    </xf>
    <xf numFmtId="41" fontId="26" fillId="0" borderId="8" xfId="0" applyNumberFormat="1" applyFont="1" applyFill="1" applyBorder="1" applyAlignment="1" applyProtection="1">
      <alignment vertical="center" wrapText="1"/>
      <protection locked="0"/>
    </xf>
    <xf numFmtId="0" fontId="26" fillId="0" borderId="8" xfId="0" applyFont="1" applyFill="1" applyBorder="1" applyAlignment="1" applyProtection="1">
      <alignment vertical="center" wrapText="1"/>
      <protection locked="0"/>
    </xf>
    <xf numFmtId="0" fontId="25" fillId="0" borderId="8" xfId="0" applyFont="1" applyFill="1" applyBorder="1" applyAlignment="1" applyProtection="1">
      <alignment vertical="center"/>
      <protection locked="0"/>
    </xf>
    <xf numFmtId="0" fontId="29" fillId="0" borderId="8" xfId="0" applyFont="1" applyFill="1" applyBorder="1" applyAlignment="1" applyProtection="1">
      <alignment vertical="center"/>
      <protection locked="0"/>
    </xf>
    <xf numFmtId="49" fontId="29" fillId="3" borderId="8" xfId="0" applyNumberFormat="1" applyFont="1" applyFill="1" applyBorder="1" applyAlignment="1" applyProtection="1">
      <alignment horizontal="center" vertical="center" wrapText="1"/>
    </xf>
    <xf numFmtId="49" fontId="25" fillId="0" borderId="8" xfId="0" applyNumberFormat="1" applyFont="1" applyFill="1" applyBorder="1" applyAlignment="1" applyProtection="1">
      <alignment horizontal="left" vertical="center" wrapText="1"/>
      <protection locked="0"/>
    </xf>
    <xf numFmtId="49" fontId="26" fillId="0" borderId="8" xfId="0" applyNumberFormat="1" applyFont="1" applyFill="1" applyBorder="1" applyAlignment="1" applyProtection="1">
      <alignment vertical="center" wrapText="1"/>
      <protection locked="0"/>
    </xf>
    <xf numFmtId="49" fontId="58" fillId="0" borderId="8" xfId="0" applyNumberFormat="1" applyFont="1" applyFill="1" applyBorder="1" applyAlignment="1" applyProtection="1">
      <alignment vertical="center" wrapText="1"/>
      <protection locked="0"/>
    </xf>
    <xf numFmtId="41" fontId="26" fillId="6" borderId="8" xfId="0" quotePrefix="1" applyNumberFormat="1" applyFont="1" applyFill="1" applyBorder="1" applyAlignment="1" applyProtection="1">
      <alignment vertical="center"/>
    </xf>
    <xf numFmtId="49" fontId="25" fillId="0" borderId="8" xfId="0" quotePrefix="1" applyNumberFormat="1" applyFont="1" applyFill="1" applyBorder="1" applyAlignment="1" applyProtection="1">
      <alignment vertical="center" wrapText="1"/>
      <protection locked="0"/>
    </xf>
    <xf numFmtId="49" fontId="29" fillId="0" borderId="8" xfId="0" applyNumberFormat="1" applyFont="1" applyFill="1" applyBorder="1" applyAlignment="1" applyProtection="1">
      <alignment vertical="center" wrapText="1"/>
      <protection locked="0"/>
    </xf>
    <xf numFmtId="0" fontId="29" fillId="0" borderId="8" xfId="0" applyFont="1" applyFill="1" applyBorder="1" applyAlignment="1" applyProtection="1">
      <alignment vertical="center" wrapText="1"/>
      <protection locked="0"/>
    </xf>
    <xf numFmtId="0" fontId="65" fillId="5" borderId="15" xfId="0" applyNumberFormat="1" applyFont="1" applyFill="1" applyBorder="1" applyAlignment="1" applyProtection="1">
      <alignment horizontal="center" vertical="center" wrapText="1"/>
      <protection locked="0"/>
    </xf>
    <xf numFmtId="49" fontId="42" fillId="0" borderId="0" xfId="0" applyNumberFormat="1" applyFont="1" applyFill="1" applyAlignment="1" applyProtection="1">
      <alignment wrapText="1"/>
      <protection locked="0"/>
    </xf>
    <xf numFmtId="0" fontId="42" fillId="0" borderId="0" xfId="0" applyFont="1" applyFill="1" applyProtection="1">
      <protection locked="0"/>
    </xf>
    <xf numFmtId="49" fontId="42" fillId="0" borderId="0" xfId="0" applyNumberFormat="1" applyFont="1" applyFill="1" applyAlignment="1" applyProtection="1">
      <alignment horizontal="left" vertical="center" wrapText="1"/>
      <protection locked="0"/>
    </xf>
    <xf numFmtId="49" fontId="42" fillId="0" borderId="0" xfId="0" applyNumberFormat="1" applyFont="1" applyFill="1" applyAlignment="1" applyProtection="1">
      <alignment horizontal="left" wrapText="1"/>
      <protection locked="0"/>
    </xf>
    <xf numFmtId="0" fontId="26" fillId="0" borderId="44" xfId="0" applyFont="1" applyFill="1" applyBorder="1" applyAlignment="1" applyProtection="1">
      <alignment horizontal="center"/>
      <protection locked="0"/>
    </xf>
    <xf numFmtId="0" fontId="23" fillId="0" borderId="0" xfId="0" applyFont="1" applyFill="1" applyProtection="1">
      <protection locked="0"/>
    </xf>
    <xf numFmtId="0" fontId="29" fillId="0" borderId="8" xfId="0" applyFont="1" applyFill="1" applyBorder="1" applyAlignment="1" applyProtection="1">
      <alignment horizontal="center" vertical="center"/>
      <protection locked="0"/>
    </xf>
    <xf numFmtId="0" fontId="26" fillId="0" borderId="44" xfId="0" applyFont="1" applyFill="1" applyBorder="1" applyAlignment="1" applyProtection="1">
      <protection locked="0"/>
    </xf>
    <xf numFmtId="0" fontId="26" fillId="0" borderId="0" xfId="0" applyFont="1" applyFill="1" applyBorder="1" applyAlignment="1" applyProtection="1">
      <protection locked="0"/>
    </xf>
  </cellXfs>
  <cellStyles count="267">
    <cellStyle name="??" xfId="19" xr:uid="{00000000-0005-0000-0000-000000000000}"/>
    <cellStyle name="?? [0.00]_PRODUCT DETAIL Q1" xfId="20" xr:uid="{00000000-0005-0000-0000-000001000000}"/>
    <cellStyle name="?? [0]" xfId="21" xr:uid="{00000000-0005-0000-0000-000002000000}"/>
    <cellStyle name="?_x001d_??%U©÷u&amp;H©÷9_x0008_? s_x000a__x0007__x0001__x0001_" xfId="22" xr:uid="{00000000-0005-0000-0000-000003000000}"/>
    <cellStyle name="?_x001d_??%U©÷u&amp;H©÷9_x0008_?_x0009_s_x000a__x0007__x0001__x0001_" xfId="23" xr:uid="{00000000-0005-0000-0000-000004000000}"/>
    <cellStyle name="???? [0.00]_PRODUCT DETAIL Q1" xfId="24" xr:uid="{00000000-0005-0000-0000-000005000000}"/>
    <cellStyle name="????_PRODUCT DETAIL Q1" xfId="25" xr:uid="{00000000-0005-0000-0000-000006000000}"/>
    <cellStyle name="???_HOBONG" xfId="26" xr:uid="{00000000-0005-0000-0000-000007000000}"/>
    <cellStyle name="??_(????)??????" xfId="27" xr:uid="{00000000-0005-0000-0000-000008000000}"/>
    <cellStyle name="??A? [0]_laroux_1_¢¬???¢â? " xfId="28" xr:uid="{00000000-0005-0000-0000-000009000000}"/>
    <cellStyle name="??A?_laroux_1_¢¬???¢â? " xfId="29" xr:uid="{00000000-0005-0000-0000-00000A000000}"/>
    <cellStyle name="?¡±¢¥?_?¨ù??¢´¢¥_¢¬???¢â? " xfId="30" xr:uid="{00000000-0005-0000-0000-00000B000000}"/>
    <cellStyle name="?ðÇ%U?&amp;H?_x0008_?s_x000a__x0007__x0001__x0001_" xfId="31" xr:uid="{00000000-0005-0000-0000-00000C000000}"/>
    <cellStyle name="W_STDFOR" xfId="32" xr:uid="{00000000-0005-0000-0000-00000D000000}"/>
    <cellStyle name="00,000.000" xfId="33" xr:uid="{00000000-0005-0000-0000-00000E000000}"/>
    <cellStyle name="1" xfId="34" xr:uid="{00000000-0005-0000-0000-00000F000000}"/>
    <cellStyle name="¹éºÐÀ²_      " xfId="35" xr:uid="{00000000-0005-0000-0000-000010000000}"/>
    <cellStyle name="2" xfId="36" xr:uid="{00000000-0005-0000-0000-000011000000}"/>
    <cellStyle name="20% - Accent1 2" xfId="37" xr:uid="{00000000-0005-0000-0000-000012000000}"/>
    <cellStyle name="20% - Accent2 2" xfId="38" xr:uid="{00000000-0005-0000-0000-000013000000}"/>
    <cellStyle name="20% - Accent3 2" xfId="39" xr:uid="{00000000-0005-0000-0000-000014000000}"/>
    <cellStyle name="20% - Accent4 2" xfId="40" xr:uid="{00000000-0005-0000-0000-000015000000}"/>
    <cellStyle name="20% - Accent5 2" xfId="41" xr:uid="{00000000-0005-0000-0000-000016000000}"/>
    <cellStyle name="20% - Accent6 2" xfId="42" xr:uid="{00000000-0005-0000-0000-000017000000}"/>
    <cellStyle name="3" xfId="43" xr:uid="{00000000-0005-0000-0000-000018000000}"/>
    <cellStyle name="4" xfId="44" xr:uid="{00000000-0005-0000-0000-000019000000}"/>
    <cellStyle name="40% - Accent1 2" xfId="45" xr:uid="{00000000-0005-0000-0000-00001A000000}"/>
    <cellStyle name="40% - Accent2 2" xfId="46" xr:uid="{00000000-0005-0000-0000-00001B000000}"/>
    <cellStyle name="40% - Accent3 2" xfId="47" xr:uid="{00000000-0005-0000-0000-00001C000000}"/>
    <cellStyle name="40% - Accent4 2" xfId="48" xr:uid="{00000000-0005-0000-0000-00001D000000}"/>
    <cellStyle name="40% - Accent5 2" xfId="49" xr:uid="{00000000-0005-0000-0000-00001E000000}"/>
    <cellStyle name="40% - Accent6 2" xfId="50" xr:uid="{00000000-0005-0000-0000-00001F000000}"/>
    <cellStyle name="60% - Accent1 2" xfId="51" xr:uid="{00000000-0005-0000-0000-000020000000}"/>
    <cellStyle name="60% - Accent2 2" xfId="52" xr:uid="{00000000-0005-0000-0000-000021000000}"/>
    <cellStyle name="60% - Accent3 2" xfId="53" xr:uid="{00000000-0005-0000-0000-000022000000}"/>
    <cellStyle name="60% - Accent4 2" xfId="54" xr:uid="{00000000-0005-0000-0000-000023000000}"/>
    <cellStyle name="60% - Accent5 2" xfId="55" xr:uid="{00000000-0005-0000-0000-000024000000}"/>
    <cellStyle name="60% - Accent6 2" xfId="56" xr:uid="{00000000-0005-0000-0000-000025000000}"/>
    <cellStyle name="Accent1 2" xfId="57" xr:uid="{00000000-0005-0000-0000-000026000000}"/>
    <cellStyle name="Accent2 2" xfId="58" xr:uid="{00000000-0005-0000-0000-000027000000}"/>
    <cellStyle name="Accent3 2" xfId="59" xr:uid="{00000000-0005-0000-0000-000028000000}"/>
    <cellStyle name="Accent4 2" xfId="60" xr:uid="{00000000-0005-0000-0000-000029000000}"/>
    <cellStyle name="Accent5 2" xfId="61" xr:uid="{00000000-0005-0000-0000-00002A000000}"/>
    <cellStyle name="Accent6 2" xfId="62" xr:uid="{00000000-0005-0000-0000-00002B000000}"/>
    <cellStyle name="ÅëÈ­ [0]_      " xfId="63" xr:uid="{00000000-0005-0000-0000-00002C000000}"/>
    <cellStyle name="AeE­ [0]_INQUIRY ¿µ¾÷AßAø " xfId="64" xr:uid="{00000000-0005-0000-0000-00002D000000}"/>
    <cellStyle name="ÅëÈ­_      " xfId="65" xr:uid="{00000000-0005-0000-0000-00002E000000}"/>
    <cellStyle name="AeE­_INQUIRY ¿µ¾÷AßAø " xfId="66" xr:uid="{00000000-0005-0000-0000-00002F000000}"/>
    <cellStyle name="ÄÞ¸¶ [0]_      " xfId="67" xr:uid="{00000000-0005-0000-0000-000030000000}"/>
    <cellStyle name="AÞ¸¶ [0]_INQUIRY ¿?¾÷AßAø " xfId="68" xr:uid="{00000000-0005-0000-0000-000031000000}"/>
    <cellStyle name="ÄÞ¸¶ [0]_L601CPT" xfId="69" xr:uid="{00000000-0005-0000-0000-000032000000}"/>
    <cellStyle name="ÄÞ¸¶_      " xfId="70" xr:uid="{00000000-0005-0000-0000-000033000000}"/>
    <cellStyle name="AÞ¸¶_INQUIRY ¿?¾÷AßAø " xfId="71" xr:uid="{00000000-0005-0000-0000-000034000000}"/>
    <cellStyle name="ÄÞ¸¶_L601CPT" xfId="72" xr:uid="{00000000-0005-0000-0000-000035000000}"/>
    <cellStyle name="Bad 2" xfId="73" xr:uid="{00000000-0005-0000-0000-000036000000}"/>
    <cellStyle name="C?AØ_¿?¾÷CoE² " xfId="74" xr:uid="{00000000-0005-0000-0000-000037000000}"/>
    <cellStyle name="Ç¥ÁØ_      " xfId="75" xr:uid="{00000000-0005-0000-0000-000038000000}"/>
    <cellStyle name="C￥AØ_¿μ¾÷CoE² " xfId="76" xr:uid="{00000000-0005-0000-0000-000039000000}"/>
    <cellStyle name="Ç¥ÁØ_laroux_4_ÃÑÇÕ°è " xfId="77" xr:uid="{00000000-0005-0000-0000-00003A000000}"/>
    <cellStyle name="Calculation 2" xfId="78" xr:uid="{00000000-0005-0000-0000-00003B000000}"/>
    <cellStyle name="Calculation 2 2" xfId="79" xr:uid="{00000000-0005-0000-0000-00003C000000}"/>
    <cellStyle name="category" xfId="80" xr:uid="{00000000-0005-0000-0000-00003D000000}"/>
    <cellStyle name="Check Cell 2" xfId="81" xr:uid="{00000000-0005-0000-0000-00003E000000}"/>
    <cellStyle name="Comma" xfId="1" builtinId="3"/>
    <cellStyle name="Comma [ ,]" xfId="82" xr:uid="{00000000-0005-0000-0000-000040000000}"/>
    <cellStyle name="Comma [ ,] 2" xfId="83" xr:uid="{00000000-0005-0000-0000-000041000000}"/>
    <cellStyle name="Comma [0] 2" xfId="84" xr:uid="{00000000-0005-0000-0000-000042000000}"/>
    <cellStyle name="Comma [0] 3" xfId="85" xr:uid="{00000000-0005-0000-0000-000043000000}"/>
    <cellStyle name="Comma [0] 5" xfId="86" xr:uid="{00000000-0005-0000-0000-000044000000}"/>
    <cellStyle name="Comma [0] 5 2" xfId="87" xr:uid="{00000000-0005-0000-0000-000045000000}"/>
    <cellStyle name="Comma 10" xfId="88" xr:uid="{00000000-0005-0000-0000-000046000000}"/>
    <cellStyle name="Comma 10 2" xfId="89" xr:uid="{00000000-0005-0000-0000-000047000000}"/>
    <cellStyle name="Comma 11" xfId="90" xr:uid="{00000000-0005-0000-0000-000048000000}"/>
    <cellStyle name="Comma 12" xfId="91" xr:uid="{00000000-0005-0000-0000-000049000000}"/>
    <cellStyle name="Comma 12 2" xfId="92" xr:uid="{00000000-0005-0000-0000-00004A000000}"/>
    <cellStyle name="Comma 13" xfId="93" xr:uid="{00000000-0005-0000-0000-00004B000000}"/>
    <cellStyle name="Comma 14" xfId="94" xr:uid="{00000000-0005-0000-0000-00004C000000}"/>
    <cellStyle name="Comma 15" xfId="95" xr:uid="{00000000-0005-0000-0000-00004D000000}"/>
    <cellStyle name="Comma 15 2" xfId="96" xr:uid="{00000000-0005-0000-0000-00004E000000}"/>
    <cellStyle name="Comma 16" xfId="261" xr:uid="{0BAFA297-250C-4A08-BD78-D9511CF8B585}"/>
    <cellStyle name="Comma 17" xfId="265" xr:uid="{669EC865-186A-4EAA-A861-D8C7719DA8E0}"/>
    <cellStyle name="Comma 2" xfId="8" xr:uid="{00000000-0005-0000-0000-00004F000000}"/>
    <cellStyle name="Comma 2 2" xfId="97" xr:uid="{00000000-0005-0000-0000-000050000000}"/>
    <cellStyle name="Comma 2 2 2" xfId="98" xr:uid="{00000000-0005-0000-0000-000051000000}"/>
    <cellStyle name="Comma 2 3" xfId="99" xr:uid="{00000000-0005-0000-0000-000052000000}"/>
    <cellStyle name="Comma 2 4" xfId="100" xr:uid="{00000000-0005-0000-0000-000053000000}"/>
    <cellStyle name="Comma 2 5" xfId="101" xr:uid="{00000000-0005-0000-0000-000054000000}"/>
    <cellStyle name="Comma 2 6" xfId="102" xr:uid="{00000000-0005-0000-0000-000055000000}"/>
    <cellStyle name="Comma 23" xfId="103" xr:uid="{00000000-0005-0000-0000-000056000000}"/>
    <cellStyle name="Comma 23 2" xfId="104" xr:uid="{00000000-0005-0000-0000-000057000000}"/>
    <cellStyle name="Comma 27" xfId="105" xr:uid="{00000000-0005-0000-0000-000058000000}"/>
    <cellStyle name="Comma 28" xfId="106" xr:uid="{00000000-0005-0000-0000-000059000000}"/>
    <cellStyle name="Comma 3" xfId="9" xr:uid="{00000000-0005-0000-0000-00005A000000}"/>
    <cellStyle name="Comma 3 2" xfId="107" xr:uid="{00000000-0005-0000-0000-00005B000000}"/>
    <cellStyle name="Comma 4" xfId="10" xr:uid="{00000000-0005-0000-0000-00005C000000}"/>
    <cellStyle name="Comma 5" xfId="11" xr:uid="{00000000-0005-0000-0000-00005D000000}"/>
    <cellStyle name="Comma 5 2" xfId="108" xr:uid="{00000000-0005-0000-0000-00005E000000}"/>
    <cellStyle name="Comma 5 3" xfId="109" xr:uid="{00000000-0005-0000-0000-00005F000000}"/>
    <cellStyle name="Comma 6" xfId="6" xr:uid="{00000000-0005-0000-0000-000060000000}"/>
    <cellStyle name="Comma 6 2" xfId="110" xr:uid="{00000000-0005-0000-0000-000061000000}"/>
    <cellStyle name="Comma 7" xfId="17" xr:uid="{00000000-0005-0000-0000-000062000000}"/>
    <cellStyle name="Comma 8" xfId="111" xr:uid="{00000000-0005-0000-0000-000063000000}"/>
    <cellStyle name="Comma 9" xfId="112" xr:uid="{00000000-0005-0000-0000-000064000000}"/>
    <cellStyle name="Comma 9 2" xfId="113" xr:uid="{00000000-0005-0000-0000-000065000000}"/>
    <cellStyle name="Comma0" xfId="114" xr:uid="{00000000-0005-0000-0000-000066000000}"/>
    <cellStyle name="ct xuyen a" xfId="115" xr:uid="{00000000-0005-0000-0000-000067000000}"/>
    <cellStyle name="Currency0" xfId="116" xr:uid="{00000000-0005-0000-0000-000068000000}"/>
    <cellStyle name="Date" xfId="117" xr:uid="{00000000-0005-0000-0000-000069000000}"/>
    <cellStyle name="Dezimal [0]_UXO VII" xfId="118" xr:uid="{00000000-0005-0000-0000-00006A000000}"/>
    <cellStyle name="Dezimal_UXO VII" xfId="119" xr:uid="{00000000-0005-0000-0000-00006B000000}"/>
    <cellStyle name="Explanatory Text 2" xfId="120" xr:uid="{00000000-0005-0000-0000-00006C000000}"/>
    <cellStyle name="Fixed" xfId="121" xr:uid="{00000000-0005-0000-0000-00006D000000}"/>
    <cellStyle name="Good 2" xfId="122" xr:uid="{00000000-0005-0000-0000-00006E000000}"/>
    <cellStyle name="Grey" xfId="123" xr:uid="{00000000-0005-0000-0000-00006F000000}"/>
    <cellStyle name="HAI" xfId="124" xr:uid="{00000000-0005-0000-0000-000070000000}"/>
    <cellStyle name="HEADER" xfId="125" xr:uid="{00000000-0005-0000-0000-000071000000}"/>
    <cellStyle name="Header1" xfId="126" xr:uid="{00000000-0005-0000-0000-000072000000}"/>
    <cellStyle name="Header2" xfId="127" xr:uid="{00000000-0005-0000-0000-000073000000}"/>
    <cellStyle name="Header2 2" xfId="128" xr:uid="{00000000-0005-0000-0000-000074000000}"/>
    <cellStyle name="Heading 1 2" xfId="129" xr:uid="{00000000-0005-0000-0000-000075000000}"/>
    <cellStyle name="Heading 2 2" xfId="130" xr:uid="{00000000-0005-0000-0000-000076000000}"/>
    <cellStyle name="Heading 3 2" xfId="131" xr:uid="{00000000-0005-0000-0000-000077000000}"/>
    <cellStyle name="Heading 4 2" xfId="132" xr:uid="{00000000-0005-0000-0000-000078000000}"/>
    <cellStyle name="Heading1" xfId="133" xr:uid="{00000000-0005-0000-0000-000079000000}"/>
    <cellStyle name="Heading2" xfId="134" xr:uid="{00000000-0005-0000-0000-00007A000000}"/>
    <cellStyle name="Hyperlink 2" xfId="135" xr:uid="{00000000-0005-0000-0000-00007B000000}"/>
    <cellStyle name="Hyperlink 3" xfId="136" xr:uid="{00000000-0005-0000-0000-00007C000000}"/>
    <cellStyle name="Input [yellow]" xfId="137" xr:uid="{00000000-0005-0000-0000-00007D000000}"/>
    <cellStyle name="Input [yellow] 2" xfId="138" xr:uid="{00000000-0005-0000-0000-00007E000000}"/>
    <cellStyle name="Input 2" xfId="139" xr:uid="{00000000-0005-0000-0000-00007F000000}"/>
    <cellStyle name="Input 2 2" xfId="140" xr:uid="{00000000-0005-0000-0000-000080000000}"/>
    <cellStyle name="Ledger 17 x 11 in" xfId="141" xr:uid="{00000000-0005-0000-0000-000081000000}"/>
    <cellStyle name="Linked Cell 2" xfId="142" xr:uid="{00000000-0005-0000-0000-000082000000}"/>
    <cellStyle name="Millares [0]_Well Timing" xfId="143" xr:uid="{00000000-0005-0000-0000-000083000000}"/>
    <cellStyle name="Millares_Well Timing" xfId="144" xr:uid="{00000000-0005-0000-0000-000084000000}"/>
    <cellStyle name="Model" xfId="145" xr:uid="{00000000-0005-0000-0000-000085000000}"/>
    <cellStyle name="Moneda [0]_Well Timing" xfId="146" xr:uid="{00000000-0005-0000-0000-000086000000}"/>
    <cellStyle name="Moneda_Well Timing" xfId="147" xr:uid="{00000000-0005-0000-0000-000087000000}"/>
    <cellStyle name="n" xfId="148" xr:uid="{00000000-0005-0000-0000-000088000000}"/>
    <cellStyle name="Neutral 2" xfId="149" xr:uid="{00000000-0005-0000-0000-000089000000}"/>
    <cellStyle name="Normal" xfId="0" builtinId="0"/>
    <cellStyle name="Normal - Style1" xfId="150" xr:uid="{00000000-0005-0000-0000-00008B000000}"/>
    <cellStyle name="Normal - Style1 2" xfId="259" xr:uid="{84BF8C7C-2B57-42BF-A361-ACA209A26307}"/>
    <cellStyle name="Normal 10" xfId="151" xr:uid="{00000000-0005-0000-0000-00008C000000}"/>
    <cellStyle name="Normal 10 2" xfId="152" xr:uid="{00000000-0005-0000-0000-00008D000000}"/>
    <cellStyle name="Normal 10 3" xfId="153" xr:uid="{00000000-0005-0000-0000-00008E000000}"/>
    <cellStyle name="Normal 11" xfId="154" xr:uid="{00000000-0005-0000-0000-00008F000000}"/>
    <cellStyle name="Normal 11 2" xfId="155" xr:uid="{00000000-0005-0000-0000-000090000000}"/>
    <cellStyle name="Normal 11 2 2" xfId="156" xr:uid="{00000000-0005-0000-0000-000091000000}"/>
    <cellStyle name="Normal 11 3" xfId="157" xr:uid="{00000000-0005-0000-0000-000092000000}"/>
    <cellStyle name="Normal 12" xfId="158" xr:uid="{00000000-0005-0000-0000-000093000000}"/>
    <cellStyle name="Normal 13" xfId="159" xr:uid="{00000000-0005-0000-0000-000094000000}"/>
    <cellStyle name="Normal 14" xfId="160" xr:uid="{00000000-0005-0000-0000-000095000000}"/>
    <cellStyle name="Normal 15" xfId="161" xr:uid="{00000000-0005-0000-0000-000096000000}"/>
    <cellStyle name="Normal 16" xfId="162" xr:uid="{00000000-0005-0000-0000-000097000000}"/>
    <cellStyle name="Normal 17" xfId="163" xr:uid="{00000000-0005-0000-0000-000098000000}"/>
    <cellStyle name="Normal 18" xfId="164" xr:uid="{00000000-0005-0000-0000-000099000000}"/>
    <cellStyle name="Normal 19" xfId="165" xr:uid="{00000000-0005-0000-0000-00009A000000}"/>
    <cellStyle name="Normal 2" xfId="7" xr:uid="{00000000-0005-0000-0000-00009B000000}"/>
    <cellStyle name="Normal 2 2" xfId="15" xr:uid="{00000000-0005-0000-0000-00009C000000}"/>
    <cellStyle name="Normal 2 2 2" xfId="166" xr:uid="{00000000-0005-0000-0000-00009D000000}"/>
    <cellStyle name="Normal 2 2 3" xfId="167" xr:uid="{00000000-0005-0000-0000-00009E000000}"/>
    <cellStyle name="Normal 2 2 4" xfId="262" xr:uid="{5349DDCB-A5B9-42D4-8A1D-59755E77DAE7}"/>
    <cellStyle name="Normal 2 3" xfId="168" xr:uid="{00000000-0005-0000-0000-00009F000000}"/>
    <cellStyle name="Normal 2 3 2" xfId="169" xr:uid="{00000000-0005-0000-0000-0000A0000000}"/>
    <cellStyle name="Normal 2 3 2 2" xfId="170" xr:uid="{00000000-0005-0000-0000-0000A1000000}"/>
    <cellStyle name="Normal 2 3 3" xfId="171" xr:uid="{00000000-0005-0000-0000-0000A2000000}"/>
    <cellStyle name="Normal 2 3 4" xfId="257" xr:uid="{4F774564-3C21-49D4-9B4E-96998E1E53F2}"/>
    <cellStyle name="Normal 2 4" xfId="172" xr:uid="{00000000-0005-0000-0000-0000A3000000}"/>
    <cellStyle name="Normal 2 5" xfId="173" xr:uid="{00000000-0005-0000-0000-0000A4000000}"/>
    <cellStyle name="Normal 2 6" xfId="174" xr:uid="{00000000-0005-0000-0000-0000A5000000}"/>
    <cellStyle name="Normal 20" xfId="175" xr:uid="{00000000-0005-0000-0000-0000A6000000}"/>
    <cellStyle name="Normal 21" xfId="176" xr:uid="{00000000-0005-0000-0000-0000A7000000}"/>
    <cellStyle name="Normal 22" xfId="177" xr:uid="{00000000-0005-0000-0000-0000A8000000}"/>
    <cellStyle name="Normal 23" xfId="178" xr:uid="{00000000-0005-0000-0000-0000A9000000}"/>
    <cellStyle name="Normal 24" xfId="179" xr:uid="{00000000-0005-0000-0000-0000AA000000}"/>
    <cellStyle name="Normal 25" xfId="180" xr:uid="{00000000-0005-0000-0000-0000AB000000}"/>
    <cellStyle name="Normal 26" xfId="181" xr:uid="{00000000-0005-0000-0000-0000AC000000}"/>
    <cellStyle name="Normal 27" xfId="182" xr:uid="{00000000-0005-0000-0000-0000AD000000}"/>
    <cellStyle name="Normal 28" xfId="183" xr:uid="{00000000-0005-0000-0000-0000AE000000}"/>
    <cellStyle name="Normal 28 2" xfId="184" xr:uid="{00000000-0005-0000-0000-0000AF000000}"/>
    <cellStyle name="Normal 29" xfId="260" xr:uid="{EBC460BC-66CF-4E38-913A-2EBD655F376C}"/>
    <cellStyle name="Normal 3" xfId="12" xr:uid="{00000000-0005-0000-0000-0000B0000000}"/>
    <cellStyle name="Normal 3 2" xfId="185" xr:uid="{00000000-0005-0000-0000-0000B1000000}"/>
    <cellStyle name="Normal 3 2 2" xfId="256" xr:uid="{3D66A805-6D82-41DB-B70F-91BB745297CE}"/>
    <cellStyle name="Normal 3 3" xfId="186" xr:uid="{00000000-0005-0000-0000-0000B2000000}"/>
    <cellStyle name="Normal 3 4" xfId="187" xr:uid="{00000000-0005-0000-0000-0000B3000000}"/>
    <cellStyle name="Normal 30" xfId="264" xr:uid="{702DE568-05C4-4920-BD22-5ABDC8098EA6}"/>
    <cellStyle name="Normal 31" xfId="266" xr:uid="{61A0E865-4380-4A82-907A-1E980432EE0B}"/>
    <cellStyle name="Normal 4" xfId="13" xr:uid="{00000000-0005-0000-0000-0000B4000000}"/>
    <cellStyle name="Normal 4 2" xfId="188" xr:uid="{00000000-0005-0000-0000-0000B5000000}"/>
    <cellStyle name="Normal 4 3" xfId="189" xr:uid="{00000000-0005-0000-0000-0000B6000000}"/>
    <cellStyle name="Normal 5" xfId="16" xr:uid="{00000000-0005-0000-0000-0000B7000000}"/>
    <cellStyle name="Normal 5 2" xfId="190" xr:uid="{00000000-0005-0000-0000-0000B8000000}"/>
    <cellStyle name="Normal 5 3" xfId="191" xr:uid="{00000000-0005-0000-0000-0000B9000000}"/>
    <cellStyle name="Normal 6" xfId="192" xr:uid="{00000000-0005-0000-0000-0000BA000000}"/>
    <cellStyle name="Normal 6 2" xfId="193" xr:uid="{00000000-0005-0000-0000-0000BB000000}"/>
    <cellStyle name="Normal 6 3" xfId="194" xr:uid="{00000000-0005-0000-0000-0000BC000000}"/>
    <cellStyle name="Normal 7" xfId="195" xr:uid="{00000000-0005-0000-0000-0000BD000000}"/>
    <cellStyle name="Normal 7 2" xfId="196" xr:uid="{00000000-0005-0000-0000-0000BE000000}"/>
    <cellStyle name="Normal 8" xfId="197" xr:uid="{00000000-0005-0000-0000-0000BF000000}"/>
    <cellStyle name="Normal 9" xfId="5" xr:uid="{00000000-0005-0000-0000-0000C0000000}"/>
    <cellStyle name="Normal 9 2" xfId="198" xr:uid="{00000000-0005-0000-0000-0000C1000000}"/>
    <cellStyle name="Normal 9 6" xfId="258" xr:uid="{6830533D-02DF-459A-879E-45EB04FAACBB}"/>
    <cellStyle name="Normal_070709 Mau bieu tong hop doi tuong bao tro xa hoi" xfId="263" xr:uid="{A490BC6F-3839-464A-8989-65CC794FE27A}"/>
    <cellStyle name="Normal_080626 BPTDPC ND 61 nam 2004-2007,Lg ND 166 nam 2008" xfId="4" xr:uid="{00000000-0005-0000-0000-0000C2000000}"/>
    <cellStyle name="Normal_Bieu so 2(DPsua)" xfId="2" xr:uid="{00000000-0005-0000-0000-0000C3000000}"/>
    <cellStyle name="Normal_H090213 Tong hop thu NSNN 2008 den 31-12" xfId="18" xr:uid="{00000000-0005-0000-0000-0000C4000000}"/>
    <cellStyle name="Normal_Sheet1" xfId="3" xr:uid="{00000000-0005-0000-0000-0000C5000000}"/>
    <cellStyle name="Note 2" xfId="199" xr:uid="{00000000-0005-0000-0000-0000C6000000}"/>
    <cellStyle name="Note 2 2" xfId="200" xr:uid="{00000000-0005-0000-0000-0000C7000000}"/>
    <cellStyle name="omma [0]_Mktg Prog" xfId="201" xr:uid="{00000000-0005-0000-0000-0000C8000000}"/>
    <cellStyle name="ormal_Sheet1_1" xfId="202" xr:uid="{00000000-0005-0000-0000-0000C9000000}"/>
    <cellStyle name="Output 2" xfId="203" xr:uid="{00000000-0005-0000-0000-0000CA000000}"/>
    <cellStyle name="Output 2 2" xfId="204" xr:uid="{00000000-0005-0000-0000-0000CB000000}"/>
    <cellStyle name="Pattern" xfId="205" xr:uid="{00000000-0005-0000-0000-0000CC000000}"/>
    <cellStyle name="Percent" xfId="14" builtinId="5"/>
    <cellStyle name="Percent [2]" xfId="206" xr:uid="{00000000-0005-0000-0000-0000CE000000}"/>
    <cellStyle name="Percent 2" xfId="207" xr:uid="{00000000-0005-0000-0000-0000CF000000}"/>
    <cellStyle name="Percent 2 2" xfId="208" xr:uid="{00000000-0005-0000-0000-0000D0000000}"/>
    <cellStyle name="Percent 3" xfId="209" xr:uid="{00000000-0005-0000-0000-0000D1000000}"/>
    <cellStyle name="Percent 4" xfId="210" xr:uid="{00000000-0005-0000-0000-0000D2000000}"/>
    <cellStyle name="Percent 5" xfId="211" xr:uid="{00000000-0005-0000-0000-0000D3000000}"/>
    <cellStyle name="Percent 6" xfId="212" xr:uid="{00000000-0005-0000-0000-0000D4000000}"/>
    <cellStyle name="Percent 7" xfId="213" xr:uid="{00000000-0005-0000-0000-0000D5000000}"/>
    <cellStyle name="Percent 8" xfId="214" xr:uid="{00000000-0005-0000-0000-0000D6000000}"/>
    <cellStyle name="s1" xfId="215" xr:uid="{00000000-0005-0000-0000-0000D7000000}"/>
    <cellStyle name="style_1" xfId="216" xr:uid="{00000000-0005-0000-0000-0000D8000000}"/>
    <cellStyle name="subhead" xfId="217" xr:uid="{00000000-0005-0000-0000-0000D9000000}"/>
    <cellStyle name="T" xfId="218" xr:uid="{00000000-0005-0000-0000-0000DA000000}"/>
    <cellStyle name="T 2" xfId="219" xr:uid="{00000000-0005-0000-0000-0000DB000000}"/>
    <cellStyle name="T_1. Sở Tài chính (dau tu)" xfId="220" xr:uid="{00000000-0005-0000-0000-0000DC000000}"/>
    <cellStyle name="th" xfId="221" xr:uid="{00000000-0005-0000-0000-0000DD000000}"/>
    <cellStyle name="th 2" xfId="222" xr:uid="{00000000-0005-0000-0000-0000DE000000}"/>
    <cellStyle name="Title 2" xfId="223" xr:uid="{00000000-0005-0000-0000-0000DF000000}"/>
    <cellStyle name="Total 2" xfId="224" xr:uid="{00000000-0005-0000-0000-0000E0000000}"/>
    <cellStyle name="tuan" xfId="225" xr:uid="{00000000-0005-0000-0000-0000E1000000}"/>
    <cellStyle name="tuan1" xfId="226" xr:uid="{00000000-0005-0000-0000-0000E2000000}"/>
    <cellStyle name="tuan2" xfId="227" xr:uid="{00000000-0005-0000-0000-0000E3000000}"/>
    <cellStyle name="tuan3" xfId="228" xr:uid="{00000000-0005-0000-0000-0000E4000000}"/>
    <cellStyle name="tuan4" xfId="229" xr:uid="{00000000-0005-0000-0000-0000E5000000}"/>
    <cellStyle name="viet" xfId="230" xr:uid="{00000000-0005-0000-0000-0000E6000000}"/>
    <cellStyle name="viet2" xfId="231" xr:uid="{00000000-0005-0000-0000-0000E7000000}"/>
    <cellStyle name="viet2 2" xfId="232" xr:uid="{00000000-0005-0000-0000-0000E8000000}"/>
    <cellStyle name="Währung [0]_UXO VII" xfId="233" xr:uid="{00000000-0005-0000-0000-0000E9000000}"/>
    <cellStyle name="Währung_UXO VII" xfId="234" xr:uid="{00000000-0005-0000-0000-0000EA000000}"/>
    <cellStyle name="Warning Text 2" xfId="235" xr:uid="{00000000-0005-0000-0000-0000EB000000}"/>
    <cellStyle name=" [0.00]_ Att. 1- Cover" xfId="236" xr:uid="{00000000-0005-0000-0000-0000EC000000}"/>
    <cellStyle name="_ Att. 1- Cover" xfId="237" xr:uid="{00000000-0005-0000-0000-0000ED000000}"/>
    <cellStyle name="?_ Att. 1- Cover" xfId="238" xr:uid="{00000000-0005-0000-0000-0000EE000000}"/>
    <cellStyle name="똿뗦먛귟 [0.00]_PRODUCT DETAIL Q1" xfId="239" xr:uid="{00000000-0005-0000-0000-0000EF000000}"/>
    <cellStyle name="똿뗦먛귟_PRODUCT DETAIL Q1" xfId="240" xr:uid="{00000000-0005-0000-0000-0000F0000000}"/>
    <cellStyle name="믅됞 [0.00]_PRODUCT DETAIL Q1" xfId="241" xr:uid="{00000000-0005-0000-0000-0000F1000000}"/>
    <cellStyle name="믅됞_PRODUCT DETAIL Q1" xfId="242" xr:uid="{00000000-0005-0000-0000-0000F2000000}"/>
    <cellStyle name="백분율_95" xfId="243" xr:uid="{00000000-0005-0000-0000-0000F3000000}"/>
    <cellStyle name="뷭?_BOOKSHIP" xfId="244" xr:uid="{00000000-0005-0000-0000-0000F4000000}"/>
    <cellStyle name="콤마 [0]_ 비목별 월별기술 " xfId="245" xr:uid="{00000000-0005-0000-0000-0000F5000000}"/>
    <cellStyle name="콤마_ 비목별 월별기술 " xfId="246" xr:uid="{00000000-0005-0000-0000-0000F6000000}"/>
    <cellStyle name="통화 [0]_1202" xfId="247" xr:uid="{00000000-0005-0000-0000-0000F7000000}"/>
    <cellStyle name="통화_1202" xfId="248" xr:uid="{00000000-0005-0000-0000-0000F8000000}"/>
    <cellStyle name="표준_(정보부문)월별인원계획" xfId="249" xr:uid="{00000000-0005-0000-0000-0000F9000000}"/>
    <cellStyle name="一般_00Q3902REV.1" xfId="250" xr:uid="{00000000-0005-0000-0000-0000FA000000}"/>
    <cellStyle name="千分位[0]_00Q3902REV.1" xfId="251" xr:uid="{00000000-0005-0000-0000-0000FB000000}"/>
    <cellStyle name="千分位_00Q3902REV.1" xfId="252" xr:uid="{00000000-0005-0000-0000-0000FC000000}"/>
    <cellStyle name="貨幣 [0]_00Q3902REV.1" xfId="253" xr:uid="{00000000-0005-0000-0000-0000FD000000}"/>
    <cellStyle name="貨幣[0]_BRE" xfId="254" xr:uid="{00000000-0005-0000-0000-0000FE000000}"/>
    <cellStyle name="貨幣_00Q3902REV.1" xfId="255" xr:uid="{00000000-0005-0000-0000-0000FF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9" Type="http://schemas.openxmlformats.org/officeDocument/2006/relationships/externalLink" Target="externalLinks/externalLink16.xml"/><Relationship Id="rId21" Type="http://schemas.openxmlformats.org/officeDocument/2006/relationships/worksheet" Target="worksheets/sheet21.xml"/><Relationship Id="rId34" Type="http://schemas.openxmlformats.org/officeDocument/2006/relationships/externalLink" Target="externalLinks/externalLink11.xml"/><Relationship Id="rId42" Type="http://schemas.openxmlformats.org/officeDocument/2006/relationships/externalLink" Target="externalLinks/externalLink19.xml"/><Relationship Id="rId47" Type="http://schemas.openxmlformats.org/officeDocument/2006/relationships/externalLink" Target="externalLinks/externalLink24.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externalLink" Target="externalLinks/externalLink9.xml"/><Relationship Id="rId37" Type="http://schemas.openxmlformats.org/officeDocument/2006/relationships/externalLink" Target="externalLinks/externalLink14.xml"/><Relationship Id="rId40" Type="http://schemas.openxmlformats.org/officeDocument/2006/relationships/externalLink" Target="externalLinks/externalLink17.xml"/><Relationship Id="rId45" Type="http://schemas.openxmlformats.org/officeDocument/2006/relationships/externalLink" Target="externalLinks/externalLink22.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8.xml"/><Relationship Id="rId44" Type="http://schemas.openxmlformats.org/officeDocument/2006/relationships/externalLink" Target="externalLinks/externalLink21.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43" Type="http://schemas.openxmlformats.org/officeDocument/2006/relationships/externalLink" Target="externalLinks/externalLink20.xml"/><Relationship Id="rId48" Type="http://schemas.openxmlformats.org/officeDocument/2006/relationships/externalLink" Target="externalLinks/externalLink25.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externalLink" Target="externalLinks/externalLink10.xml"/><Relationship Id="rId38" Type="http://schemas.openxmlformats.org/officeDocument/2006/relationships/externalLink" Target="externalLinks/externalLink15.xml"/><Relationship Id="rId46" Type="http://schemas.openxmlformats.org/officeDocument/2006/relationships/externalLink" Target="externalLinks/externalLink23.xml"/><Relationship Id="rId20" Type="http://schemas.openxmlformats.org/officeDocument/2006/relationships/worksheet" Target="worksheets/sheet20.xml"/><Relationship Id="rId41"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externalLink" Target="externalLinks/externalLink13.xml"/><Relationship Id="rId49" Type="http://schemas.openxmlformats.org/officeDocument/2006/relationships/externalLink" Target="externalLinks/externalLink26.xml"/></Relationships>
</file>

<file path=xl/drawings/drawing1.xml><?xml version="1.0" encoding="utf-8"?>
<xdr:wsDr xmlns:xdr="http://schemas.openxmlformats.org/drawingml/2006/spreadsheetDrawing" xmlns:a="http://schemas.openxmlformats.org/drawingml/2006/main">
  <xdr:twoCellAnchor>
    <xdr:from>
      <xdr:col>2</xdr:col>
      <xdr:colOff>56241</xdr:colOff>
      <xdr:row>0</xdr:row>
      <xdr:rowOff>696295</xdr:rowOff>
    </xdr:from>
    <xdr:to>
      <xdr:col>2</xdr:col>
      <xdr:colOff>513565</xdr:colOff>
      <xdr:row>0</xdr:row>
      <xdr:rowOff>697532</xdr:rowOff>
    </xdr:to>
    <xdr:cxnSp macro="">
      <xdr:nvCxnSpPr>
        <xdr:cNvPr id="2" name="Straight Connector 1">
          <a:extLst>
            <a:ext uri="{FF2B5EF4-FFF2-40B4-BE49-F238E27FC236}">
              <a16:creationId xmlns:a16="http://schemas.microsoft.com/office/drawing/2014/main" id="{00000000-0008-0000-0300-000002000000}"/>
            </a:ext>
          </a:extLst>
        </xdr:cNvPr>
        <xdr:cNvCxnSpPr/>
      </xdr:nvCxnSpPr>
      <xdr:spPr>
        <a:xfrm flipV="1">
          <a:off x="1390650" y="200995"/>
          <a:ext cx="0" cy="1237"/>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28088</xdr:colOff>
      <xdr:row>2</xdr:row>
      <xdr:rowOff>10041</xdr:rowOff>
    </xdr:from>
    <xdr:to>
      <xdr:col>1</xdr:col>
      <xdr:colOff>691709</xdr:colOff>
      <xdr:row>2</xdr:row>
      <xdr:rowOff>11629</xdr:rowOff>
    </xdr:to>
    <xdr:cxnSp macro="">
      <xdr:nvCxnSpPr>
        <xdr:cNvPr id="2" name="Straight Connector 1">
          <a:extLst>
            <a:ext uri="{FF2B5EF4-FFF2-40B4-BE49-F238E27FC236}">
              <a16:creationId xmlns:a16="http://schemas.microsoft.com/office/drawing/2014/main" id="{E75EBAD7-99CD-4DB1-9E64-F0476154CB97}"/>
            </a:ext>
          </a:extLst>
        </xdr:cNvPr>
        <xdr:cNvCxnSpPr/>
      </xdr:nvCxnSpPr>
      <xdr:spPr>
        <a:xfrm>
          <a:off x="409088" y="410091"/>
          <a:ext cx="663621"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257175</xdr:colOff>
      <xdr:row>2</xdr:row>
      <xdr:rowOff>0</xdr:rowOff>
    </xdr:from>
    <xdr:to>
      <xdr:col>1</xdr:col>
      <xdr:colOff>609600</xdr:colOff>
      <xdr:row>2</xdr:row>
      <xdr:rowOff>1588</xdr:rowOff>
    </xdr:to>
    <xdr:cxnSp macro="">
      <xdr:nvCxnSpPr>
        <xdr:cNvPr id="2" name="Straight Connector 1">
          <a:extLst>
            <a:ext uri="{FF2B5EF4-FFF2-40B4-BE49-F238E27FC236}">
              <a16:creationId xmlns:a16="http://schemas.microsoft.com/office/drawing/2014/main" id="{00000000-0008-0000-0D00-000002000000}"/>
            </a:ext>
          </a:extLst>
        </xdr:cNvPr>
        <xdr:cNvCxnSpPr/>
      </xdr:nvCxnSpPr>
      <xdr:spPr>
        <a:xfrm>
          <a:off x="257175" y="335280"/>
          <a:ext cx="733425"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257175</xdr:colOff>
      <xdr:row>2</xdr:row>
      <xdr:rowOff>0</xdr:rowOff>
    </xdr:from>
    <xdr:to>
      <xdr:col>1</xdr:col>
      <xdr:colOff>609600</xdr:colOff>
      <xdr:row>2</xdr:row>
      <xdr:rowOff>1588</xdr:rowOff>
    </xdr:to>
    <xdr:cxnSp macro="">
      <xdr:nvCxnSpPr>
        <xdr:cNvPr id="2" name="Straight Connector 1">
          <a:extLst>
            <a:ext uri="{FF2B5EF4-FFF2-40B4-BE49-F238E27FC236}">
              <a16:creationId xmlns:a16="http://schemas.microsoft.com/office/drawing/2014/main" id="{00000000-0008-0000-0E00-000002000000}"/>
            </a:ext>
          </a:extLst>
        </xdr:cNvPr>
        <xdr:cNvCxnSpPr/>
      </xdr:nvCxnSpPr>
      <xdr:spPr>
        <a:xfrm>
          <a:off x="257175" y="323850"/>
          <a:ext cx="723900"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324971</xdr:colOff>
      <xdr:row>1</xdr:row>
      <xdr:rowOff>112049</xdr:rowOff>
    </xdr:from>
    <xdr:to>
      <xdr:col>1</xdr:col>
      <xdr:colOff>605118</xdr:colOff>
      <xdr:row>1</xdr:row>
      <xdr:rowOff>113637</xdr:rowOff>
    </xdr:to>
    <xdr:cxnSp macro="">
      <xdr:nvCxnSpPr>
        <xdr:cNvPr id="2" name="Straight Connector 1">
          <a:extLst>
            <a:ext uri="{FF2B5EF4-FFF2-40B4-BE49-F238E27FC236}">
              <a16:creationId xmlns:a16="http://schemas.microsoft.com/office/drawing/2014/main" id="{00000000-0008-0000-1500-000002000000}"/>
            </a:ext>
          </a:extLst>
        </xdr:cNvPr>
        <xdr:cNvCxnSpPr/>
      </xdr:nvCxnSpPr>
      <xdr:spPr>
        <a:xfrm>
          <a:off x="324971" y="310169"/>
          <a:ext cx="668767"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324971</xdr:colOff>
      <xdr:row>1</xdr:row>
      <xdr:rowOff>112049</xdr:rowOff>
    </xdr:from>
    <xdr:to>
      <xdr:col>1</xdr:col>
      <xdr:colOff>605118</xdr:colOff>
      <xdr:row>1</xdr:row>
      <xdr:rowOff>113637</xdr:rowOff>
    </xdr:to>
    <xdr:cxnSp macro="">
      <xdr:nvCxnSpPr>
        <xdr:cNvPr id="2" name="Straight Connector 1">
          <a:extLst>
            <a:ext uri="{FF2B5EF4-FFF2-40B4-BE49-F238E27FC236}">
              <a16:creationId xmlns:a16="http://schemas.microsoft.com/office/drawing/2014/main" id="{00000000-0008-0000-1700-000002000000}"/>
            </a:ext>
          </a:extLst>
        </xdr:cNvPr>
        <xdr:cNvCxnSpPr/>
      </xdr:nvCxnSpPr>
      <xdr:spPr>
        <a:xfrm>
          <a:off x="324971" y="310169"/>
          <a:ext cx="668767"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Dung%20Quat\Goi3\PNT-P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u_thanh_binh\d\Luu_Tru\Ltb_ktkh\DZ220KV_Dau_Noi_sau_tram_500kV_Ha_Tinh\Gia_thau.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NHON\THUNHI\BACHUC\HTBACHUC.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GI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T-PHUC\PHUC\MoCay\MoCayM.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T-PHUC\PHUC\My%20Documents\TRANS-LINES\MauDZMoi.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NHON\THUNHI\MYAN\MYA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NHON\THUNHI\TRAMMYXU\TTK1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NHON\MSOFFICE\YNHI\TNOC-11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NHON\THUNHI\MYAN\HTBACHUC.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NHON\THUNHI\LONGKIEN\DKHLKIE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yjpg-my.sharepoint.com/file:/A:/HIEN/TANHUNG/HTTANHU.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J:\WINDOWS\TEMP\IBASE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Mydocu\phuong\CV-BAOCAO\CS3408\Standard\RPT.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ay_2\d\LUU\DAO%20TAO\KS2D.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NHON\THUNHI\TRUONGLO\TTTRLONG.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NHON\THUNHI\MYAN\TTK1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AnhDo\B-CAOQ~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AnhDo\DUTOAN\BTHUAN\NDPHUQUY\NDPQSUA\BTHUAN\NDPHUQUY\DUTOAN\Tiengiang\HOICUT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HIEN\TANHUNG\HTTANHU.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yjpg-my.sharepoint.com/Temp/file:/A:/HIEN/TANHUNG/HTTANHU.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7HIEN\FORMS\DT98102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BTC15\SHARE_QLNSDPNSNN$\Hang\Bieu%20mau%20thu%202003%20vong%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NHON\THUNHI\TRLOCNIN\DT-LNINH.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X:\NGUYEN%20VAN%20THANH%20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NHON\HIEN\TUYHA\MYXUA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NT-QUOT-#3"/>
      <sheetName val="COAT&amp;WRAP-QIOT-#3"/>
      <sheetName val="XL4Poppy"/>
      <sheetName val="So Do"/>
      <sheetName val="KTTSCD - DLNA"/>
      <sheetName val="Sheet1"/>
      <sheetName val="quÝ1"/>
      <sheetName val="00000000"/>
      <sheetName val="10000000"/>
      <sheetName val="20000000"/>
      <sheetName val="30000000"/>
      <sheetName val="40000000"/>
      <sheetName val="50000000"/>
      <sheetName val="60000000"/>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4"/>
      <sheetName val="T5"/>
      <sheetName val="T6"/>
      <sheetName val="T.7"/>
      <sheetName val="T.8"/>
      <sheetName val="T8 (2)"/>
      <sheetName val="T.9"/>
      <sheetName val="T.10"/>
      <sheetName val="T.11"/>
      <sheetName val="T.12"/>
      <sheetName val="T10"/>
      <sheetName val="T11 "/>
      <sheetName val="Sheet2"/>
      <sheetName val="Sheet3"/>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5 nam (tach)"/>
      <sheetName val="5 nam (tach) (2)"/>
      <sheetName val="KH 2003"/>
      <sheetName val="tong hop"/>
      <sheetName val="phan tich DG"/>
      <sheetName val="gia vat lieu"/>
      <sheetName val="gia xe may"/>
      <sheetName val="gia nhan cong"/>
      <sheetName val="XL4Test5"/>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ȴ0000000"/>
      <sheetName val="Cong"/>
      <sheetName val="Cong cu"/>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Dinhhinh"/>
      <sheetName val="Cot thep"/>
      <sheetName val="Tong hop (2)"/>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LuongT1"/>
      <sheetName val="LuongT2"/>
      <sheetName val="luongthang12"/>
      <sheetName val="LuongT11"/>
      <sheetName val="thang5"/>
      <sheetName val="T7"/>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TK 154"/>
      <sheetName val="TK 632"/>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æng hîp"/>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Sheet16"/>
      <sheetName val="PTH"/>
      <sheetName val="TH Ky Anh"/>
      <sheetName val="Sheet2 (2)"/>
      <sheetName val="t1"/>
      <sheetName val="T11"/>
      <sheetName val="Bia"/>
      <sheetName val="Tm"/>
      <sheetName val="THKP"/>
      <sheetName val="DGi"/>
      <sheetName val="PNT_QUOT__3"/>
      <sheetName val="COAT_WRAP_QIOT__3"/>
      <sheetName val="fOOD"/>
      <sheetName val="FORM hc"/>
      <sheetName val="FORM pc"/>
      <sheetName val="CamPha"/>
      <sheetName val="MongCai"/>
      <sheetName val="70000000"/>
      <sheetName val="TH  goi 4-x"/>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kl m m d"/>
      <sheetName val="kl vt tho"/>
      <sheetName val="kl dat"/>
      <sheetName val="Sheet4"/>
      <sheetName val="xin kinh phi"/>
      <sheetName val="lan trai"/>
      <sheetName val="thuoc no"/>
      <sheetName val="so thuc pham"/>
      <sheetName val="DGTL"/>
      <sheetName val="XN 1"/>
      <sheetName val="CT.XN1"/>
      <sheetName val="XCK"/>
      <sheetName val="CT.XNCK"/>
      <sheetName val="Hoasen"/>
      <sheetName val="S.hai"/>
      <sheetName val="HPC1"/>
      <sheetName val="No2"/>
      <sheetName val="CT N02"/>
      <sheetName val="C.Sap CT3"/>
      <sheetName val="CT.Csap.CT3"/>
      <sheetName val="CTVPCP"/>
      <sheetName val="Quan trac"/>
      <sheetName val="CS LB"/>
      <sheetName val="88 HBT"/>
      <sheetName val="69II"/>
      <sheetName val="CT 69II"/>
      <sheetName val="37 HV"/>
      <sheetName val="VPCP"/>
      <sheetName val="CT VPCP 6tang"/>
      <sheetName val="Son nha kinh VPCP"/>
      <sheetName val="CT VPCP son"/>
      <sheetName val="HMVPCP"/>
      <sheetName val="CT.HMVPCP"/>
      <sheetName val="CV den trong to聮g"/>
      <sheetName val="BangTH"/>
      <sheetName val="Xaylap "/>
      <sheetName val="Nhan cong"/>
      <sheetName val="Thietbi"/>
      <sheetName val="Diengiai"/>
      <sheetName val="Vanchuyen"/>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Km27' - Km278"/>
      <sheetName val="PNT-QUOT-D150#3"/>
      <sheetName val="PNT-QUOT-H153#3"/>
      <sheetName val="PNT-QUOT-K152#3"/>
      <sheetName val="PNT-QUOT-H146#3"/>
      <sheetName val="Thang06-2002"/>
      <sheetName val="Thang07-2002"/>
      <sheetName val="Thang08-2002"/>
      <sheetName val="Thang09-2002"/>
      <sheetName val="Thang10-2002 "/>
      <sheetName val="Thang11-2002"/>
      <sheetName val="Thang12-2002"/>
      <sheetName val="Sheet1 (3)"/>
      <sheetName val="Bao cao KQTH quy hoach 135"/>
      <sheetName val="Sheet5"/>
      <sheetName val="Sheet6"/>
      <sheetName val="Sheet7"/>
      <sheetName val="Sheet8"/>
      <sheetName val="Sheet9"/>
      <sheetName val="Sheet10"/>
      <sheetName val="Oð mai 279"/>
      <sheetName val="tmt4"/>
      <sheetName val="t3-01"/>
      <sheetName val="t4-01"/>
      <sheetName val="t5-01"/>
      <sheetName val="t6-01"/>
      <sheetName val="t7-01"/>
      <sheetName val="t8-01"/>
      <sheetName val="t9-01"/>
      <sheetName val="t10-01"/>
      <sheetName val="t11-01"/>
      <sheetName val="t12-"/>
      <sheetName val="t2"/>
      <sheetName val="t3"/>
      <sheetName val="t06"/>
      <sheetName val="t07"/>
      <sheetName val="t08"/>
      <sheetName val="t09"/>
      <sheetName val="t12"/>
      <sheetName val="0103"/>
      <sheetName val="0203"/>
      <sheetName val="th-nop"/>
      <sheetName val="th"/>
      <sheetName val="mau kiem ke"/>
      <sheetName val="quyet toan HD 2000"/>
      <sheetName val="quyet toan hoa don 2001"/>
      <sheetName val="kiem ke hoa don 2001"/>
      <sheetName val="QUY III 02"/>
      <sheetName val="QUY IV 02"/>
      <sheetName val="QUYET TOAN 02"/>
      <sheetName val="Sheet15"/>
      <sheetName val="xdcb 01-2003"/>
      <sheetName val="SOLIEU"/>
      <sheetName val="TINHTOAN"/>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ADKT"/>
      <sheetName val="XNT1MC"/>
      <sheetName val="XNT2MC"/>
      <sheetName val="XNT3MC"/>
      <sheetName val="XNT4MC"/>
      <sheetName val="xnt 1 CP"/>
      <sheetName val="xnt 2 cp"/>
      <sheetName val="xnt 3 CP"/>
      <sheetName val="xnt 4 CP"/>
      <sheetName val="BC tuan1"/>
      <sheetName val="BC tuan2"/>
      <sheetName val="BC tuan3"/>
      <sheetName val="BC tuan4"/>
      <sheetName val="DSo NVBH"/>
      <sheetName val="XLÇ_x0015_oppy"/>
      <sheetName val="BKLBD"/>
      <sheetName val="PTDG"/>
      <sheetName val="DTCT"/>
      <sheetName val="vlct"/>
      <sheetName val="Sheet11"/>
      <sheetName val="Sheet12"/>
      <sheetName val="Sheet13"/>
      <sheetName val="Sheet14"/>
      <sheetName val="0304"/>
      <sheetName val="0904"/>
      <sheetName val="1204"/>
      <sheetName val="80000000"/>
      <sheetName val="90000000"/>
      <sheetName val="a0000000"/>
      <sheetName val="b0000000"/>
      <sheetName val="c0000000"/>
      <sheetName val="XXXXX\XX"/>
      <sheetName val="Cong ban 1,5_x0013__x0000_"/>
      <sheetName val="Km283 - Jm284"/>
      <sheetName val="Shedt1"/>
      <sheetName val="_x0012_0000000"/>
      <sheetName val="cocB40 5B"/>
      <sheetName val="cocD50 9A"/>
      <sheetName val="cocD75 16"/>
      <sheetName val="coc B80 TD25"/>
      <sheetName val="P27 B80"/>
      <sheetName val="Coc23 B80"/>
      <sheetName val="cong B80 C4"/>
      <sheetName val="GS02-thu0TM"/>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PN1"/>
      <sheetName val="PN2"/>
      <sheetName val="PG1"/>
      <sheetName val="PG2"/>
      <sheetName val="TT"/>
      <sheetName val="HFO"/>
      <sheetName val="HFA"/>
      <sheetName val="FA2"/>
      <sheetName val="T_pn1"/>
      <sheetName val="T_pn2"/>
      <sheetName val="T_pg1"/>
      <sheetName val="T_pg2"/>
      <sheetName val="T_tt"/>
      <sheetName val="T_hfo"/>
      <sheetName val="T_p2"/>
      <sheetName val="T_hfa"/>
      <sheetName val="tong"/>
      <sheetName val="dt1,2,10"/>
      <sheetName val="13b"/>
      <sheetName val="pn1_TT"/>
      <sheetName val="pn2_TT"/>
      <sheetName val="PG1_TT"/>
      <sheetName val="PG2_TT"/>
      <sheetName val="tuathang"/>
      <sheetName val="hpho_TT"/>
      <sheetName val="Ban pha 2"/>
      <sheetName val="Huoipha"/>
      <sheetName val="Kѭ284"/>
      <sheetName val="Áo"/>
      <sheetName val="Km&quot;80"/>
      <sheetName val="ESTI."/>
      <sheetName val="DI-ESTI"/>
      <sheetName val="TL33-13.14"/>
      <sheetName val="tlđm190337,8"/>
      <sheetName val="GC190337,8"/>
      <sheetName val="033,7,8"/>
      <sheetName val="TL033 ,2,4"/>
      <sheetName val="TL 0331,2"/>
      <sheetName val="033-1,4"/>
      <sheetName val="TL033,19,5"/>
      <sheetName val="T_x000b_331"/>
      <sheetName val="gVL"/>
      <sheetName val="p0000000"/>
      <sheetName val="Macro1"/>
      <sheetName val="Macro2"/>
      <sheetName val="Macro3"/>
      <sheetName val="gìIÏÝ_x001c_Ã_x0008_ç¾{è"/>
      <sheetName val="Khac DP"/>
      <sheetName val="Khoi than "/>
      <sheetName val="B3_208_than"/>
      <sheetName val="B3_208_TU"/>
      <sheetName val="B3_208_TW"/>
      <sheetName val="B3_208_DP"/>
      <sheetName val="B3_208_khac"/>
      <sheetName val="Lap ®at ®hÖn"/>
      <sheetName val="[PNT-P3.xlsUTong hop (2)"/>
      <sheetName val="Km276 - Ke277"/>
      <sheetName val="[PNT-P3.xlsUKm279 - Km280"/>
      <sheetName val="CV den trong to?g"/>
      <sheetName val="?0000000"/>
      <sheetName val="Mix-Tarpaulin"/>
      <sheetName val="Tarpaulin"/>
      <sheetName val="Price"/>
      <sheetName val="Monthly"/>
      <sheetName val="For Summary"/>
      <sheetName val="For Summary(KG)"/>
      <sheetName val="PP Cloth"/>
      <sheetName val="Mix-PP Cloth"/>
      <sheetName val="Material Price-PP"/>
      <sheetName val="So TSCD"/>
      <sheetName val="Bang phan bo KH TSCD"/>
      <sheetName val="The TSCD"/>
      <sheetName val="BTH- P.Chi "/>
      <sheetName val="BTH NVL"/>
      <sheetName val="NK-SC"/>
      <sheetName val="NK SO CAI"/>
      <sheetName val="The tinh Z"/>
      <sheetName val="So CFSXKD"/>
      <sheetName val="So TGNH 2002"/>
      <sheetName val="So quy TM 2002"/>
      <sheetName val="SCT NVL"/>
      <sheetName val="SCT TK 131"/>
      <sheetName val="So theo doi thue GTGT 2002"/>
      <sheetName val="BTH- P.Thu"/>
      <sheetName val="Mp mai 275"/>
      <sheetName val="Package1"/>
      <sheetName val="ct luong "/>
      <sheetName val="Nhap 6T"/>
      <sheetName val="baocaochinh(qui1.05) (DC)"/>
      <sheetName val="Ctuluongq.1.05"/>
      <sheetName val="BANG PHAN BO qui1.05(DC)"/>
      <sheetName val="BANG PHAN BO quiII.05"/>
      <sheetName val="bao cac cinh Qui II-2005"/>
      <sheetName val="TNghiªm T_x0002_ "/>
      <sheetName val="tt-_x0014_BA"/>
      <sheetName val="TD_x0014_"/>
      <sheetName val="_x0014_.12"/>
      <sheetName val="QD c5a HDQT (2)"/>
      <sheetName val="_x0003_hart1"/>
      <sheetName val="Don gia"/>
      <sheetName val="K43"/>
      <sheetName val="THKL"/>
      <sheetName val="PL43"/>
      <sheetName val="K43+0.00 - 338 Trai"/>
      <sheetName val="Song ban 0,7x0,7"/>
      <sheetName val="Cong ban 0,8x ,8"/>
      <sheetName val="BCDSPS"/>
      <sheetName val="BCDKT"/>
      <sheetName val="TAU"/>
      <sheetName val="KHACH"/>
      <sheetName val="BC1"/>
      <sheetName val="BC2"/>
      <sheetName val="BAO CAO AN"/>
      <sheetName val="BANGKEKHACH"/>
      <sheetName val="Du tnan chi tiet coc nuoc"/>
      <sheetName val="Tong (op"/>
      <sheetName val="Coc 4ieu"/>
      <sheetName val="Baocao"/>
      <sheetName val="UT"/>
      <sheetName val="TongHopHD"/>
      <sheetName val="TNghiÖ- VL"/>
      <sheetName val="thaß26"/>
      <sheetName val=""/>
      <sheetName val="7000 000"/>
      <sheetName val="ၔong hop QL48 - 2"/>
      <sheetName val="Km266"/>
      <sheetName val="Shaet13"/>
      <sheetName val="_x000b_luong phu"/>
      <sheetName val="Nhap du lieu"/>
      <sheetName val="XNxlva sxthanKCIÉ"/>
      <sheetName val="30100000"/>
      <sheetName val="TDT-TBࡁ"/>
      <sheetName val="Op mai 2_x000c__x0000_"/>
      <sheetName val="_x0000_bÑi_x0003__x0000__x0000__x0000__x0000_²r_x0013__x0000_"/>
      <sheetName val="Km_x0012_77 "/>
      <sheetName val="k, vt tho"/>
      <sheetName val="Km280 ࠭ Km281"/>
      <sheetName val="_x0000__x000d__x0000__x0000__x0000_âO"/>
      <sheetName val="_x0000__x000f__x0000__x0000__x0000_½"/>
      <sheetName val="_x0000__x0000_²r"/>
      <sheetName val="_x0000__x0000__x0000__x0000__x0000_M pc_x0006__x0000__x0000_CamPh_x0000__x0000_"/>
      <sheetName val="Cong ban 1,5„—_x0013__x0000_"/>
      <sheetName val="K-280 - Km281"/>
      <sheetName val="Xa9lap "/>
      <sheetName val="Thang8-02"/>
      <sheetName val="Thang9-02"/>
      <sheetName val="Thang10-02"/>
      <sheetName val="Thang11-02"/>
      <sheetName val="Thang12-02"/>
      <sheetName val="Thang01-03"/>
      <sheetName val="Thang02-03"/>
      <sheetName val="Dong$bac"/>
      <sheetName val="120"/>
      <sheetName val="IFAD"/>
      <sheetName val="CVHN"/>
      <sheetName val="TCVM"/>
      <sheetName val="RIDP"/>
      <sheetName val="LDNN"/>
      <sheetName val="Thang 07"/>
      <sheetName val="T10-05"/>
      <sheetName val="T9-05"/>
      <sheetName val="t805"/>
      <sheetName val="11T"/>
      <sheetName val="9T"/>
      <sheetName val="I"/>
      <sheetName val="mua vao"/>
      <sheetName val="chi phi "/>
      <sheetName val="ban ra 10%"/>
      <sheetName val="PNT-P3"/>
      <sheetName val="Diem mon hoc"/>
      <sheetName val="Tong hop diem"/>
      <sheetName val="HoTen-khong duoc xoa"/>
      <sheetName val="Sÿÿÿÿ"/>
      <sheetName val="quÿÿ"/>
      <sheetName val="bc"/>
      <sheetName val="K.O"/>
      <sheetName val="xang _clc"/>
      <sheetName val="X¡NG_td"/>
      <sheetName val="MaZUT"/>
      <sheetName val="DIESEL"/>
      <sheetName val="CDPS3"/>
      <sheetName val="K?284"/>
      <sheetName val="tldm190337,8"/>
      <sheetName val="?ong hop QL48 - 2"/>
      <sheetName val="CVden nw8ai TCT (1)"/>
      <sheetName val="Ton 31.1"/>
      <sheetName val="NhapT.2"/>
      <sheetName val="Xuat T.2"/>
      <sheetName val="Ton 28.2"/>
      <sheetName val="H.Tra"/>
      <sheetName val="Hang CTY TRA LAI"/>
      <sheetName val="Hang NV Tra Lai"/>
      <sheetName val="gia x_x0000_ may"/>
      <sheetName val="??-BLDG"/>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Dimu"/>
      <sheetName val="Klct"/>
      <sheetName val="Covi"/>
      <sheetName val="Nlvt"/>
      <sheetName val="Innl"/>
      <sheetName val="Invt"/>
      <sheetName val="Chon"/>
      <sheetName val="Qtnv"/>
      <sheetName val="Bqtn"/>
      <sheetName val="Bqtv"/>
      <sheetName val="Giao"/>
      <sheetName val="Dcap"/>
      <sheetName val="Nlie"/>
      <sheetName val="Mnli"/>
      <sheetName val="Cong ban 0,7p0,7"/>
      <sheetName val="Km275 - Ke276"/>
      <sheetName val="Km280 - Km2(1"/>
      <sheetName val="Km282 - Kl283"/>
      <sheetName val="Tong hop Op m!i"/>
      <sheetName val="FORM jc"/>
      <sheetName val="TO 141"/>
      <sheetName val="_x000c__x0000__x0000__x0000__x0000__x0000__x0000__x0000__x000d__x0000__x0000__x0000_"/>
      <sheetName val="ADKTKT02"/>
      <sheetName val="VÃt liÖu"/>
      <sheetName val="GS11- tÝnh KH_x0014_SC§"/>
      <sheetName val="CV di ngoai to~g"/>
      <sheetName val="nghi dinhmCP"/>
      <sheetName val="CVpden trong tong"/>
      <sheetName val="5 nam (tach) x2)"/>
      <sheetName val="_x0000__x000f__x0000__x0000__x0000_‚ž½"/>
      <sheetName val="_x0000__x000d__x0000__x0000__x0000_âOŽ"/>
      <sheetName val="Giao nhiem fu"/>
      <sheetName val="QDcea TGD (2)"/>
      <sheetName val="Giao nhie- vu"/>
      <sheetName val="tuong"/>
      <sheetName val="Cong baj 2x1,5"/>
      <sheetName val="FUONDER TAN UYEN T12"/>
      <sheetName val=" CHIEU XA  T01"/>
      <sheetName val="ANH KHANH DONG NAI T12 (2)"/>
      <sheetName val="XANG DAU K5"/>
      <sheetName val="ANH HAI T01"/>
      <sheetName val="NAVITRAN T1"/>
      <sheetName val="VAN PHU T01"/>
      <sheetName val="DUONG BDT 11  823282ms Hao"/>
      <sheetName val="CKTANDINHT1 782346 Huong (2)"/>
      <sheetName val="UNZAT01743972- Phuong(vp) (2)"/>
      <sheetName val="_x0003_har"/>
      <sheetName val="CDKTJT03"/>
      <sheetName val="Tong hnp QL47"/>
      <sheetName val="Km27%"/>
      <sheetName val="O0 mai 279"/>
      <sheetName val="Op_x0000_mai 280"/>
      <sheetName val="Op mai 28_x0011_"/>
      <sheetName val="5 nam (tac`) (2)"/>
      <sheetName val="D%o nai"/>
      <sheetName val="CTT cao so."/>
      <sheetName val="XNxlva sxdhanKCII"/>
      <sheetName val="CTxay lap mo C_x0010_"/>
      <sheetName val="Thue NK"/>
      <sheetName val="Hang NK"/>
      <sheetName val="Jet1- CP 32"/>
      <sheetName val="Jet2- Binh Minh 01"/>
      <sheetName val="Jet3"/>
      <sheetName val="Jet4"/>
      <sheetName val="Jet5"/>
      <sheetName val="Jet6"/>
      <sheetName val="Jet7"/>
      <sheetName val="Jet8"/>
      <sheetName val="Jet9"/>
      <sheetName val="Jet10"/>
      <sheetName val="Jet11"/>
      <sheetName val="Diesel1"/>
      <sheetName val="Diesel2"/>
      <sheetName val="Diezel3"/>
      <sheetName val="Mogas1"/>
      <sheetName val="Mogas2"/>
      <sheetName val="Mogas3"/>
      <sheetName val="t01.06"/>
      <sheetName val="MTL$-INTER"/>
      <sheetName val="TDT-TB?"/>
      <sheetName val="Km280 ? Km281"/>
      <sheetName val="QD cua "/>
      <sheetName val="DŃ02"/>
      <sheetName val="Cac cang UT mua thal Dong bac"/>
      <sheetName val="DG "/>
      <sheetName val="chie԰_x0000__x0000__x0000_Ȁ_x0000_"/>
      <sheetName val="Ho la "/>
      <sheetName val="gìIÏÝ_x001c_齘_x0013_龜_x0013_ꗃ〒"/>
      <sheetName val="P210-TP20"/>
      <sheetName val="tt chu don"/>
      <sheetName val="CB32"/>
      <sheetName val="nam2004"/>
      <sheetName val="I_x0005__x0000__x0000_"/>
      <sheetName val="Khach iang le "/>
      <sheetName val="L_x0010_V ®at ®iÖn"/>
      <sheetName val="K,uon' ph5"/>
      <sheetName val="_x000c_an #an"/>
      <sheetName val="C/c t)eu"/>
      <sheetName val="Bi%n bao"/>
      <sheetName val="Ran("/>
      <sheetName val="_x0014_ong hop_x0011_48-1"/>
      <sheetName val="Cong &quot;an 0,7x0,7"/>
      <sheetName val="Co.g b!n 0,8x0,8"/>
      <sheetName val="Con' ba. 1x1"/>
      <sheetName val="_x0003_ong ban 1x1,2"/>
      <sheetName val="baocaochi.h(q5i1.05) (DC)"/>
      <sheetName val="C4ulu/ngq.1.05"/>
      <sheetName val="_x0002_ANG PHA_x000e_ BO qui1.05(DC)"/>
      <sheetName val="B_x0001_NG PHAN BO quiII.05"/>
      <sheetName val="_x0000__x0000_"/>
      <sheetName val="QD cua HDQ²_x0000__x0000_)"/>
      <sheetName val="CTT NuiC_x000f_eo"/>
      <sheetName val="Kluo-_x0008_ phu"/>
      <sheetName val="QD cua HDQ²_x0000__x0000_€)"/>
      <sheetName val="_x0000__x000a__x0000__x0000__x0000_âO"/>
      <sheetName val="_x000c__x0000__x0000__x0000__x0000__x0000__x0000__x0000__x000a__x0000__x0000__x0000_"/>
      <sheetName val="_x0000__x000a__x0000__x0000__x0000_âOŽ"/>
      <sheetName val="HNI"/>
      <sheetName val="Giao nhÿÿÿÿvu"/>
      <sheetName val="⁋㌱Ա_x0000_䭔㌱س_x0000_䭔ㄠㄴ_x0006_牴湯⁧琠湯౧_x0000_杮楨搠湩⵨偃_x0006_匀敨瑥"/>
      <sheetName val="DC2@ï4"/>
      <sheetName val="AA"/>
      <sheetName val="Tong hop ၑL48 - 2"/>
      <sheetName val="TH Ky Afh"/>
      <sheetName val="Cong ban 1,5_x0013_?"/>
      <sheetName val="LONGVANT12 759469 Ms Van (2)"/>
      <sheetName val="GO THUAN AN T 01 784026 (2)"/>
      <sheetName val="COMPOSIITE SAI SON T 1(2)"/>
      <sheetName val="PEMARAT01 (2)"/>
      <sheetName val="T[ 131"/>
      <sheetName val="Tong hop xuat kho nvl"/>
      <sheetName val="Xuat kho"/>
      <sheetName val="Tong hop so lieu tai nhap kho"/>
      <sheetName val="tai nhap kho"/>
      <sheetName val="Nhap kho"/>
      <sheetName val="Tong ket nhap kho"/>
      <sheetName val="Tong k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efreshError="1"/>
      <sheetData sheetId="191" refreshError="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refreshError="1"/>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sheetData sheetId="302"/>
      <sheetData sheetId="303"/>
      <sheetData sheetId="304"/>
      <sheetData sheetId="305"/>
      <sheetData sheetId="306"/>
      <sheetData sheetId="307"/>
      <sheetData sheetId="308"/>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refreshError="1"/>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refreshError="1"/>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refreshError="1"/>
      <sheetData sheetId="397" refreshError="1"/>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refreshError="1"/>
      <sheetData sheetId="475"/>
      <sheetData sheetId="476" refreshError="1"/>
      <sheetData sheetId="477" refreshError="1"/>
      <sheetData sheetId="478" refreshError="1"/>
      <sheetData sheetId="479"/>
      <sheetData sheetId="480"/>
      <sheetData sheetId="481"/>
      <sheetData sheetId="482"/>
      <sheetData sheetId="483"/>
      <sheetData sheetId="484"/>
      <sheetData sheetId="485"/>
      <sheetData sheetId="486"/>
      <sheetData sheetId="487" refreshError="1"/>
      <sheetData sheetId="488" refreshError="1"/>
      <sheetData sheetId="489" refreshError="1"/>
      <sheetData sheetId="490"/>
      <sheetData sheetId="491"/>
      <sheetData sheetId="492"/>
      <sheetData sheetId="493" refreshError="1"/>
      <sheetData sheetId="494"/>
      <sheetData sheetId="495"/>
      <sheetData sheetId="496"/>
      <sheetData sheetId="497"/>
      <sheetData sheetId="498"/>
      <sheetData sheetId="499"/>
      <sheetData sheetId="500"/>
      <sheetData sheetId="501" refreshError="1"/>
      <sheetData sheetId="502" refreshError="1"/>
      <sheetData sheetId="503" refreshError="1"/>
      <sheetData sheetId="504" refreshError="1"/>
      <sheetData sheetId="505" refreshError="1"/>
      <sheetData sheetId="506" refreshError="1"/>
      <sheetData sheetId="507"/>
      <sheetData sheetId="508"/>
      <sheetData sheetId="509"/>
      <sheetData sheetId="510"/>
      <sheetData sheetId="511"/>
      <sheetData sheetId="512"/>
      <sheetData sheetId="513"/>
      <sheetData sheetId="514"/>
      <sheetData sheetId="515"/>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sheetData sheetId="534"/>
      <sheetData sheetId="535"/>
      <sheetData sheetId="536"/>
      <sheetData sheetId="537"/>
      <sheetData sheetId="538"/>
      <sheetData sheetId="539"/>
      <sheetData sheetId="540" refreshError="1"/>
      <sheetData sheetId="541" refreshError="1"/>
      <sheetData sheetId="542" refreshError="1"/>
      <sheetData sheetId="543" refreshError="1"/>
      <sheetData sheetId="544" refreshError="1"/>
      <sheetData sheetId="545" refreshError="1"/>
      <sheetData sheetId="546" refreshError="1"/>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refreshError="1"/>
      <sheetData sheetId="563" refreshError="1"/>
      <sheetData sheetId="564"/>
      <sheetData sheetId="565"/>
      <sheetData sheetId="566"/>
      <sheetData sheetId="567"/>
      <sheetData sheetId="568"/>
      <sheetData sheetId="569" refreshError="1"/>
      <sheetData sheetId="570"/>
      <sheetData sheetId="571"/>
      <sheetData sheetId="572" refreshError="1"/>
      <sheetData sheetId="573"/>
      <sheetData sheetId="574" refreshError="1"/>
      <sheetData sheetId="575"/>
      <sheetData sheetId="576" refreshError="1"/>
      <sheetData sheetId="577"/>
      <sheetData sheetId="578"/>
      <sheetData sheetId="579" refreshError="1"/>
      <sheetData sheetId="580" refreshError="1"/>
      <sheetData sheetId="581" refreshError="1"/>
      <sheetData sheetId="582"/>
      <sheetData sheetId="583" refreshError="1"/>
      <sheetData sheetId="584" refreshError="1"/>
      <sheetData sheetId="585" refreshError="1"/>
      <sheetData sheetId="586" refreshError="1"/>
      <sheetData sheetId="587" refreshError="1"/>
      <sheetData sheetId="588" refreshError="1"/>
      <sheetData sheetId="589" refreshError="1"/>
      <sheetData sheetId="590"/>
      <sheetData sheetId="591"/>
      <sheetData sheetId="592"/>
      <sheetData sheetId="593"/>
      <sheetData sheetId="594"/>
      <sheetData sheetId="595"/>
      <sheetData sheetId="596"/>
      <sheetData sheetId="597"/>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sheetData sheetId="613"/>
      <sheetData sheetId="614"/>
      <sheetData sheetId="615" refreshError="1"/>
      <sheetData sheetId="616"/>
      <sheetData sheetId="617"/>
      <sheetData sheetId="618"/>
      <sheetData sheetId="619"/>
      <sheetData sheetId="620"/>
      <sheetData sheetId="621"/>
      <sheetData sheetId="622"/>
      <sheetData sheetId="623"/>
      <sheetData sheetId="624"/>
      <sheetData sheetId="625"/>
      <sheetData sheetId="626"/>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sheetData sheetId="678"/>
      <sheetData sheetId="679"/>
      <sheetData sheetId="680"/>
      <sheetData sheetId="681"/>
      <sheetData sheetId="682"/>
      <sheetData sheetId="683"/>
      <sheetData sheetId="684" refreshError="1"/>
      <sheetData sheetId="685" refreshError="1"/>
      <sheetData sheetId="686" refreshError="1"/>
      <sheetData sheetId="687" refreshError="1"/>
      <sheetData sheetId="688"/>
      <sheetData sheetId="689" refreshError="1"/>
      <sheetData sheetId="690"/>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sheetData sheetId="702"/>
      <sheetData sheetId="703"/>
      <sheetData sheetId="704" refreshError="1"/>
      <sheetData sheetId="705"/>
      <sheetData sheetId="706" refreshError="1"/>
      <sheetData sheetId="707" refreshError="1"/>
      <sheetData sheetId="708" refreshError="1"/>
      <sheetData sheetId="709" refreshError="1"/>
      <sheetData sheetId="710" refreshError="1"/>
      <sheetData sheetId="71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sheetData sheetId="722" refreshError="1"/>
      <sheetData sheetId="723" refreshError="1"/>
      <sheetData sheetId="724" refreshError="1"/>
      <sheetData sheetId="725" refreshError="1"/>
      <sheetData sheetId="726"/>
      <sheetData sheetId="727"/>
      <sheetData sheetId="728"/>
      <sheetData sheetId="729"/>
      <sheetData sheetId="730" refreshError="1"/>
      <sheetData sheetId="731"/>
      <sheetData sheetId="732"/>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sheetData sheetId="766" refreshError="1"/>
      <sheetData sheetId="767" refreshError="1"/>
      <sheetData sheetId="768"/>
      <sheetData sheetId="769" refreshError="1"/>
      <sheetData sheetId="770" refreshError="1"/>
      <sheetData sheetId="771" refreshError="1"/>
      <sheetData sheetId="772" refreshError="1"/>
      <sheetData sheetId="773"/>
      <sheetData sheetId="774" refreshError="1"/>
      <sheetData sheetId="775" refreshError="1"/>
      <sheetData sheetId="776"/>
      <sheetData sheetId="777"/>
      <sheetData sheetId="778"/>
      <sheetData sheetId="779"/>
      <sheetData sheetId="780" refreshError="1"/>
      <sheetData sheetId="781" refreshError="1"/>
      <sheetData sheetId="782" refreshError="1"/>
      <sheetData sheetId="783" refreshError="1"/>
      <sheetData sheetId="784" refreshError="1"/>
      <sheetData sheetId="785"/>
      <sheetData sheetId="786"/>
      <sheetData sheetId="787"/>
      <sheetData sheetId="788"/>
      <sheetData sheetId="789"/>
      <sheetData sheetId="790"/>
      <sheetData sheetId="79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u_lieu"/>
      <sheetName val="Tong_gia"/>
      <sheetName val="Chi_tiet_gia"/>
      <sheetName val="KL_dao_Lap_dat"/>
      <sheetName val="THKP_don_gia_chao"/>
      <sheetName val="Tong_GT_khac_Pbo_vao_GT"/>
      <sheetName val="THKP_XL_Khac"/>
      <sheetName val="Lan_trai_tam"/>
      <sheetName val="Chuyen_quan"/>
      <sheetName val="Den_bu"/>
      <sheetName val="VL_NC_M_XL_khac"/>
      <sheetName val="BT_cot_thep"/>
      <sheetName val="KL_cot_thep"/>
      <sheetName val="Dap_Dat"/>
      <sheetName val="Tinh_CT_dao_dat_Luu"/>
      <sheetName val="Tinh_CT_dao_dat"/>
      <sheetName val="Chi_tiet_cot_pha"/>
      <sheetName val="Chiet_tinh_don_gia"/>
      <sheetName val="Don_gia_VCTC"/>
      <sheetName val="Gia_HTXL+VC"/>
      <sheetName val="XL4Poppy"/>
      <sheetName val="Bang ve"/>
      <sheetName val="Bang tong ke"/>
      <sheetName val="Liet ke vat tu"/>
      <sheetName val="Sheet2"/>
      <sheetName val="Sheet3"/>
      <sheetName val="Sheet4"/>
      <sheetName val="Sheet5"/>
      <sheetName val="XL4Test5"/>
      <sheetName val="Solieu"/>
      <sheetName val="TMC"/>
      <sheetName val="TMDT"/>
      <sheetName val="GiaQuyen"/>
      <sheetName val="tong hop"/>
      <sheetName val="TONG"/>
      <sheetName val="THXL"/>
      <sheetName val="GT"/>
      <sheetName val="chitiet"/>
      <sheetName val="DG"/>
      <sheetName val="ThuHoiVT"/>
      <sheetName val="vc"/>
      <sheetName val="VCDD"/>
      <sheetName val="THXL-tr"/>
      <sheetName val="CT_tram"/>
      <sheetName val="TK"/>
      <sheetName val="bu"/>
      <sheetName val="bu-tr"/>
      <sheetName val="klth"/>
      <sheetName val="vtthuhoi"/>
      <sheetName val="tram1x25"/>
      <sheetName val="tram1x50"/>
      <sheetName val="tram3x25"/>
      <sheetName val="tram250"/>
      <sheetName val="tram160"/>
      <sheetName val="kldd2"/>
      <sheetName val="kldd1"/>
      <sheetName val="pp3p_NC"/>
      <sheetName val="pp3p "/>
      <sheetName val="pp1p"/>
      <sheetName val="pphtABC"/>
      <sheetName val="pphtAV"/>
      <sheetName val="TienLuong"/>
      <sheetName val="00000000"/>
      <sheetName val="10000000"/>
      <sheetName val="Thang02"/>
      <sheetName val="Thang03"/>
      <sheetName val="thang04"/>
      <sheetName val="Hung"/>
      <sheetName val="Dau"/>
      <sheetName val="Doan"/>
      <sheetName val="Xanh"/>
      <sheetName val="Tri"/>
      <sheetName val="Chuong"/>
      <sheetName val="Hue"/>
      <sheetName val="Tien"/>
      <sheetName val="Sanh"/>
      <sheetName val="Phuc"/>
      <sheetName val="Hai"/>
      <sheetName val="Chau"/>
      <sheetName val="Lien"/>
      <sheetName val="Trieu"/>
      <sheetName val="Huong"/>
      <sheetName val="Canh"/>
      <sheetName val="Bao"/>
      <sheetName val="Kim"/>
      <sheetName val="Son"/>
      <sheetName val="Phuong"/>
      <sheetName val="Nga"/>
      <sheetName val="THTN"/>
      <sheetName val="DT0156"/>
      <sheetName val="CL0156"/>
      <sheetName val="DT0559"/>
      <sheetName val="CL0559"/>
      <sheetName val="DT0720"/>
      <sheetName val="CL0720"/>
      <sheetName val="DT0829"/>
      <sheetName val="CL0829"/>
      <sheetName val="DT0998"/>
      <sheetName val="CL0998"/>
      <sheetName val="TN01"/>
      <sheetName val="DT1110"/>
      <sheetName val="CL1110"/>
      <sheetName val="DT1207"/>
      <sheetName val="CL1027"/>
      <sheetName val="DT1253"/>
      <sheetName val="CL1253"/>
      <sheetName val="DT1472"/>
      <sheetName val="CL1472"/>
      <sheetName val="DT1595"/>
      <sheetName val="CL1595"/>
      <sheetName val="DT1797"/>
      <sheetName val="CL1797"/>
      <sheetName val="DT1850"/>
      <sheetName val="CL1850"/>
      <sheetName val="DT1924"/>
      <sheetName val="CL1924"/>
      <sheetName val="TN12"/>
      <sheetName val="DT2009"/>
      <sheetName val="CL2009"/>
      <sheetName val="DT2828"/>
      <sheetName val="CL2828"/>
      <sheetName val="DT2895"/>
      <sheetName val="CL2895"/>
      <sheetName val="DT2978"/>
      <sheetName val="CL2978"/>
      <sheetName val="TN23"/>
      <sheetName val="DT3080"/>
      <sheetName val="CL3080"/>
      <sheetName val="DT3235"/>
      <sheetName val="CL3235"/>
      <sheetName val="DT3440"/>
      <sheetName val="CL3440"/>
      <sheetName val="DT3536"/>
      <sheetName val="CL3536"/>
      <sheetName val="DT3625"/>
      <sheetName val="CL3625"/>
      <sheetName val="DT3680"/>
      <sheetName val="CL3680"/>
      <sheetName val="DT3714"/>
      <sheetName val="CL3714"/>
      <sheetName val="DT3730"/>
      <sheetName val="CL3730"/>
      <sheetName val="DT3976"/>
      <sheetName val="CL3976"/>
      <sheetName val="TN34"/>
      <sheetName val="DT4084"/>
      <sheetName val="CL4084"/>
      <sheetName val="DT4172"/>
      <sheetName val="CL4172"/>
      <sheetName val="DT4386"/>
      <sheetName val="CL4386"/>
      <sheetName val="DT4492"/>
      <sheetName val="CL4492"/>
      <sheetName val="DT4509"/>
      <sheetName val="CL4509"/>
      <sheetName val="DT4680"/>
      <sheetName val="CL4680"/>
      <sheetName val="DT4792"/>
      <sheetName val="CL4792"/>
      <sheetName val="DT4974"/>
      <sheetName val="CL4974"/>
      <sheetName val="TN45"/>
      <sheetName val="DT5435"/>
      <sheetName val="CL5435"/>
      <sheetName val="DT5578"/>
      <sheetName val="CL5578"/>
      <sheetName val="DT5679"/>
      <sheetName val="CL5679"/>
      <sheetName val="DT5786"/>
      <sheetName val="CL5786"/>
      <sheetName val="TN56"/>
      <sheetName val="DT6031"/>
      <sheetName val="CL6031"/>
      <sheetName val="DT6463"/>
      <sheetName val="CL6463"/>
      <sheetName val="DT6653"/>
      <sheetName val="CL6653"/>
      <sheetName val="DT6676"/>
      <sheetName val="CL6676"/>
      <sheetName val="DT6803"/>
      <sheetName val="CL6803"/>
      <sheetName val="DT6918"/>
      <sheetName val="CL6918"/>
      <sheetName val="TN67"/>
      <sheetName val="DT7067"/>
      <sheetName val="CL7067"/>
      <sheetName val="DT7181"/>
      <sheetName val="CL7181"/>
      <sheetName val="DT7263"/>
      <sheetName val="CL7263"/>
      <sheetName val="DT7547"/>
      <sheetName val="CL7547"/>
      <sheetName val="DT7786"/>
      <sheetName val="CL7786"/>
      <sheetName val="DT7806"/>
      <sheetName val="CL7806"/>
      <sheetName val="DT7961"/>
      <sheetName val="CL7961"/>
      <sheetName val="TN78"/>
      <sheetName val="DT8118"/>
      <sheetName val="CL8118"/>
      <sheetName val="DT8163"/>
      <sheetName val="CL8163"/>
      <sheetName val="DT8391"/>
      <sheetName val="CL8391"/>
      <sheetName val="DT8654"/>
      <sheetName val="CL8654"/>
      <sheetName val="TN8C"/>
      <sheetName val="XLCau1"/>
      <sheetName val="DTCAU1"/>
      <sheetName val="CLCau1"/>
      <sheetName val="XLCau3"/>
      <sheetName val="DTCAU3"/>
      <sheetName val="CLCau3"/>
      <sheetName val="CVC"/>
      <sheetName val="CVCda"/>
      <sheetName val="TSDL"/>
      <sheetName val="toketoanCND MSTS"/>
      <sheetName val="TSKH"/>
      <sheetName val="ct luong "/>
      <sheetName val="Nhap 6T"/>
      <sheetName val="baocaochinh(qui1.05) (DC)"/>
      <sheetName val="Ctuluongq.1.05"/>
      <sheetName val="BANG PHAN BO qui1.05(DC)"/>
      <sheetName val="BANG PHAN BO quiII.05"/>
      <sheetName val="bao cac cinh Qui II-2005"/>
      <sheetName val="BIA HUDA CHAI"/>
      <sheetName val="BIA HUDA LON"/>
      <sheetName val="BIA SG 450"/>
      <sheetName val="BIA SG 330"/>
      <sheetName val="BIA HENIKEN 330"/>
      <sheetName val="BG SUNNY 100g"/>
      <sheetName val="BG SUNNY 200g"/>
      <sheetName val="BG MEO 500g"/>
      <sheetName val="BG SOPHA 200g"/>
      <sheetName val="BG SUNNEW 100g"/>
      <sheetName val="BG SUNNEW 200g"/>
      <sheetName val="BG SUNNEW 500g"/>
      <sheetName val="BG ISO 400g "/>
      <sheetName val="BG ISO 180g"/>
      <sheetName val="PIN DEN CON VOI"/>
      <sheetName val="LOP OTO 500-12"/>
      <sheetName val="LOP OTO 700-16"/>
      <sheetName val="LOP OTO 840-15"/>
      <sheetName val="LOP OTO 900-20 DN"/>
      <sheetName val="LOP OTO 1000-20 DN"/>
      <sheetName val="LOP OTO 1100-20 DN"/>
      <sheetName val="LOP OTO 1200-20 DN"/>
      <sheetName val="LOP SIAM 900"/>
      <sheetName val="LOP SIAM 1000"/>
      <sheetName val="LOP SIAM 1100"/>
      <sheetName val="SAM OTO 1000-20 DN"/>
      <sheetName val="SAM OTO 1100-20 DN"/>
      <sheetName val="SAM OTO 1200-20 DN"/>
      <sheetName val="YEM OTO 1100-20"/>
      <sheetName val="YEM OTO 1200-20"/>
      <sheetName val="ACQUY 50 A"/>
      <sheetName val="ACQUY 70 A"/>
      <sheetName val="ACQUY 100 A"/>
      <sheetName val="ACQUY 120 A"/>
      <sheetName val="ACQUY 150 A"/>
      <sheetName val="ACQUY 200 A"/>
      <sheetName val="TL BASTOR"/>
      <sheetName val="TL ERA DO"/>
      <sheetName val="TL ERA XANH"/>
      <sheetName val="TL NGUA TRANG"/>
      <sheetName val="TL DALAT DO"/>
      <sheetName val="TL DA LAT XANH"/>
      <sheetName val="TL BLU XANH"/>
      <sheetName val="Tl CHO LON"/>
      <sheetName val="MI TALIFOOD"/>
      <sheetName val="MI  SAFOOD"/>
      <sheetName val="PHO BO GA"/>
      <sheetName val="MI BO RAU THOM"/>
      <sheetName val="MI  30 GOI"/>
      <sheetName val="MI BO BIT TET"/>
      <sheetName val="MI LAU THAI"/>
      <sheetName val="MI PH DONG DO"/>
      <sheetName val="NHUA LA PHONG "/>
      <sheetName val="KEO XOP CHANH"/>
      <sheetName val="SAT  4"/>
      <sheetName val="SAT 6"/>
      <sheetName val="SAT 8"/>
      <sheetName val="SAT 10"/>
      <sheetName val="SAT 12"/>
      <sheetName val="THEP BUOC"/>
      <sheetName val="KEM GAI"/>
      <sheetName val="THEP LUOI B40"/>
      <sheetName val="NHOM LA"/>
      <sheetName val="CAN N 5 LIT"/>
      <sheetName val="CAN N 20 LIT"/>
      <sheetName val="CAN N 30 LIT"/>
      <sheetName val="NI LONG (VAI N PVC)"/>
      <sheetName val="N- RUA SUMMER"/>
      <sheetName val="N- RUA SUPER 500 ml"/>
      <sheetName val="N- RUA TLONG"/>
      <sheetName val="DAY DIEN BOC PVC "/>
      <sheetName val="VO (GIAY TRANG)"/>
      <sheetName val="TON KEM"/>
      <sheetName val="QUAT TREO TUONG"/>
      <sheetName val="SUA DAC DD"/>
      <sheetName val="SUATUOI CO DUONG"/>
      <sheetName val="SUA PN XANH"/>
      <sheetName val="SUA ONG THO DO"/>
      <sheetName val="SUA BOT RILAC NGOT"/>
      <sheetName val="SUA  BOT RILAC MAN"/>
      <sheetName val="SUA PHINO"/>
      <sheetName val="SUA BOT 1,2,3"/>
      <sheetName val="MILO 200g"/>
      <sheetName val="MILO HOP 300g"/>
      <sheetName val="MILO 400g"/>
      <sheetName val="NUOC SAM YEN"/>
      <sheetName val="CAFE NET 20 goi"/>
      <sheetName val="CAFE NET 50 goi"/>
      <sheetName val="THCTANG"/>
      <sheetName val="TBHBOI"/>
      <sheetName val="DHKK2"/>
      <sheetName val="MOC"/>
      <sheetName val="TB"/>
      <sheetName val="THCPK"/>
      <sheetName val="THDT"/>
      <sheetName val="NHAN"/>
      <sheetName val="00000001"/>
      <sheetName val="K,DTt5-6"/>
      <sheetName val="K,DTt7-11"/>
      <sheetName val="K,DTt5-6 (2)"/>
      <sheetName val="K,DTt7-11 (2)"/>
      <sheetName val="gVL"/>
      <sheetName val="PTDG"/>
      <sheetName val="DGTHDC"/>
      <sheetName val="GM"/>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1"/>
      <sheetName val="TN NEW"/>
      <sheetName val="285"/>
      <sheetName val="phangoithau"/>
      <sheetName val="TDT"/>
      <sheetName val="THCPXD"/>
      <sheetName val="cpkhac"/>
      <sheetName val="CP CBSX"/>
      <sheetName val="TN CT"/>
      <sheetName val="VLNCMTC TN"/>
      <sheetName val="CT day dan su phu kien"/>
      <sheetName val="CT xa - tiep dia"/>
      <sheetName val="THEP HINH"/>
      <sheetName val="CT cot"/>
      <sheetName val="Ct BT mong"/>
      <sheetName val="DatDao"/>
      <sheetName val="K LUONG duong day"/>
      <sheetName val="TH CTO"/>
      <sheetName val="VL-NC CTo"/>
      <sheetName val="CT cong to"/>
      <sheetName val="KL CONG TO"/>
      <sheetName val="VL DAU THAU"/>
      <sheetName val="TH DZ0,4"/>
      <sheetName val="TT"/>
      <sheetName val="VL-NC DZ0,4"/>
      <sheetName val="TH THAO DO"/>
      <sheetName val="VL-NC-MTC thao do"/>
      <sheetName val="CT THAO DO"/>
      <sheetName val="KL Thao Do"/>
      <sheetName val="YEM O_x0014_O 1100-20"/>
      <sheetName val="_x0004_T3714"/>
      <sheetName val="Phuc Hung "/>
      <sheetName val="Quang An I (3)"/>
      <sheetName val="Quang An I (2)"/>
      <sheetName val="Quang An I"/>
      <sheetName val="Long An (3)"/>
      <sheetName val="Long An (2)"/>
      <sheetName val="Long An"/>
      <sheetName val="Thanh Hung"/>
      <sheetName val="Giai Duc"/>
      <sheetName val="Tan Hoa"/>
      <sheetName val="XMXD Thong Nhat (2)"/>
      <sheetName val="XMXD Thong Nhat"/>
      <sheetName val="Viet Thai (2)"/>
      <sheetName val="Viet Thai"/>
      <sheetName val="The Quang  (3)"/>
      <sheetName val="The Quang  (2)"/>
      <sheetName val="The Quang "/>
      <sheetName val="Mong Phong"/>
      <sheetName val="Manh quang"/>
      <sheetName val="Minh chinh"/>
      <sheetName val="Ynghua"/>
      <sheetName val="Kien Dat (2)"/>
      <sheetName val="Kien Dat"/>
      <sheetName val="Khoa Dien"/>
      <sheetName val="Vi Tan"/>
      <sheetName val="INOUE "/>
      <sheetName val="EAGLE (2)"/>
      <sheetName val="EAGLE"/>
      <sheetName val="Lifan-Zhuoli"/>
      <sheetName val="Dong Thap (2)"/>
      <sheetName val="Dong Thap"/>
      <sheetName val="CKCX TLong"/>
      <sheetName val="Tong hop TT"/>
      <sheetName val="CK120"/>
      <sheetName val="CKCX1 (3)"/>
      <sheetName val="CKCX1 (2)"/>
      <sheetName val="CKCX1"/>
      <sheetName val="SON NAM"/>
      <sheetName val="LFTS"/>
      <sheetName val="Le long"/>
      <sheetName val="TRA"/>
      <sheetName val="Amoro"/>
      <sheetName val="Thien phuc"/>
      <sheetName val="DCCKXK"/>
      <sheetName val="TOAN LUC (Moi)"/>
      <sheetName val="TOAN LUC"/>
      <sheetName val="XL Dong Anh"/>
      <sheetName val="BORAMTEK"/>
      <sheetName val="A LONG"/>
      <sheetName val="DAI MO"/>
      <sheetName val="Thien Ngoc An"/>
      <sheetName val="Sheang nil"/>
      <sheetName val="XCD (2)"/>
      <sheetName val="Meinfa (2)"/>
      <sheetName val="Meinfa"/>
      <sheetName val="THXM-tr"/>
      <sheetName val="pp3x!"/>
      <sheetName val="VL_NC_溼_XL_khac"/>
      <sheetName val="vtôiuhoi"/>
      <sheetName val="BIA HUD_x0001_ LON"/>
      <sheetName val="KH-Q1,Q2,01"/>
      <sheetName val="KL_dak_Lap_dat"/>
      <sheetName val="KL_cot[thep"/>
      <sheetName val="Tong_GT_khac_Pbo_v!n_GT"/>
      <sheetName val="1-1"/>
      <sheetName val="Khoi luong"/>
      <sheetName val="BAOGIATHANG"/>
      <sheetName val="DAODAT"/>
      <sheetName val="vanchuyen TC"/>
      <sheetName val="ctdg"/>
      <sheetName val="桃彩楴瑥损瑯灟慨_x0012_䌀楨瑥瑟湩彨潤"/>
      <sheetName val="Chart1"/>
      <sheetName val="TDTH"/>
      <sheetName val=""/>
      <sheetName val="jannkc"/>
      <sheetName val="JAN-05"/>
      <sheetName val="FEB-05 -NKC"/>
      <sheetName val="FEB-05"/>
      <sheetName val="NKCMAR05"/>
      <sheetName val="MAR 05"/>
      <sheetName val="APRIL NKC"/>
      <sheetName val="LOTHEPPHULAM"/>
      <sheetName val="loamiang16"/>
      <sheetName val="APRIL"/>
      <sheetName val="may"/>
      <sheetName val="maynkc"/>
      <sheetName val="chi Ngoc"/>
      <sheetName val="NKCJUNE"/>
      <sheetName val="JUNE"/>
      <sheetName val="nkcjuly"/>
      <sheetName val="JULY"/>
      <sheetName val="၃hi_tiet_cot_pha"/>
      <sheetName val="NEW-PANEL"/>
      <sheetName val="Vat tu"/>
      <sheetName val="giathanh1"/>
      <sheetName val="DONGIA"/>
      <sheetName val="TTVanChuyen"/>
      <sheetName val="Tinh_CT__x0003__x0000_o_dat"/>
      <sheetName val="CL17_x0000_7"/>
      <sheetName val="VL_NC_?_XL_khac"/>
      <sheetName val="Rheet30"/>
      <sheetName val="Sheed27"/>
      <sheetName val="bia"/>
      <sheetName val="TH "/>
      <sheetName val="van chuyen"/>
      <sheetName val="KL"/>
      <sheetName val="Phan-Tich"/>
      <sheetName val="20000000"/>
      <sheetName val="30000000"/>
      <sheetName val="Cty"/>
      <sheetName val="Trả nợ"/>
      <sheetName val="Nhập"/>
      <sheetName val="K.Toan"/>
      <sheetName val="KTNXT"/>
      <sheetName val="Tinh_CT_da䁯_dat_Luu"/>
      <sheetName val="khung ten TD"/>
      <sheetName val="Tinh_CT_dao_dat_Lue"/>
      <sheetName val="Sheet6"/>
      <sheetName val="THANG 4"/>
      <sheetName val="Sheet17"/>
      <sheetName val="Sheet7"/>
      <sheetName val="Sheet8"/>
      <sheetName val="Sheet9"/>
      <sheetName val="Sheet10"/>
      <sheetName val="Sheet11"/>
      <sheetName val="Sheet12"/>
      <sheetName val="Sheet13"/>
      <sheetName val="Sheet14"/>
      <sheetName val="Sheet15"/>
      <sheetName val="Sheet16"/>
      <sheetName val="h"/>
      <sheetName val="nhot1"/>
      <sheetName val="nhot0.8"/>
      <sheetName val="nhot0,7"/>
      <sheetName val="F020"/>
      <sheetName val="R020-4"/>
      <sheetName val="R020-6"/>
      <sheetName val="F100"/>
      <sheetName val="R100-4"/>
      <sheetName val="R100-6"/>
      <sheetName val="F200"/>
      <sheetName val="R200-4"/>
      <sheetName val="R200-6"/>
      <sheetName val="F300"/>
      <sheetName val="R300-4"/>
      <sheetName val="R300-6"/>
      <sheetName val="F300VN"/>
      <sheetName val="R300-4VN"/>
      <sheetName val="R300-6VN"/>
      <sheetName val="F400"/>
      <sheetName val="R400-4"/>
      <sheetName val="R400-6"/>
      <sheetName val="90-100-SPACY"/>
      <sheetName val="SAM25-50"/>
      <sheetName val="SAM75"/>
      <sheetName val="nhot1-ES"/>
      <sheetName val="nhot 0,8-ES"/>
      <sheetName val="sen AP 428"/>
      <sheetName val="sen AP420"/>
      <sheetName val="sen YBN 428"/>
      <sheetName val="ron mayC50+70"/>
      <sheetName val="ron mayC100"/>
      <sheetName val="ron mayW110"/>
      <sheetName val="ronmayYAMAHA"/>
      <sheetName val="ronmaySUZUKI"/>
      <sheetName val="ronmayBEST"/>
      <sheetName val="ronmaySwan,TQ110,TQ100"/>
      <sheetName val="ronmayC50,70FG"/>
      <sheetName val="ronmayC100FG"/>
      <sheetName val="rondauC50,70"/>
      <sheetName val="rondau C50,70FG"/>
      <sheetName val="rondau C100"/>
      <sheetName val="rondau C100FG"/>
      <sheetName val="rondau W110"/>
      <sheetName val="rondau Yamaha"/>
      <sheetName val="rondau Suxuki"/>
      <sheetName val="rondau Best"/>
      <sheetName val="rondau Swan,TQ110,TQ100"/>
      <sheetName val="cong DST2"/>
      <sheetName val="cong DS T1"/>
      <sheetName val="T1"/>
      <sheetName val="PTT1"/>
      <sheetName val="pT12"/>
      <sheetName val="Sua"/>
      <sheetName val="TT661"/>
      <sheetName val="T661-2"/>
      <sheetName val="T661"/>
      <sheetName val="ManhԀ_x0000__x0000__x0000_Ȁ"/>
      <sheetName val="DãtDao"/>
      <sheetName val="TH C_x0017_O"/>
      <sheetName val="KLãCONG TO"/>
      <sheetName val="TH DZ0,t"/>
      <sheetName val="CT THAO EO"/>
      <sheetName val="ÈL_dak_Lap_dat"/>
      <sheetName val="PTDG_x0006__x0000__x0000_DGTHDC_x0002__x0000__x0000_GM_x0003__x0000__x0000_GVL_x0003__x0000__x0000_GN@_x0004_"/>
      <sheetName val="thau.xls]SAM OTO 1100-20 DN"/>
      <sheetName val="toketoanCLD MSTS"/>
      <sheetName val="Manh︀ᇕ԰_x0000_缀"/>
      <sheetName val="ManhԀ_x0000__x0000__x0000_"/>
      <sheetName val="Manh԰"/>
      <sheetName val="S-SKTM"/>
      <sheetName val="S-BDMTK"/>
      <sheetName val="SQTM"/>
      <sheetName val="SNKTT"/>
      <sheetName val="BCDTKKT"/>
      <sheetName val="BCKQHDKD"/>
      <sheetName val="TGTGTDKT"/>
      <sheetName val="SOCAI"/>
      <sheetName val="Manh?_x0000__x0000__x0000_?"/>
      <sheetName val="PTDG_x0006__x0000_DGTHDC_x0002__x0000_GM_x0003__x0000_GVL_x0003__x0000_GN@_x0004__x0000_DKT"/>
      <sheetName val="TH MUONG_x0007__x0000__x0000_Sheet24_x0007__x0000__x0000_heet25_x0007__x0000__x0000_"/>
      <sheetName val="Manh???_x0000_?"/>
      <sheetName val="Manh?"/>
      <sheetName val="????????_x0012_???????"/>
      <sheetName val="ManhԀ???Ȁ"/>
      <sheetName val="PTDG_x0006_??DGTHDC_x0002_??GM_x0003_??GVL_x0003_??GN@_x0004_"/>
      <sheetName val="Manh︀ᇕ԰?缀"/>
      <sheetName val="ManhԀ???"/>
      <sheetName val="Manh?????"/>
      <sheetName val="PTDG_x0006_?DGTHDC_x0002_?GM_x0003_?GVL_x0003_?GN@_x0004_?DKT"/>
      <sheetName val="TH MUONG_x0007_??Sheet24_x0007_??heet25_x0007_??"/>
      <sheetName val="Manh??????"/>
      <sheetName val="ManhԀ???Ȁ?"/>
      <sheetName val="Manh???"/>
      <sheetName val="TH MUONG_x0007_?Sheet24_x0007_?heet25_x0007_?"/>
      <sheetName val="tr_x0000__x0000_1x50"/>
      <sheetName val="ACQ_x0000__x0000_ 70 A"/>
      <sheetName val="Don_giaíCTC"/>
      <sheetName val="PTDG_x0006_?DGTHDC_x0002_?GM_x0003_?GVL_x0003_?GN@_x0004_"/>
      <sheetName val="?hi_tiet_cot_pha"/>
      <sheetName val="Tr? n?"/>
      <sheetName val="Nh?p"/>
      <sheetName val="DINH MUC"/>
      <sheetName val="A301"/>
      <sheetName val="cc"/>
      <sheetName val="Tinh_CT__x0003_?o_dat"/>
      <sheetName val="CL17?7"/>
      <sheetName val="DGXDCB_DD"/>
      <sheetName val="DG CANTHO"/>
      <sheetName val="Dutoan KL"/>
      <sheetName val="PT VATTU"/>
      <sheetName val="TH MUONG_x0007__x0000__x0000_Sheet24_x0007__x0000__x0000_“heet25_x0007__x0000__x0000_"/>
      <sheetName val="TH MUONG_x0007_??Sheet24_x0007_??“heet25_x0007_??"/>
      <sheetName val="TH MUONG_x0007_?Sheet24_x0007_?“heet25_x0007_?"/>
      <sheetName val="[Gia_$hau.xls_x0005_CL6463"/>
      <sheetName val="MTO REV.2(ARMOR)"/>
      <sheetName val="k,dd1"/>
      <sheetName val="Soî"/>
      <sheetName val="DATA"/>
      <sheetName val="Summary"/>
      <sheetName val="T10"/>
      <sheetName val="T11"/>
      <sheetName val="T12"/>
      <sheetName val="SQ12"/>
      <sheetName val="12(2)"/>
      <sheetName val="CL200_x0019_"/>
      <sheetName val="CD2895"/>
      <sheetName val="DT41_x0017_2"/>
      <sheetName val="CL6&amp;53"/>
      <sheetName val="DT_x0018_654"/>
      <sheetName val="BIA SG _x0013_30"/>
      <sheetName val="BG MEO 5 0g"/>
      <sheetName val="BG SUNNEW !00g"/>
      <sheetName val="LKP OTO 1000-20 DN"/>
      <sheetName val="LOP OTO 1100%20 DN"/>
      <sheetName val="YEI OTO 1200-20"/>
      <sheetName val="DS-nop"/>
      <sheetName val="DS-nop T12.03"/>
      <sheetName val="DS nop quý IV"/>
      <sheetName val="DS nop quý IV.04"/>
      <sheetName val="DSnop quý III.04"/>
      <sheetName val="DSnop quý II.04"/>
      <sheetName val="DSnop quý I.04"/>
      <sheetName val="DS-nop T11.03"/>
      <sheetName val="thang 1"/>
      <sheetName val="THANG 3"/>
      <sheetName val="bdkdt"/>
      <sheetName val="Lai lo 05"/>
      <sheetName val="LK1111"/>
      <sheetName val="tc"/>
      <sheetName val="CL28&quot;8"/>
      <sheetName val="tbam3x25"/>
      <sheetName val="`p1p"/>
      <sheetName val="dtxl"/>
      <sheetName val="DANHPHAP"/>
      <sheetName val="MT"/>
      <sheetName val="th"/>
      <sheetName val="HDCT"/>
      <sheetName val="HDBT"/>
      <sheetName val="2003"/>
      <sheetName val="LK"/>
      <sheetName val="CHO"/>
      <sheetName val="NDU"/>
      <sheetName val="MAU"/>
      <sheetName val="LMC"/>
      <sheetName val="LG CT"/>
      <sheetName val="UBDS"/>
      <sheetName val="TH-TL"/>
      <sheetName val="UB-TL"/>
      <sheetName val="GDTX"/>
      <sheetName val="AN"/>
      <sheetName val="HH"/>
      <sheetName val="H-TR"/>
      <sheetName val="C.CA"/>
      <sheetName val="C.XANG"/>
      <sheetName val="XS"/>
      <sheetName val="BH"/>
      <sheetName val="Bang doc"/>
      <sheetName val="Bang ngang"/>
      <sheetName val="TK 111"/>
      <sheetName val="PB CCDC"/>
      <sheetName val="TK 154"/>
      <sheetName val="BHXH"/>
      <sheetName val="CDPS"/>
      <sheetName val="CDTK"/>
      <sheetName val="TK 331,311"/>
      <sheetName val="TK 1413"/>
      <sheetName val="TK 152,153"/>
      <sheetName val="Thuong tet"/>
      <sheetName val="Btt luong"/>
      <sheetName val="Bang cc"/>
      <sheetName val="Du toan"/>
      <sheetName val="ACQUY 50 A_x0000_ȝ"/>
      <sheetName val="TH헾】_x0005__x0000_"/>
      <sheetName val="TDTKP"/>
      <sheetName val="DK-KH"/>
      <sheetName val="KL_daoWLap_dat"/>
      <sheetName val="La._trai_ta-"/>
      <sheetName val="Chuyej_quan"/>
      <sheetName val="VLONC_M_XL_khac"/>
      <sheetName val="@ap_Dat"/>
      <sheetName val="Tinh[CT_dak_dat"/>
      <sheetName val="DonOgia_VCTC"/>
      <sheetName val="XL$Test5"/>
      <sheetName val="Bang 6e"/>
      <sheetName val="GiaQu9en"/>
      <sheetName val="T T CL VC DZ 22"/>
      <sheetName val="CT35"/>
      <sheetName val="PTCT"/>
      <sheetName val="THANG1_2004"/>
      <sheetName val="QBINH"/>
      <sheetName val="QTRI"/>
      <sheetName val="DNANG"/>
      <sheetName val="QNAM"/>
      <sheetName val="QNGAI"/>
      <sheetName val="BDINH"/>
      <sheetName val="PYEN"/>
      <sheetName val="KHOA"/>
      <sheetName val="GLAI"/>
      <sheetName val="KTUM"/>
      <sheetName val="DLAK"/>
      <sheetName val="Tiepdia"/>
      <sheetName val="TT1924"/>
      <sheetName val="DGchitiet "/>
      <sheetName val="Tinh_CT__x0003_"/>
    </sheetNames>
    <sheetDataSet>
      <sheetData sheetId="0"/>
      <sheetData sheetId="1" refreshError="1">
        <row r="6">
          <cell r="C6">
            <v>1.5644349070100143</v>
          </cell>
        </row>
        <row r="19">
          <cell r="C19">
            <v>8761.9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refreshError="1"/>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sheetData sheetId="447"/>
      <sheetData sheetId="448" refreshError="1"/>
      <sheetData sheetId="449" refreshError="1"/>
      <sheetData sheetId="450"/>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sheetData sheetId="464" refreshError="1"/>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refreshError="1"/>
      <sheetData sheetId="506" refreshError="1"/>
      <sheetData sheetId="507" refreshError="1"/>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refreshError="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sheetData sheetId="588"/>
      <sheetData sheetId="589"/>
      <sheetData sheetId="590"/>
      <sheetData sheetId="591"/>
      <sheetData sheetId="592"/>
      <sheetData sheetId="593"/>
      <sheetData sheetId="594"/>
      <sheetData sheetId="595"/>
      <sheetData sheetId="596"/>
      <sheetData sheetId="597"/>
      <sheetData sheetId="598"/>
      <sheetData sheetId="599" refreshError="1"/>
      <sheetData sheetId="600" refreshError="1"/>
      <sheetData sheetId="601" refreshError="1"/>
      <sheetData sheetId="602" refreshError="1"/>
      <sheetData sheetId="603" refreshError="1"/>
      <sheetData sheetId="604" refreshError="1"/>
      <sheetData sheetId="605"/>
      <sheetData sheetId="606" refreshError="1"/>
      <sheetData sheetId="607"/>
      <sheetData sheetId="608"/>
      <sheetData sheetId="609"/>
      <sheetData sheetId="610"/>
      <sheetData sheetId="611"/>
      <sheetData sheetId="612"/>
      <sheetData sheetId="613"/>
      <sheetData sheetId="614"/>
      <sheetData sheetId="615"/>
      <sheetData sheetId="616"/>
      <sheetData sheetId="617"/>
      <sheetData sheetId="618" refreshError="1"/>
      <sheetData sheetId="619"/>
      <sheetData sheetId="620" refreshError="1"/>
      <sheetData sheetId="621" refreshError="1"/>
      <sheetData sheetId="622" refreshError="1"/>
      <sheetData sheetId="623"/>
      <sheetData sheetId="624"/>
      <sheetData sheetId="625"/>
      <sheetData sheetId="626"/>
      <sheetData sheetId="627"/>
      <sheetData sheetId="628" refreshError="1"/>
      <sheetData sheetId="629" refreshError="1"/>
      <sheetData sheetId="630" refreshError="1"/>
      <sheetData sheetId="631" refreshError="1"/>
      <sheetData sheetId="632" refreshError="1"/>
      <sheetData sheetId="633"/>
      <sheetData sheetId="634"/>
      <sheetData sheetId="635" refreshError="1"/>
      <sheetData sheetId="636" refreshError="1"/>
      <sheetData sheetId="637"/>
      <sheetData sheetId="638"/>
      <sheetData sheetId="639" refreshError="1"/>
      <sheetData sheetId="640" refreshError="1"/>
      <sheetData sheetId="641"/>
      <sheetData sheetId="642"/>
      <sheetData sheetId="643"/>
      <sheetData sheetId="644"/>
      <sheetData sheetId="645"/>
      <sheetData sheetId="646" refreshError="1"/>
      <sheetData sheetId="647" refreshError="1"/>
      <sheetData sheetId="648" refreshError="1"/>
      <sheetData sheetId="649" refreshError="1"/>
      <sheetData sheetId="650" refreshError="1"/>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refreshError="1"/>
      <sheetData sheetId="666" refreshError="1"/>
      <sheetData sheetId="667" refreshError="1"/>
      <sheetData sheetId="668"/>
      <sheetData sheetId="669"/>
      <sheetData sheetId="670" refreshError="1"/>
      <sheetData sheetId="67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sheetData sheetId="696"/>
      <sheetData sheetId="697"/>
      <sheetData sheetId="698"/>
      <sheetData sheetId="699"/>
      <sheetData sheetId="700"/>
      <sheetData sheetId="701" refreshError="1"/>
      <sheetData sheetId="702"/>
      <sheetData sheetId="703"/>
      <sheetData sheetId="704" refreshError="1"/>
      <sheetData sheetId="705" refreshError="1"/>
      <sheetData sheetId="706" refreshError="1"/>
      <sheetData sheetId="707"/>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VL, NC, DDHT Thanhphuoc"/>
      <sheetName val="CHITIET VL-NC (2)"/>
      <sheetName val="lkbv"/>
      <sheetName val="DON GIA"/>
      <sheetName val="TONGKE3p"/>
      <sheetName val="TONGKE1P"/>
      <sheetName val="TONGKE1P (2)"/>
      <sheetName val="LKVT-1P"/>
      <sheetName val="t-h TT1P (2)"/>
      <sheetName val="TDTKP (2)"/>
      <sheetName val="CHITIET VL-NC-TT1p"/>
      <sheetName val="t-h TT3P"/>
      <sheetName val="CHITIET VL-NC-DDTT3PHA  (2)"/>
      <sheetName val="TONG HOP VL-NC"/>
      <sheetName val="Chi tiet TRAM HA THE (2)"/>
      <sheetName val="TONGKEHT"/>
      <sheetName val="TONGKE-T"/>
      <sheetName val="LKVTHT"/>
      <sheetName val="LKVT-TRAM"/>
      <sheetName val="LKVT-TRAM (2)"/>
      <sheetName val="DAYSUPHUKIEN ha the"/>
      <sheetName val="Sheet2"/>
      <sheetName val="Chi tiet TRAM HA THE"/>
      <sheetName val="DAYSUPHUKIEN-3PHA Thanhphuoc"/>
      <sheetName val="CHITIET VL-NCTR (2)"/>
      <sheetName val="CHITIET VL-NCHT1"/>
      <sheetName val="DON GIA DD"/>
      <sheetName val="DON GIA TRAM"/>
      <sheetName val="THPD "/>
      <sheetName val="CHITIET VL-NCTR"/>
      <sheetName val="t-h HA THE"/>
      <sheetName val="HT"/>
      <sheetName val="VCDDHT"/>
      <sheetName val="TH VL_ NC_ DDHT Thanhphuoc"/>
      <sheetName val="TKP"/>
      <sheetName val="HTBACHUC"/>
      <sheetName val="th1"/>
      <sheetName val="th2"/>
      <sheetName val="th3"/>
      <sheetName val="th4"/>
      <sheetName val="th5"/>
      <sheetName val="th6"/>
      <sheetName val="th7"/>
      <sheetName val="th8"/>
      <sheetName val="th9"/>
      <sheetName val="th10"/>
      <sheetName val="th11"/>
      <sheetName val="th12"/>
      <sheetName val="00000000"/>
      <sheetName val="10000000"/>
      <sheetName val="20000000"/>
      <sheetName val="30000000"/>
      <sheetName val="Du_lieu"/>
      <sheetName val="chitiet"/>
      <sheetName val="DG"/>
      <sheetName val="VC_x0000__x0000__x0000__x0000_"/>
      <sheetName val="VC????"/>
      <sheetName val="BETON"/>
      <sheetName val="BIA (2)"/>
      <sheetName val="CHITIET-TT1p"/>
      <sheetName val="CHITIET VL-NC-DDTT3PHA  (3)"/>
      <sheetName val="VC-3P"/>
      <sheetName val="dg_VTu"/>
      <sheetName val="CHITIET VL-NC-TT -1p"/>
      <sheetName val="CHITIET VL-NC-TT-3p"/>
      <sheetName val="TONG HOP VL-NC TT"/>
      <sheetName val="TDTKP1"/>
      <sheetName val="KPVC-BD "/>
      <sheetName val="TNHCHINH"/>
      <sheetName val="TONGKE-HT"/>
      <sheetName val="VC____"/>
      <sheetName val="CHITIET VL_NC_TT _1p"/>
      <sheetName val="CHITIET VL_NC_TT_3p"/>
      <sheetName val="TONG HOP VL_NC TT"/>
      <sheetName val="KPVC_BD "/>
      <sheetName val="dg tphcm"/>
    </sheetNames>
    <sheetDataSet>
      <sheetData sheetId="0" refreshError="1">
        <row r="19">
          <cell r="J19">
            <v>102751598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sheetData sheetId="29" refreshError="1"/>
      <sheetData sheetId="30"/>
      <sheetData sheetId="31" refreshError="1"/>
      <sheetData sheetId="32" refreshError="1"/>
      <sheetData sheetId="33"/>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
      <sheetName val="Sheet16"/>
      <sheetName val="TONGKE-HT"/>
      <sheetName val="LKVL-CK-HT-GD1"/>
      <sheetName val="TH VL, NC, DDHT Thanhphuoc"/>
    </sheetNames>
    <sheetDataSet>
      <sheetData sheetId="0" refreshError="1">
        <row r="4">
          <cell r="A4">
            <v>3</v>
          </cell>
          <cell r="B4">
            <v>2</v>
          </cell>
          <cell r="C4">
            <v>3</v>
          </cell>
          <cell r="D4">
            <v>4</v>
          </cell>
          <cell r="E4">
            <v>5</v>
          </cell>
          <cell r="F4">
            <v>6</v>
          </cell>
          <cell r="G4">
            <v>7</v>
          </cell>
          <cell r="H4">
            <v>8</v>
          </cell>
          <cell r="I4">
            <v>9</v>
          </cell>
        </row>
        <row r="5">
          <cell r="A5" t="str">
            <v>D12</v>
          </cell>
          <cell r="C5" t="str">
            <v>Ñaø caûn BTCT 1.2m</v>
          </cell>
          <cell r="D5" t="str">
            <v>caùi</v>
          </cell>
          <cell r="F5">
            <v>59000</v>
          </cell>
          <cell r="I5">
            <v>59000</v>
          </cell>
        </row>
        <row r="6">
          <cell r="A6" t="str">
            <v>D15</v>
          </cell>
          <cell r="C6" t="str">
            <v>Ñaø caûn BTCT 1.5m</v>
          </cell>
          <cell r="D6" t="str">
            <v>caùi</v>
          </cell>
          <cell r="F6">
            <v>166000</v>
          </cell>
          <cell r="I6">
            <v>166000</v>
          </cell>
        </row>
        <row r="7">
          <cell r="A7" t="str">
            <v>D20</v>
          </cell>
          <cell r="C7" t="str">
            <v>Ñaø caûn BTCT 2,0m</v>
          </cell>
          <cell r="D7" t="str">
            <v>caùi</v>
          </cell>
          <cell r="F7">
            <v>293000</v>
          </cell>
          <cell r="I7">
            <v>293000</v>
          </cell>
        </row>
        <row r="8">
          <cell r="A8" t="str">
            <v>D25</v>
          </cell>
          <cell r="C8" t="str">
            <v>Ñaø caûn BTCT 2,5m</v>
          </cell>
          <cell r="D8" t="str">
            <v>caùi</v>
          </cell>
          <cell r="F8">
            <v>351000</v>
          </cell>
          <cell r="I8">
            <v>351000</v>
          </cell>
        </row>
        <row r="9">
          <cell r="A9" t="str">
            <v>DN400</v>
          </cell>
          <cell r="C9" t="str">
            <v>Ñeá neo BTCT 400x1500</v>
          </cell>
          <cell r="D9" t="str">
            <v>caùi</v>
          </cell>
          <cell r="F9">
            <v>141500</v>
          </cell>
          <cell r="I9">
            <v>141500</v>
          </cell>
        </row>
        <row r="10">
          <cell r="A10" t="str">
            <v>DN600</v>
          </cell>
          <cell r="C10" t="str">
            <v>Ñeá neo BTCT 600x1500</v>
          </cell>
          <cell r="D10" t="str">
            <v>caùi</v>
          </cell>
          <cell r="F10">
            <v>190500</v>
          </cell>
          <cell r="I10">
            <v>190500</v>
          </cell>
        </row>
        <row r="11">
          <cell r="A11" t="str">
            <v>DN1500</v>
          </cell>
          <cell r="C11" t="str">
            <v>Ñeá neo BTCT 1500x500</v>
          </cell>
          <cell r="D11" t="str">
            <v>caùi</v>
          </cell>
          <cell r="F11">
            <v>170000</v>
          </cell>
          <cell r="I11">
            <v>170000</v>
          </cell>
        </row>
        <row r="12">
          <cell r="A12" t="str">
            <v>DN1200</v>
          </cell>
          <cell r="C12" t="str">
            <v>Ñeá neo BTCT 1200x500</v>
          </cell>
          <cell r="D12" t="str">
            <v>caùi</v>
          </cell>
          <cell r="F12">
            <v>110000</v>
          </cell>
          <cell r="I12">
            <v>110000</v>
          </cell>
        </row>
        <row r="13">
          <cell r="A13" t="str">
            <v>BNH</v>
          </cell>
          <cell r="C13" t="str">
            <v>Bieån soá - Baûng nguy hieåm</v>
          </cell>
          <cell r="D13" t="str">
            <v>caùi</v>
          </cell>
          <cell r="F13">
            <v>10000</v>
          </cell>
          <cell r="I13">
            <v>10000</v>
          </cell>
        </row>
        <row r="14">
          <cell r="A14" t="str">
            <v>bso</v>
          </cell>
          <cell r="C14" t="str">
            <v>Baûng soá truï</v>
          </cell>
          <cell r="D14" t="str">
            <v>caùi</v>
          </cell>
          <cell r="F14">
            <v>15000</v>
          </cell>
        </row>
        <row r="15">
          <cell r="A15" t="str">
            <v>B460</v>
          </cell>
          <cell r="C15" t="str">
            <v>Boulon 4x60</v>
          </cell>
          <cell r="D15" t="str">
            <v>boä</v>
          </cell>
          <cell r="F15">
            <v>500</v>
          </cell>
          <cell r="I15">
            <v>500</v>
          </cell>
        </row>
        <row r="16">
          <cell r="A16" t="str">
            <v>B1040</v>
          </cell>
          <cell r="C16" t="str">
            <v>Boulon 10x40</v>
          </cell>
          <cell r="D16" t="str">
            <v>boä</v>
          </cell>
          <cell r="F16">
            <v>800</v>
          </cell>
          <cell r="I16">
            <v>800</v>
          </cell>
        </row>
        <row r="17">
          <cell r="A17" t="str">
            <v>B1050</v>
          </cell>
          <cell r="C17" t="str">
            <v>Boulon 10x50</v>
          </cell>
          <cell r="D17" t="str">
            <v>boä</v>
          </cell>
          <cell r="F17">
            <v>800</v>
          </cell>
          <cell r="I17">
            <v>800</v>
          </cell>
        </row>
        <row r="18">
          <cell r="A18" t="str">
            <v>B1230</v>
          </cell>
          <cell r="C18" t="str">
            <v>Boulon 12x30</v>
          </cell>
          <cell r="D18" t="str">
            <v>boä</v>
          </cell>
          <cell r="F18">
            <v>800</v>
          </cell>
          <cell r="I18">
            <v>800</v>
          </cell>
        </row>
        <row r="19">
          <cell r="A19" t="str">
            <v>B1240</v>
          </cell>
          <cell r="C19" t="str">
            <v>Boulon 12x40</v>
          </cell>
          <cell r="D19" t="str">
            <v>boä</v>
          </cell>
          <cell r="F19">
            <v>1000</v>
          </cell>
          <cell r="I19">
            <v>1000</v>
          </cell>
        </row>
        <row r="20">
          <cell r="A20" t="str">
            <v>B1245</v>
          </cell>
          <cell r="C20" t="str">
            <v>Boulon 12x45</v>
          </cell>
          <cell r="D20" t="str">
            <v>boä</v>
          </cell>
          <cell r="F20">
            <v>1000</v>
          </cell>
          <cell r="I20">
            <v>1000</v>
          </cell>
        </row>
        <row r="21">
          <cell r="A21" t="str">
            <v>B1245CU</v>
          </cell>
          <cell r="C21" t="str">
            <v>Boulon 12x45 ñoàng</v>
          </cell>
          <cell r="D21" t="str">
            <v>boä</v>
          </cell>
          <cell r="F21">
            <v>3000</v>
          </cell>
          <cell r="I21">
            <v>3000</v>
          </cell>
        </row>
        <row r="22">
          <cell r="A22" t="str">
            <v>B1250</v>
          </cell>
          <cell r="C22" t="str">
            <v>Boulon 12x50</v>
          </cell>
          <cell r="D22" t="str">
            <v>boä</v>
          </cell>
          <cell r="F22">
            <v>1200</v>
          </cell>
          <cell r="I22">
            <v>1200</v>
          </cell>
        </row>
        <row r="23">
          <cell r="A23" t="str">
            <v>B1260</v>
          </cell>
          <cell r="C23" t="str">
            <v>Boulon 12x60</v>
          </cell>
          <cell r="D23" t="str">
            <v>boä</v>
          </cell>
          <cell r="F23">
            <v>1500</v>
          </cell>
          <cell r="I23">
            <v>1500</v>
          </cell>
        </row>
        <row r="24">
          <cell r="A24" t="str">
            <v>B1450</v>
          </cell>
          <cell r="C24" t="str">
            <v>Boulon 14x50</v>
          </cell>
          <cell r="D24" t="str">
            <v>boä</v>
          </cell>
          <cell r="F24">
            <v>1500</v>
          </cell>
          <cell r="I24">
            <v>1500</v>
          </cell>
        </row>
        <row r="25">
          <cell r="A25" t="str">
            <v>B16100V</v>
          </cell>
          <cell r="C25" t="str">
            <v>Boulon 16x100/100</v>
          </cell>
          <cell r="D25" t="str">
            <v>boä</v>
          </cell>
          <cell r="F25">
            <v>3200</v>
          </cell>
          <cell r="I25">
            <v>3200</v>
          </cell>
        </row>
        <row r="26">
          <cell r="A26" t="str">
            <v>B1680V</v>
          </cell>
          <cell r="C26" t="str">
            <v>Boulon 16x80/80</v>
          </cell>
          <cell r="D26" t="str">
            <v>boä</v>
          </cell>
          <cell r="F26">
            <v>3000</v>
          </cell>
          <cell r="I26">
            <v>3000</v>
          </cell>
        </row>
        <row r="27">
          <cell r="A27" t="str">
            <v>B16230</v>
          </cell>
          <cell r="C27" t="str">
            <v>Boulon 16x230/80</v>
          </cell>
          <cell r="D27" t="str">
            <v>boä</v>
          </cell>
          <cell r="F27">
            <v>6000</v>
          </cell>
          <cell r="I27">
            <v>6000</v>
          </cell>
        </row>
        <row r="28">
          <cell r="A28" t="str">
            <v>B16240</v>
          </cell>
          <cell r="C28" t="str">
            <v>Boulon 16x240/80</v>
          </cell>
          <cell r="D28" t="str">
            <v>boä</v>
          </cell>
          <cell r="F28">
            <v>5500</v>
          </cell>
          <cell r="I28">
            <v>5500</v>
          </cell>
        </row>
        <row r="29">
          <cell r="A29" t="str">
            <v>B16250</v>
          </cell>
          <cell r="C29" t="str">
            <v>Boulon 16x250</v>
          </cell>
          <cell r="D29" t="str">
            <v>boä</v>
          </cell>
          <cell r="F29">
            <v>6000</v>
          </cell>
          <cell r="I29">
            <v>6000</v>
          </cell>
        </row>
        <row r="30">
          <cell r="A30" t="str">
            <v>B16260</v>
          </cell>
          <cell r="C30" t="str">
            <v>Boulon 16x260/80</v>
          </cell>
          <cell r="D30" t="str">
            <v>boä</v>
          </cell>
          <cell r="F30">
            <v>6000</v>
          </cell>
          <cell r="I30">
            <v>6000</v>
          </cell>
        </row>
        <row r="31">
          <cell r="A31" t="str">
            <v>B16280</v>
          </cell>
          <cell r="C31" t="str">
            <v>Boulon 16x280/80</v>
          </cell>
          <cell r="D31" t="str">
            <v>boä</v>
          </cell>
          <cell r="F31">
            <v>6500</v>
          </cell>
          <cell r="I31">
            <v>6500</v>
          </cell>
        </row>
        <row r="32">
          <cell r="A32" t="str">
            <v>B16300</v>
          </cell>
          <cell r="C32" t="str">
            <v>Boulon 16x300</v>
          </cell>
          <cell r="D32" t="str">
            <v>boä</v>
          </cell>
          <cell r="F32">
            <v>7500</v>
          </cell>
          <cell r="I32">
            <v>7500</v>
          </cell>
        </row>
        <row r="33">
          <cell r="A33" t="str">
            <v>B16320</v>
          </cell>
          <cell r="C33" t="str">
            <v>Boulon 16x320</v>
          </cell>
          <cell r="D33" t="str">
            <v>boä</v>
          </cell>
          <cell r="F33">
            <v>7500</v>
          </cell>
          <cell r="I33">
            <v>7500</v>
          </cell>
        </row>
        <row r="34">
          <cell r="A34" t="str">
            <v>B16350</v>
          </cell>
          <cell r="C34" t="str">
            <v>Boulon 16x350</v>
          </cell>
          <cell r="D34" t="str">
            <v>boä</v>
          </cell>
          <cell r="F34">
            <v>8000</v>
          </cell>
          <cell r="I34">
            <v>8000</v>
          </cell>
        </row>
        <row r="35">
          <cell r="A35" t="str">
            <v>B16450</v>
          </cell>
          <cell r="C35" t="str">
            <v>Boulon 16x350</v>
          </cell>
          <cell r="D35" t="str">
            <v>boä</v>
          </cell>
          <cell r="F35">
            <v>8500</v>
          </cell>
          <cell r="I35">
            <v>8500</v>
          </cell>
        </row>
        <row r="36">
          <cell r="A36" t="str">
            <v>B16400v</v>
          </cell>
          <cell r="C36" t="str">
            <v>Boulon 16x400VRS</v>
          </cell>
          <cell r="D36" t="str">
            <v>boä</v>
          </cell>
          <cell r="F36">
            <v>8500</v>
          </cell>
          <cell r="I36">
            <v>8500</v>
          </cell>
        </row>
        <row r="37">
          <cell r="A37" t="str">
            <v>B16450v</v>
          </cell>
          <cell r="C37" t="str">
            <v>Boulon 16x450VRS</v>
          </cell>
          <cell r="D37" t="str">
            <v>boä</v>
          </cell>
          <cell r="F37">
            <v>11000</v>
          </cell>
          <cell r="I37">
            <v>8500</v>
          </cell>
        </row>
        <row r="38">
          <cell r="A38" t="str">
            <v>B16500</v>
          </cell>
          <cell r="C38" t="str">
            <v>Boulon 16x500</v>
          </cell>
          <cell r="D38" t="str">
            <v>boä</v>
          </cell>
          <cell r="F38">
            <v>10000</v>
          </cell>
          <cell r="I38">
            <v>18000</v>
          </cell>
        </row>
        <row r="39">
          <cell r="A39" t="str">
            <v>B16200V</v>
          </cell>
          <cell r="C39" t="str">
            <v>Boulon 16x200VRS</v>
          </cell>
          <cell r="D39" t="str">
            <v>boä</v>
          </cell>
          <cell r="F39">
            <v>6000</v>
          </cell>
          <cell r="I39">
            <v>6000</v>
          </cell>
        </row>
        <row r="40">
          <cell r="A40" t="str">
            <v>B16300V</v>
          </cell>
          <cell r="C40" t="str">
            <v>Boulon 16x300VRS</v>
          </cell>
          <cell r="D40" t="str">
            <v>boä</v>
          </cell>
          <cell r="F40">
            <v>8500</v>
          </cell>
          <cell r="I40">
            <v>8500</v>
          </cell>
        </row>
        <row r="41">
          <cell r="A41" t="str">
            <v>B1635</v>
          </cell>
          <cell r="C41" t="str">
            <v>Boulon 16x35/28</v>
          </cell>
          <cell r="D41" t="str">
            <v>boä</v>
          </cell>
          <cell r="F41">
            <v>2190</v>
          </cell>
          <cell r="I41">
            <v>2190</v>
          </cell>
        </row>
        <row r="42">
          <cell r="A42" t="str">
            <v>B1640</v>
          </cell>
          <cell r="C42" t="str">
            <v>Boulon 16x40/28</v>
          </cell>
          <cell r="D42" t="str">
            <v>boä</v>
          </cell>
          <cell r="F42">
            <v>2190</v>
          </cell>
          <cell r="I42">
            <v>2190</v>
          </cell>
        </row>
        <row r="43">
          <cell r="A43" t="str">
            <v>B1650</v>
          </cell>
          <cell r="C43" t="str">
            <v>Boulon 16x50</v>
          </cell>
          <cell r="D43" t="str">
            <v>boä</v>
          </cell>
          <cell r="F43">
            <v>2500</v>
          </cell>
          <cell r="I43">
            <v>2500</v>
          </cell>
        </row>
        <row r="44">
          <cell r="A44" t="str">
            <v>B20100</v>
          </cell>
          <cell r="C44" t="str">
            <v>Boulon 20x100</v>
          </cell>
          <cell r="D44" t="str">
            <v>boä</v>
          </cell>
          <cell r="F44">
            <v>7500</v>
          </cell>
          <cell r="I44">
            <v>7500</v>
          </cell>
        </row>
        <row r="45">
          <cell r="A45" t="str">
            <v>B20110</v>
          </cell>
          <cell r="C45" t="str">
            <v>Boulon 20x110</v>
          </cell>
          <cell r="D45" t="str">
            <v>boä</v>
          </cell>
          <cell r="F45">
            <v>7500</v>
          </cell>
          <cell r="I45">
            <v>7500</v>
          </cell>
        </row>
        <row r="46">
          <cell r="A46" t="str">
            <v>B2060</v>
          </cell>
          <cell r="C46" t="str">
            <v>Boulon 20x60</v>
          </cell>
          <cell r="D46" t="str">
            <v>boä</v>
          </cell>
          <cell r="F46">
            <v>5000</v>
          </cell>
          <cell r="I46">
            <v>5000</v>
          </cell>
        </row>
        <row r="47">
          <cell r="A47" t="str">
            <v>B221000</v>
          </cell>
          <cell r="C47" t="str">
            <v>Boulon 22x1000</v>
          </cell>
          <cell r="D47" t="str">
            <v>boä</v>
          </cell>
          <cell r="F47">
            <v>36500</v>
          </cell>
          <cell r="I47">
            <v>36500</v>
          </cell>
        </row>
        <row r="48">
          <cell r="A48" t="str">
            <v>B22260</v>
          </cell>
          <cell r="C48" t="str">
            <v>Boulon 22x260</v>
          </cell>
          <cell r="D48" t="str">
            <v>boä</v>
          </cell>
          <cell r="F48">
            <v>11300</v>
          </cell>
          <cell r="I48">
            <v>11300</v>
          </cell>
        </row>
        <row r="49">
          <cell r="A49" t="str">
            <v>B22460</v>
          </cell>
          <cell r="C49" t="str">
            <v>Boulon 22x460</v>
          </cell>
          <cell r="D49" t="str">
            <v>boä</v>
          </cell>
          <cell r="F49">
            <v>17000</v>
          </cell>
          <cell r="I49">
            <v>17000</v>
          </cell>
        </row>
        <row r="50">
          <cell r="A50" t="str">
            <v>B22500</v>
          </cell>
          <cell r="C50" t="str">
            <v>Boulon 22x500/150</v>
          </cell>
          <cell r="D50" t="str">
            <v>boä</v>
          </cell>
          <cell r="F50">
            <v>19200</v>
          </cell>
          <cell r="I50">
            <v>19200</v>
          </cell>
        </row>
        <row r="51">
          <cell r="A51" t="str">
            <v>B22550</v>
          </cell>
          <cell r="C51" t="str">
            <v>Boulon 22x550/100</v>
          </cell>
          <cell r="D51" t="str">
            <v>boä</v>
          </cell>
          <cell r="F51">
            <v>22000</v>
          </cell>
          <cell r="I51">
            <v>22000</v>
          </cell>
        </row>
        <row r="52">
          <cell r="A52" t="str">
            <v>B22650</v>
          </cell>
          <cell r="C52" t="str">
            <v>Boulon 22x650</v>
          </cell>
          <cell r="D52" t="str">
            <v>boä</v>
          </cell>
          <cell r="F52">
            <v>22000</v>
          </cell>
          <cell r="I52">
            <v>22000</v>
          </cell>
        </row>
        <row r="53">
          <cell r="A53" t="str">
            <v>B22600</v>
          </cell>
          <cell r="C53" t="str">
            <v>Boulon 22x600</v>
          </cell>
          <cell r="D53" t="str">
            <v>boä</v>
          </cell>
          <cell r="F53">
            <v>18000</v>
          </cell>
          <cell r="I53">
            <v>18000</v>
          </cell>
        </row>
        <row r="54">
          <cell r="A54" t="str">
            <v>B22800</v>
          </cell>
          <cell r="C54" t="str">
            <v>Boulon 22x800</v>
          </cell>
          <cell r="D54" t="str">
            <v>boä</v>
          </cell>
          <cell r="F54">
            <v>27000</v>
          </cell>
          <cell r="I54">
            <v>27000</v>
          </cell>
        </row>
        <row r="55">
          <cell r="A55" t="str">
            <v>B22850</v>
          </cell>
          <cell r="C55" t="str">
            <v>Boulon 22x850</v>
          </cell>
          <cell r="D55" t="str">
            <v>boä</v>
          </cell>
          <cell r="F55">
            <v>27000</v>
          </cell>
          <cell r="I55">
            <v>27000</v>
          </cell>
        </row>
        <row r="56">
          <cell r="A56" t="str">
            <v>B30800</v>
          </cell>
          <cell r="C56" t="str">
            <v>Boulon 30x800</v>
          </cell>
          <cell r="D56" t="str">
            <v>boä</v>
          </cell>
          <cell r="F56">
            <v>52000</v>
          </cell>
          <cell r="I56">
            <v>52000</v>
          </cell>
        </row>
        <row r="57">
          <cell r="A57" t="str">
            <v>B301000</v>
          </cell>
          <cell r="C57" t="str">
            <v>Boulon 30x1000</v>
          </cell>
          <cell r="D57" t="str">
            <v>boä</v>
          </cell>
          <cell r="F57">
            <v>60000</v>
          </cell>
          <cell r="I57">
            <v>60000</v>
          </cell>
        </row>
        <row r="58">
          <cell r="A58" t="str">
            <v>BL42250</v>
          </cell>
          <cell r="C58" t="str">
            <v>Bu loâng neo BL 42-250</v>
          </cell>
          <cell r="D58" t="str">
            <v>boä</v>
          </cell>
          <cell r="F58">
            <v>176000</v>
          </cell>
          <cell r="I58">
            <v>176000</v>
          </cell>
        </row>
        <row r="59">
          <cell r="A59" t="str">
            <v>BL48250</v>
          </cell>
          <cell r="C59" t="str">
            <v>Bu loâng neo BL 48-250</v>
          </cell>
          <cell r="D59" t="str">
            <v>boä</v>
          </cell>
          <cell r="F59">
            <v>220000</v>
          </cell>
          <cell r="I59">
            <v>220000</v>
          </cell>
        </row>
        <row r="60">
          <cell r="A60" t="str">
            <v>phen</v>
          </cell>
          <cell r="C60" t="str">
            <v>Pheân tre ngaên ñaát, choáng saït lôû</v>
          </cell>
          <cell r="D60" t="str">
            <v>m2</v>
          </cell>
          <cell r="F60">
            <v>7500</v>
          </cell>
          <cell r="I60">
            <v>7500</v>
          </cell>
        </row>
        <row r="61">
          <cell r="A61" t="str">
            <v>LD606</v>
          </cell>
          <cell r="C61" t="str">
            <v>Longden vuoâng 60x60x6</v>
          </cell>
          <cell r="D61" t="str">
            <v>caùi</v>
          </cell>
          <cell r="F61">
            <v>800</v>
          </cell>
          <cell r="I61">
            <v>800</v>
          </cell>
        </row>
        <row r="62">
          <cell r="A62" t="str">
            <v>BM16230</v>
          </cell>
          <cell r="C62" t="str">
            <v>Boulon maét 16x230</v>
          </cell>
          <cell r="D62" t="str">
            <v>boä</v>
          </cell>
          <cell r="F62">
            <v>9000</v>
          </cell>
          <cell r="I62">
            <v>9000</v>
          </cell>
        </row>
        <row r="63">
          <cell r="A63" t="str">
            <v>BM16250</v>
          </cell>
          <cell r="C63" t="str">
            <v>Boulon maét 16x250/100</v>
          </cell>
          <cell r="D63" t="str">
            <v>boä</v>
          </cell>
          <cell r="F63">
            <v>10762</v>
          </cell>
          <cell r="I63">
            <v>10762</v>
          </cell>
        </row>
        <row r="64">
          <cell r="A64" t="str">
            <v>BM16300</v>
          </cell>
          <cell r="C64" t="str">
            <v>Boulon maét 16x300</v>
          </cell>
          <cell r="D64" t="str">
            <v>boä</v>
          </cell>
          <cell r="F64">
            <v>10762</v>
          </cell>
          <cell r="I64">
            <v>10762</v>
          </cell>
        </row>
        <row r="65">
          <cell r="A65" t="str">
            <v>BUGD</v>
          </cell>
          <cell r="C65" t="str">
            <v>Boulon U giöõ daây</v>
          </cell>
          <cell r="D65" t="str">
            <v>caùi</v>
          </cell>
          <cell r="F65">
            <v>10909</v>
          </cell>
          <cell r="I65">
            <v>10909</v>
          </cell>
        </row>
        <row r="66">
          <cell r="A66" t="str">
            <v>Ggiong500</v>
          </cell>
          <cell r="C66" t="str">
            <v>Gu gioâng phi 16-500</v>
          </cell>
          <cell r="D66" t="str">
            <v>caùi</v>
          </cell>
          <cell r="F66">
            <v>7683.54</v>
          </cell>
          <cell r="I66">
            <v>7683.54</v>
          </cell>
        </row>
        <row r="67">
          <cell r="A67" t="str">
            <v>Ggiong650</v>
          </cell>
          <cell r="C67" t="str">
            <v>Gu gioâng phi 16-650</v>
          </cell>
          <cell r="D67" t="str">
            <v>caùi</v>
          </cell>
          <cell r="F67">
            <v>9988.6020000000008</v>
          </cell>
          <cell r="I67">
            <v>9988.6020000000008</v>
          </cell>
        </row>
        <row r="68">
          <cell r="A68" t="str">
            <v>LD14</v>
          </cell>
          <cell r="C68" t="str">
            <v>Long ñeàn 14</v>
          </cell>
          <cell r="D68" t="str">
            <v>caùi</v>
          </cell>
          <cell r="F68">
            <v>600</v>
          </cell>
          <cell r="I68">
            <v>600</v>
          </cell>
        </row>
        <row r="69">
          <cell r="A69" t="str">
            <v>LD18</v>
          </cell>
          <cell r="C69" t="str">
            <v>Long ñeàn 18</v>
          </cell>
          <cell r="D69" t="str">
            <v>caùi</v>
          </cell>
          <cell r="F69">
            <v>800</v>
          </cell>
          <cell r="I69">
            <v>800</v>
          </cell>
        </row>
        <row r="70">
          <cell r="A70" t="str">
            <v>VIS3</v>
          </cell>
          <cell r="C70" t="str">
            <v>Vis 3cm baét ñoàng hoà</v>
          </cell>
          <cell r="D70" t="str">
            <v>caùi</v>
          </cell>
          <cell r="F70">
            <v>800</v>
          </cell>
          <cell r="I70">
            <v>800</v>
          </cell>
        </row>
        <row r="71">
          <cell r="A71" t="str">
            <v>OXC1/0</v>
          </cell>
          <cell r="C71" t="str">
            <v>Splitbolt Cu 1/0</v>
          </cell>
          <cell r="D71" t="str">
            <v>caùi</v>
          </cell>
          <cell r="F71">
            <v>5800</v>
          </cell>
          <cell r="I71">
            <v>5800</v>
          </cell>
        </row>
        <row r="72">
          <cell r="A72" t="str">
            <v>OXC2/0</v>
          </cell>
          <cell r="C72" t="str">
            <v>Splitbolt Cu 2/0</v>
          </cell>
          <cell r="D72" t="str">
            <v>caùi</v>
          </cell>
          <cell r="F72">
            <v>6500</v>
          </cell>
          <cell r="I72">
            <v>6500</v>
          </cell>
        </row>
        <row r="73">
          <cell r="A73" t="str">
            <v>OXCCu-Al1/0</v>
          </cell>
          <cell r="C73" t="str">
            <v>Splitbolt Cu-Al 1/0</v>
          </cell>
          <cell r="D73" t="str">
            <v>caùi</v>
          </cell>
          <cell r="F73">
            <v>6200</v>
          </cell>
          <cell r="I73">
            <v>6200</v>
          </cell>
        </row>
        <row r="74">
          <cell r="A74" t="str">
            <v>OXCCu-Al2/0</v>
          </cell>
          <cell r="C74" t="str">
            <v>Splitbolt Cu-Al 2/0</v>
          </cell>
          <cell r="D74" t="str">
            <v>caùi</v>
          </cell>
          <cell r="F74">
            <v>6800</v>
          </cell>
          <cell r="I74">
            <v>6800</v>
          </cell>
        </row>
        <row r="75">
          <cell r="A75" t="str">
            <v>CT25</v>
          </cell>
          <cell r="C75" t="str">
            <v>Cöø traøm 2,5m</v>
          </cell>
          <cell r="D75" t="str">
            <v>caây</v>
          </cell>
          <cell r="F75">
            <v>7000</v>
          </cell>
          <cell r="I75">
            <v>7000</v>
          </cell>
        </row>
        <row r="76">
          <cell r="A76" t="str">
            <v>CT3</v>
          </cell>
          <cell r="C76" t="str">
            <v>Cöø traøm 3m</v>
          </cell>
          <cell r="D76" t="str">
            <v>caây</v>
          </cell>
          <cell r="F76">
            <v>8000</v>
          </cell>
          <cell r="I76">
            <v>8000</v>
          </cell>
        </row>
        <row r="77">
          <cell r="A77" t="str">
            <v>CT5</v>
          </cell>
          <cell r="C77" t="str">
            <v>Cöø traøm 5m</v>
          </cell>
          <cell r="D77" t="str">
            <v>caây</v>
          </cell>
          <cell r="F77">
            <v>12000</v>
          </cell>
          <cell r="I77">
            <v>12000</v>
          </cell>
        </row>
        <row r="78">
          <cell r="A78" t="str">
            <v>M22</v>
          </cell>
          <cell r="C78" t="str">
            <v>Caùp ñoàng traàn M22mm2</v>
          </cell>
          <cell r="D78" t="str">
            <v>kg</v>
          </cell>
          <cell r="F78">
            <v>38500</v>
          </cell>
          <cell r="I78">
            <v>38500</v>
          </cell>
        </row>
        <row r="79">
          <cell r="A79" t="str">
            <v>M25</v>
          </cell>
          <cell r="B79" t="str">
            <v>07.7002</v>
          </cell>
          <cell r="C79" t="str">
            <v>Caùp ñoàng traàn M25mm2</v>
          </cell>
          <cell r="D79" t="str">
            <v>kg</v>
          </cell>
          <cell r="F79">
            <v>38500</v>
          </cell>
          <cell r="G79">
            <v>1959</v>
          </cell>
          <cell r="I79">
            <v>38500</v>
          </cell>
        </row>
        <row r="80">
          <cell r="A80" t="str">
            <v>M48</v>
          </cell>
          <cell r="C80" t="str">
            <v>Caùp ñoàng traàn M48mm2</v>
          </cell>
          <cell r="D80" t="str">
            <v>kg</v>
          </cell>
          <cell r="F80">
            <v>38500</v>
          </cell>
          <cell r="I80">
            <v>38500</v>
          </cell>
        </row>
        <row r="81">
          <cell r="A81" t="str">
            <v>XLPE22</v>
          </cell>
          <cell r="B81" t="str">
            <v>04.4201</v>
          </cell>
          <cell r="C81" t="str">
            <v>Caùp ñoàng boïc 24KV XLPE/PVC 22mm2</v>
          </cell>
          <cell r="D81" t="str">
            <v>meùt</v>
          </cell>
          <cell r="F81">
            <v>22230</v>
          </cell>
          <cell r="G81">
            <v>921</v>
          </cell>
          <cell r="I81">
            <v>22230</v>
          </cell>
        </row>
        <row r="82">
          <cell r="A82" t="str">
            <v>XLPE25</v>
          </cell>
          <cell r="B82" t="str">
            <v>04.4201</v>
          </cell>
          <cell r="C82" t="str">
            <v>Caùp ñoàng boïc 24KV XLPE/PVC 25mm2</v>
          </cell>
          <cell r="D82" t="str">
            <v>meùt</v>
          </cell>
          <cell r="F82">
            <v>23830</v>
          </cell>
          <cell r="G82">
            <v>921</v>
          </cell>
          <cell r="I82">
            <v>23830</v>
          </cell>
        </row>
        <row r="83">
          <cell r="A83" t="str">
            <v>XLPE38</v>
          </cell>
          <cell r="B83" t="str">
            <v>04.4201</v>
          </cell>
          <cell r="C83" t="str">
            <v>Caùp ñoàng boïc 24KV XLPE/PVC 38mm2</v>
          </cell>
          <cell r="D83" t="str">
            <v>meùt</v>
          </cell>
          <cell r="F83">
            <v>29510</v>
          </cell>
          <cell r="G83">
            <v>921</v>
          </cell>
          <cell r="I83">
            <v>29510</v>
          </cell>
        </row>
        <row r="84">
          <cell r="A84" t="str">
            <v>XLPE50</v>
          </cell>
          <cell r="B84" t="str">
            <v>04.4201</v>
          </cell>
          <cell r="C84" t="str">
            <v>Caùp ñoàng boïc 24KV XLPE/PVC 50mm2</v>
          </cell>
          <cell r="D84" t="str">
            <v>meùt</v>
          </cell>
          <cell r="F84">
            <v>35790</v>
          </cell>
          <cell r="G84">
            <v>921</v>
          </cell>
          <cell r="I84">
            <v>35790</v>
          </cell>
        </row>
        <row r="85">
          <cell r="A85" t="str">
            <v>XLPE70</v>
          </cell>
          <cell r="B85" t="str">
            <v>04.4201</v>
          </cell>
          <cell r="C85" t="str">
            <v>Caùp ñoàng boïc 24KV XLPE/PVC 70mm2</v>
          </cell>
          <cell r="D85" t="str">
            <v>meùt</v>
          </cell>
          <cell r="F85">
            <v>44700</v>
          </cell>
          <cell r="G85">
            <v>921</v>
          </cell>
          <cell r="I85">
            <v>44700</v>
          </cell>
        </row>
        <row r="86">
          <cell r="A86" t="str">
            <v>XLPE95</v>
          </cell>
          <cell r="B86" t="str">
            <v>04.4201</v>
          </cell>
          <cell r="C86" t="str">
            <v>Caùp ñoàng boïc 24KV XLPE/PVC 95mm2</v>
          </cell>
          <cell r="D86" t="str">
            <v>meùt</v>
          </cell>
          <cell r="F86">
            <v>56760</v>
          </cell>
          <cell r="G86">
            <v>921</v>
          </cell>
          <cell r="I86">
            <v>56760</v>
          </cell>
        </row>
        <row r="87">
          <cell r="A87" t="str">
            <v>XLPE35A</v>
          </cell>
          <cell r="B87" t="str">
            <v>04.4101</v>
          </cell>
          <cell r="C87" t="str">
            <v>Caùp nhoâm boïc 24KV A/XLPE/PVC 35mm2</v>
          </cell>
          <cell r="D87" t="str">
            <v>meùt</v>
          </cell>
          <cell r="F87">
            <v>18630</v>
          </cell>
          <cell r="G87">
            <v>460</v>
          </cell>
          <cell r="I87">
            <v>18630</v>
          </cell>
        </row>
        <row r="88">
          <cell r="A88" t="str">
            <v>XLPE50A</v>
          </cell>
          <cell r="B88" t="str">
            <v>04.4101</v>
          </cell>
          <cell r="C88" t="str">
            <v>Caùp nhoâm boïc 24KV A/XLPE/PVC 50mm2</v>
          </cell>
          <cell r="D88" t="str">
            <v>meùt</v>
          </cell>
          <cell r="F88">
            <v>21960</v>
          </cell>
          <cell r="G88">
            <v>460</v>
          </cell>
          <cell r="I88">
            <v>21960</v>
          </cell>
        </row>
        <row r="89">
          <cell r="A89" t="str">
            <v>XLPE70A</v>
          </cell>
          <cell r="B89" t="str">
            <v>04.4101</v>
          </cell>
          <cell r="C89" t="str">
            <v>Caùp nhoâm boïc 24KV A/XLPE/PVC 70mm2</v>
          </cell>
          <cell r="D89" t="str">
            <v>meùt</v>
          </cell>
          <cell r="F89">
            <v>25250</v>
          </cell>
          <cell r="G89">
            <v>460</v>
          </cell>
          <cell r="I89">
            <v>25250</v>
          </cell>
        </row>
        <row r="90">
          <cell r="A90" t="str">
            <v>XLPE95A</v>
          </cell>
          <cell r="B90" t="str">
            <v>04.4101</v>
          </cell>
          <cell r="C90" t="str">
            <v>Caùp nhoâm boïc 24KV A/XLPE/PVC 95mm2</v>
          </cell>
          <cell r="D90" t="str">
            <v>meùt</v>
          </cell>
          <cell r="F90">
            <v>29890</v>
          </cell>
          <cell r="G90">
            <v>460</v>
          </cell>
          <cell r="I90">
            <v>29890</v>
          </cell>
        </row>
        <row r="91">
          <cell r="A91" t="str">
            <v>XLPE120A</v>
          </cell>
          <cell r="B91" t="str">
            <v>04.4102</v>
          </cell>
          <cell r="C91" t="str">
            <v>Caùp nhoâm boïc 24KV A/XLPE/PVC 120mm2</v>
          </cell>
          <cell r="D91" t="str">
            <v>meùt</v>
          </cell>
          <cell r="F91">
            <v>35600</v>
          </cell>
          <cell r="G91">
            <v>1228</v>
          </cell>
          <cell r="I91">
            <v>35600</v>
          </cell>
        </row>
        <row r="92">
          <cell r="A92" t="str">
            <v>XLPE395</v>
          </cell>
          <cell r="C92" t="str">
            <v>Caùp 24kV 3x95mm2 XLPE/DTA/PVC</v>
          </cell>
          <cell r="D92" t="str">
            <v>meùt</v>
          </cell>
          <cell r="F92">
            <v>290900</v>
          </cell>
          <cell r="I92">
            <v>290900</v>
          </cell>
        </row>
        <row r="93">
          <cell r="A93" t="str">
            <v>XLPE170</v>
          </cell>
          <cell r="C93" t="str">
            <v>Caùp 15kV 1x70mm2 XLPE/PVC</v>
          </cell>
          <cell r="D93" t="str">
            <v>meùt</v>
          </cell>
          <cell r="F93">
            <v>63200</v>
          </cell>
          <cell r="I93">
            <v>63200</v>
          </cell>
        </row>
        <row r="94">
          <cell r="A94" t="str">
            <v>ACKP240</v>
          </cell>
          <cell r="C94" t="str">
            <v>Caùp nhoâm loõi theùp AC.A240/39</v>
          </cell>
          <cell r="D94" t="str">
            <v>kg</v>
          </cell>
          <cell r="F94">
            <v>26100</v>
          </cell>
          <cell r="I94">
            <v>26100</v>
          </cell>
        </row>
        <row r="95">
          <cell r="A95" t="str">
            <v>ACKP185</v>
          </cell>
          <cell r="C95" t="str">
            <v>Caùp nhoâm loõi theùp AC.A185/29</v>
          </cell>
          <cell r="D95" t="str">
            <v>kg</v>
          </cell>
          <cell r="F95">
            <v>26100</v>
          </cell>
          <cell r="I95">
            <v>26100</v>
          </cell>
        </row>
        <row r="96">
          <cell r="A96" t="str">
            <v>ACKP120</v>
          </cell>
          <cell r="C96" t="str">
            <v>Caùp nhoâm loõi theùp AC.A120/19</v>
          </cell>
          <cell r="D96" t="str">
            <v>kg</v>
          </cell>
          <cell r="F96">
            <v>26100</v>
          </cell>
          <cell r="I96">
            <v>26100</v>
          </cell>
        </row>
        <row r="97">
          <cell r="A97" t="str">
            <v>ACKP120-1</v>
          </cell>
          <cell r="C97" t="str">
            <v>Caùp nhoâm loõi theùp AC.A120/27</v>
          </cell>
          <cell r="D97" t="str">
            <v>kg</v>
          </cell>
          <cell r="F97">
            <v>26100</v>
          </cell>
          <cell r="I97">
            <v>26100</v>
          </cell>
        </row>
        <row r="98">
          <cell r="A98" t="str">
            <v>ACKP35</v>
          </cell>
          <cell r="C98" t="str">
            <v>Caùp nhoâm loõi theùp AC.A35/6,2</v>
          </cell>
          <cell r="D98" t="str">
            <v>kg</v>
          </cell>
          <cell r="F98">
            <v>25800</v>
          </cell>
          <cell r="I98">
            <v>25800</v>
          </cell>
        </row>
        <row r="99">
          <cell r="A99" t="str">
            <v>ACKP50</v>
          </cell>
          <cell r="C99" t="str">
            <v>Caùp nhoâm loõi theùp AC.A50/8</v>
          </cell>
          <cell r="D99" t="str">
            <v>kg</v>
          </cell>
          <cell r="F99">
            <v>25800</v>
          </cell>
          <cell r="I99">
            <v>25800</v>
          </cell>
        </row>
        <row r="100">
          <cell r="A100" t="str">
            <v>ACKP70</v>
          </cell>
          <cell r="C100" t="str">
            <v>Caùp nhoâm loõi theùp AC.A70/11</v>
          </cell>
          <cell r="D100" t="str">
            <v>kg</v>
          </cell>
          <cell r="F100">
            <v>25800</v>
          </cell>
          <cell r="I100">
            <v>25800</v>
          </cell>
        </row>
        <row r="101">
          <cell r="A101" t="str">
            <v>ACKP95</v>
          </cell>
          <cell r="C101" t="str">
            <v>Caùp nhoâm loõi theùp AC.A95/16</v>
          </cell>
          <cell r="D101" t="str">
            <v>kg</v>
          </cell>
          <cell r="F101">
            <v>25800</v>
          </cell>
          <cell r="I101">
            <v>25800</v>
          </cell>
        </row>
        <row r="102">
          <cell r="A102" t="str">
            <v>ACKP105</v>
          </cell>
          <cell r="C102" t="str">
            <v>Caùp nhoâm loõi theùp AC.A105/75</v>
          </cell>
          <cell r="D102" t="str">
            <v>kg</v>
          </cell>
          <cell r="F102">
            <v>25800</v>
          </cell>
          <cell r="I102">
            <v>25800</v>
          </cell>
        </row>
        <row r="103">
          <cell r="A103" t="str">
            <v>AC240</v>
          </cell>
          <cell r="C103" t="str">
            <v>Caùp nhoâm loõi theùp AC-240/39</v>
          </cell>
          <cell r="D103" t="str">
            <v>kg</v>
          </cell>
          <cell r="F103">
            <v>26100</v>
          </cell>
          <cell r="I103">
            <v>26100</v>
          </cell>
        </row>
        <row r="104">
          <cell r="A104" t="str">
            <v>AC185</v>
          </cell>
          <cell r="C104" t="str">
            <v>Caùp nhoâm loõi theùp AC-185/29</v>
          </cell>
          <cell r="D104" t="str">
            <v>kg</v>
          </cell>
          <cell r="F104">
            <v>26100</v>
          </cell>
          <cell r="I104">
            <v>26100</v>
          </cell>
        </row>
        <row r="105">
          <cell r="A105" t="str">
            <v>AC120</v>
          </cell>
          <cell r="C105" t="str">
            <v>Caùp nhoâm loõi theùp AC-120</v>
          </cell>
          <cell r="D105" t="str">
            <v>kg</v>
          </cell>
          <cell r="F105">
            <v>26100</v>
          </cell>
          <cell r="I105">
            <v>26100</v>
          </cell>
        </row>
        <row r="106">
          <cell r="A106" t="str">
            <v>AC35</v>
          </cell>
          <cell r="C106" t="str">
            <v>Caùp nhoâm loõi theùp AC-35/6,2</v>
          </cell>
          <cell r="D106" t="str">
            <v>kg</v>
          </cell>
          <cell r="F106">
            <v>25800</v>
          </cell>
          <cell r="I106">
            <v>25800</v>
          </cell>
        </row>
        <row r="107">
          <cell r="A107" t="str">
            <v>AC50</v>
          </cell>
          <cell r="C107" t="str">
            <v>Caùp nhoâm loõi theùp AC-50/8</v>
          </cell>
          <cell r="D107" t="str">
            <v>kg</v>
          </cell>
          <cell r="F107">
            <v>25000</v>
          </cell>
          <cell r="I107">
            <v>25800</v>
          </cell>
        </row>
        <row r="108">
          <cell r="A108" t="str">
            <v>AC70</v>
          </cell>
          <cell r="C108" t="str">
            <v>Caùp nhoâm loõi theùp AC-70/11</v>
          </cell>
          <cell r="D108" t="str">
            <v>kg</v>
          </cell>
          <cell r="F108">
            <v>25000</v>
          </cell>
          <cell r="I108">
            <v>25800</v>
          </cell>
        </row>
        <row r="109">
          <cell r="A109" t="str">
            <v>AC95</v>
          </cell>
          <cell r="C109" t="str">
            <v>Caùp nhoâm loõi theùp AC-95/16</v>
          </cell>
          <cell r="D109" t="str">
            <v>kg</v>
          </cell>
          <cell r="F109">
            <v>25800</v>
          </cell>
          <cell r="I109">
            <v>25800</v>
          </cell>
        </row>
        <row r="110">
          <cell r="A110" t="str">
            <v>PHLOX228</v>
          </cell>
          <cell r="C110" t="str">
            <v>Daây PHLOX 228</v>
          </cell>
          <cell r="D110" t="str">
            <v>kg</v>
          </cell>
          <cell r="F110">
            <v>26100</v>
          </cell>
          <cell r="I110">
            <v>26100</v>
          </cell>
        </row>
        <row r="111">
          <cell r="A111" t="str">
            <v>PASTEL228</v>
          </cell>
          <cell r="C111" t="str">
            <v>Daây PASTEL 228</v>
          </cell>
          <cell r="D111" t="str">
            <v>kg</v>
          </cell>
          <cell r="F111">
            <v>26100</v>
          </cell>
          <cell r="I111">
            <v>26100</v>
          </cell>
        </row>
        <row r="112">
          <cell r="A112" t="str">
            <v>av35</v>
          </cell>
          <cell r="C112" t="str">
            <v>Caùp nhoâm boïc AV35</v>
          </cell>
          <cell r="D112" t="str">
            <v>meùt</v>
          </cell>
          <cell r="F112">
            <v>4860</v>
          </cell>
          <cell r="I112">
            <v>4860</v>
          </cell>
        </row>
        <row r="113">
          <cell r="A113" t="str">
            <v>av50</v>
          </cell>
          <cell r="B113" t="str">
            <v>03.1401</v>
          </cell>
          <cell r="C113" t="str">
            <v>Caùp nhoâm boïc AV50</v>
          </cell>
          <cell r="D113" t="str">
            <v>meùt</v>
          </cell>
          <cell r="F113">
            <v>6790</v>
          </cell>
          <cell r="G113">
            <v>443</v>
          </cell>
          <cell r="I113">
            <v>6790</v>
          </cell>
        </row>
        <row r="114">
          <cell r="A114" t="str">
            <v>av70</v>
          </cell>
          <cell r="C114" t="str">
            <v>Caùp nhoâm boïc AV70</v>
          </cell>
          <cell r="D114" t="str">
            <v>meùt</v>
          </cell>
          <cell r="F114">
            <v>9020</v>
          </cell>
          <cell r="I114">
            <v>9020</v>
          </cell>
        </row>
        <row r="115">
          <cell r="A115" t="str">
            <v>av95</v>
          </cell>
          <cell r="C115" t="str">
            <v>Caùp nhoâm boïc AV95</v>
          </cell>
          <cell r="D115" t="str">
            <v>meùt</v>
          </cell>
          <cell r="F115">
            <v>11780</v>
          </cell>
          <cell r="I115">
            <v>11780</v>
          </cell>
        </row>
        <row r="116">
          <cell r="A116" t="str">
            <v>av120</v>
          </cell>
          <cell r="C116" t="str">
            <v>Caùp nhoâm boïc AV120</v>
          </cell>
          <cell r="D116" t="str">
            <v>meùt</v>
          </cell>
          <cell r="F116">
            <v>13720</v>
          </cell>
          <cell r="I116">
            <v>13720</v>
          </cell>
        </row>
        <row r="117">
          <cell r="A117" t="str">
            <v>av150</v>
          </cell>
          <cell r="C117" t="str">
            <v>Caùp nhoâm boïc AV150</v>
          </cell>
          <cell r="D117" t="str">
            <v>meùt</v>
          </cell>
          <cell r="F117">
            <v>18380</v>
          </cell>
          <cell r="I117">
            <v>18380</v>
          </cell>
        </row>
        <row r="118">
          <cell r="A118" t="str">
            <v>av185</v>
          </cell>
          <cell r="C118" t="str">
            <v>Caùp nhoâm boïc AV185</v>
          </cell>
          <cell r="D118" t="str">
            <v>meùt</v>
          </cell>
          <cell r="F118">
            <v>21690</v>
          </cell>
          <cell r="I118">
            <v>21690</v>
          </cell>
        </row>
        <row r="119">
          <cell r="A119" t="str">
            <v>cv3.5</v>
          </cell>
          <cell r="B119" t="str">
            <v>03.1401</v>
          </cell>
          <cell r="C119" t="str">
            <v>Caùp ñoàng boïc CV3.5</v>
          </cell>
          <cell r="D119" t="str">
            <v>meùt</v>
          </cell>
          <cell r="F119">
            <v>2390</v>
          </cell>
          <cell r="G119">
            <v>443</v>
          </cell>
          <cell r="I119">
            <v>2390</v>
          </cell>
        </row>
        <row r="120">
          <cell r="A120" t="str">
            <v>cv11</v>
          </cell>
          <cell r="B120" t="str">
            <v>03.1401</v>
          </cell>
          <cell r="C120" t="str">
            <v>Caùp ñoàng boïc CV11</v>
          </cell>
          <cell r="D120" t="str">
            <v>meùt</v>
          </cell>
          <cell r="F120">
            <v>5600</v>
          </cell>
          <cell r="G120">
            <v>443</v>
          </cell>
          <cell r="I120">
            <v>5600</v>
          </cell>
        </row>
        <row r="121">
          <cell r="A121" t="str">
            <v>cv35</v>
          </cell>
          <cell r="B121" t="str">
            <v>03.1401</v>
          </cell>
          <cell r="C121" t="str">
            <v>Caùp ñoàng boïc CV35</v>
          </cell>
          <cell r="D121" t="str">
            <v>meùt</v>
          </cell>
          <cell r="F121">
            <v>15090</v>
          </cell>
          <cell r="G121">
            <v>443</v>
          </cell>
          <cell r="I121">
            <v>15090</v>
          </cell>
        </row>
        <row r="122">
          <cell r="A122" t="str">
            <v>cv50</v>
          </cell>
          <cell r="B122" t="str">
            <v>03.1401</v>
          </cell>
          <cell r="C122" t="str">
            <v>Caùp ñoàng boïc CV50</v>
          </cell>
          <cell r="D122" t="str">
            <v>meùt</v>
          </cell>
          <cell r="F122">
            <v>20390</v>
          </cell>
          <cell r="G122">
            <v>443</v>
          </cell>
          <cell r="I122">
            <v>20390</v>
          </cell>
        </row>
        <row r="123">
          <cell r="A123" t="str">
            <v>cv70</v>
          </cell>
          <cell r="B123" t="str">
            <v>03.1401</v>
          </cell>
          <cell r="C123" t="str">
            <v>Caùp ñoàng boïc CV70</v>
          </cell>
          <cell r="D123" t="str">
            <v>meùt</v>
          </cell>
          <cell r="F123">
            <v>28980</v>
          </cell>
          <cell r="G123">
            <v>443</v>
          </cell>
          <cell r="I123">
            <v>28980</v>
          </cell>
        </row>
        <row r="124">
          <cell r="A124" t="str">
            <v>cv95</v>
          </cell>
          <cell r="B124" t="str">
            <v>03.1401</v>
          </cell>
          <cell r="C124" t="str">
            <v>Caùp ñoàng boïc CV95</v>
          </cell>
          <cell r="D124" t="str">
            <v>meùt</v>
          </cell>
          <cell r="F124">
            <v>39100</v>
          </cell>
          <cell r="G124">
            <v>443</v>
          </cell>
          <cell r="I124">
            <v>39100</v>
          </cell>
        </row>
        <row r="125">
          <cell r="A125" t="str">
            <v>cv100</v>
          </cell>
          <cell r="B125" t="str">
            <v>03.1401</v>
          </cell>
          <cell r="C125" t="str">
            <v>Caùp ñoàng boïc CV100</v>
          </cell>
          <cell r="D125" t="str">
            <v>meùt</v>
          </cell>
          <cell r="F125">
            <v>42700</v>
          </cell>
          <cell r="G125">
            <v>443</v>
          </cell>
          <cell r="I125">
            <v>42700</v>
          </cell>
        </row>
        <row r="126">
          <cell r="A126" t="str">
            <v>cv120</v>
          </cell>
          <cell r="B126" t="str">
            <v>03.1401</v>
          </cell>
          <cell r="C126" t="str">
            <v>Caùp ñoàng boïc CV120</v>
          </cell>
          <cell r="D126" t="str">
            <v>meùt</v>
          </cell>
          <cell r="F126">
            <v>46800</v>
          </cell>
          <cell r="G126">
            <v>443</v>
          </cell>
          <cell r="I126">
            <v>46800</v>
          </cell>
        </row>
        <row r="127">
          <cell r="A127" t="str">
            <v>cv150</v>
          </cell>
          <cell r="B127" t="str">
            <v>03.1401</v>
          </cell>
          <cell r="C127" t="str">
            <v>Caùp ñoàng boïc CV150</v>
          </cell>
          <cell r="D127" t="str">
            <v>meùt</v>
          </cell>
          <cell r="F127">
            <v>61640</v>
          </cell>
          <cell r="G127">
            <v>443</v>
          </cell>
          <cell r="I127">
            <v>61640</v>
          </cell>
        </row>
        <row r="128">
          <cell r="A128" t="str">
            <v>cv185</v>
          </cell>
          <cell r="B128" t="str">
            <v>04.4203</v>
          </cell>
          <cell r="C128" t="str">
            <v>Caùp ñoàng boïc CV185</v>
          </cell>
          <cell r="D128" t="str">
            <v>meùt</v>
          </cell>
          <cell r="F128">
            <v>74460</v>
          </cell>
          <cell r="G128">
            <v>3069</v>
          </cell>
          <cell r="I128">
            <v>74460</v>
          </cell>
        </row>
        <row r="129">
          <cell r="A129" t="str">
            <v>cv200</v>
          </cell>
          <cell r="B129" t="str">
            <v>04.4203</v>
          </cell>
          <cell r="C129" t="str">
            <v>Caùp ñoàng boïc CV200</v>
          </cell>
          <cell r="D129" t="str">
            <v>meùt</v>
          </cell>
          <cell r="F129">
            <v>81600</v>
          </cell>
          <cell r="G129">
            <v>3069</v>
          </cell>
          <cell r="I129">
            <v>81600</v>
          </cell>
        </row>
        <row r="130">
          <cell r="A130" t="str">
            <v>acv35</v>
          </cell>
          <cell r="C130" t="str">
            <v>Caùp nhoâm loõi theùp ACV35</v>
          </cell>
          <cell r="D130" t="str">
            <v>meùt</v>
          </cell>
          <cell r="F130">
            <v>6380</v>
          </cell>
          <cell r="I130">
            <v>6380</v>
          </cell>
        </row>
        <row r="131">
          <cell r="A131" t="str">
            <v>acv50</v>
          </cell>
          <cell r="C131" t="str">
            <v>Caùp nhoâm loõi theùp ACV50</v>
          </cell>
          <cell r="D131" t="str">
            <v>meùt</v>
          </cell>
          <cell r="F131">
            <v>8250</v>
          </cell>
          <cell r="I131">
            <v>8250</v>
          </cell>
        </row>
        <row r="132">
          <cell r="A132" t="str">
            <v>acv70</v>
          </cell>
          <cell r="C132" t="str">
            <v>Caùp nhoâm loõi theùp ACV70</v>
          </cell>
          <cell r="D132" t="str">
            <v>meùt</v>
          </cell>
          <cell r="F132">
            <v>10450</v>
          </cell>
          <cell r="I132">
            <v>10450</v>
          </cell>
        </row>
        <row r="133">
          <cell r="A133" t="str">
            <v>acv95</v>
          </cell>
          <cell r="C133" t="str">
            <v>Caùp nhoâm loõi theùp ACV95</v>
          </cell>
          <cell r="D133" t="str">
            <v>meùt</v>
          </cell>
          <cell r="F133">
            <v>13200</v>
          </cell>
          <cell r="I133">
            <v>13200</v>
          </cell>
        </row>
        <row r="134">
          <cell r="A134" t="str">
            <v>acv120</v>
          </cell>
          <cell r="C134" t="str">
            <v>Caùp nhoâm loõi theùp ACV120</v>
          </cell>
          <cell r="D134" t="str">
            <v>meùt</v>
          </cell>
          <cell r="F134">
            <v>15950</v>
          </cell>
          <cell r="I134">
            <v>15950</v>
          </cell>
        </row>
        <row r="135">
          <cell r="A135" t="str">
            <v>acv150</v>
          </cell>
          <cell r="C135" t="str">
            <v>Caùp nhoâm loõi theùp ACV150</v>
          </cell>
          <cell r="D135" t="str">
            <v>meùt</v>
          </cell>
          <cell r="F135">
            <v>20460</v>
          </cell>
          <cell r="I135">
            <v>20460</v>
          </cell>
        </row>
        <row r="136">
          <cell r="A136" t="str">
            <v>acv185</v>
          </cell>
          <cell r="C136" t="str">
            <v>Caùp nhoâm loõi theùp ACV185</v>
          </cell>
          <cell r="D136" t="str">
            <v>meùt</v>
          </cell>
          <cell r="F136">
            <v>22770</v>
          </cell>
          <cell r="I136">
            <v>22770</v>
          </cell>
        </row>
        <row r="137">
          <cell r="A137" t="str">
            <v>acv240</v>
          </cell>
          <cell r="C137" t="str">
            <v>Caùp nhoâm loõi theùp ACV240</v>
          </cell>
          <cell r="D137" t="str">
            <v>meùt</v>
          </cell>
          <cell r="F137">
            <v>29590</v>
          </cell>
          <cell r="I137">
            <v>29590</v>
          </cell>
        </row>
        <row r="138">
          <cell r="A138" t="str">
            <v>A35</v>
          </cell>
          <cell r="C138" t="str">
            <v>Caùp nhoâm A-35</v>
          </cell>
          <cell r="D138" t="str">
            <v>kg</v>
          </cell>
          <cell r="F138">
            <v>31400</v>
          </cell>
          <cell r="I138">
            <v>31400</v>
          </cell>
        </row>
        <row r="139">
          <cell r="A139" t="str">
            <v>A50</v>
          </cell>
          <cell r="C139" t="str">
            <v>Caùp nhoâm A-50</v>
          </cell>
          <cell r="D139" t="str">
            <v>kg</v>
          </cell>
          <cell r="F139">
            <v>30400</v>
          </cell>
          <cell r="I139">
            <v>30400</v>
          </cell>
        </row>
        <row r="140">
          <cell r="A140" t="str">
            <v>A70</v>
          </cell>
          <cell r="C140" t="str">
            <v>Caùp nhoâm A-70</v>
          </cell>
          <cell r="D140" t="str">
            <v>kg</v>
          </cell>
          <cell r="F140">
            <v>30400</v>
          </cell>
          <cell r="I140">
            <v>30400</v>
          </cell>
        </row>
        <row r="141">
          <cell r="A141" t="str">
            <v>A95</v>
          </cell>
          <cell r="C141" t="str">
            <v>Caùp nhoâm A-95</v>
          </cell>
          <cell r="D141" t="str">
            <v>kg</v>
          </cell>
          <cell r="F141">
            <v>30400</v>
          </cell>
          <cell r="I141">
            <v>30400</v>
          </cell>
        </row>
        <row r="142">
          <cell r="A142" t="str">
            <v>A120</v>
          </cell>
          <cell r="C142" t="str">
            <v>Caùp nhoâm A-120</v>
          </cell>
          <cell r="D142" t="str">
            <v>kg</v>
          </cell>
          <cell r="F142">
            <v>30400</v>
          </cell>
          <cell r="I142">
            <v>30400</v>
          </cell>
        </row>
        <row r="143">
          <cell r="A143" t="str">
            <v>A185</v>
          </cell>
          <cell r="C143" t="str">
            <v>Caùp nhoâm A-185</v>
          </cell>
          <cell r="D143" t="str">
            <v>kg</v>
          </cell>
          <cell r="F143">
            <v>29400</v>
          </cell>
          <cell r="I143">
            <v>29400</v>
          </cell>
        </row>
        <row r="144">
          <cell r="A144" t="str">
            <v>A240</v>
          </cell>
          <cell r="C144" t="str">
            <v>Caùp nhoâm A-240</v>
          </cell>
          <cell r="D144" t="str">
            <v>kg</v>
          </cell>
          <cell r="F144">
            <v>29400</v>
          </cell>
          <cell r="I144">
            <v>29400</v>
          </cell>
        </row>
        <row r="145">
          <cell r="A145" t="str">
            <v>C3/8</v>
          </cell>
          <cell r="C145" t="str">
            <v>Caùp theùp 3/8"</v>
          </cell>
          <cell r="D145" t="str">
            <v>meùt</v>
          </cell>
          <cell r="F145">
            <v>3500</v>
          </cell>
          <cell r="I145">
            <v>3500</v>
          </cell>
        </row>
        <row r="146">
          <cell r="A146" t="str">
            <v>C5/8</v>
          </cell>
          <cell r="C146" t="str">
            <v>Caùp theùp 5/8"</v>
          </cell>
          <cell r="D146" t="str">
            <v>meùt</v>
          </cell>
          <cell r="F146">
            <v>9135</v>
          </cell>
          <cell r="I146">
            <v>9135</v>
          </cell>
        </row>
        <row r="147">
          <cell r="A147" t="str">
            <v>CSDI</v>
          </cell>
          <cell r="C147" t="str">
            <v xml:space="preserve">Chaân söù ñænh </v>
          </cell>
          <cell r="D147" t="str">
            <v>caùi</v>
          </cell>
          <cell r="F147">
            <v>25000</v>
          </cell>
          <cell r="I147">
            <v>25000</v>
          </cell>
        </row>
        <row r="148">
          <cell r="A148" t="str">
            <v>CSDG</v>
          </cell>
          <cell r="C148" t="str">
            <v>Chaân söù ñænh ñôõ goùc</v>
          </cell>
          <cell r="D148" t="str">
            <v>caùi</v>
          </cell>
          <cell r="F148">
            <v>25000</v>
          </cell>
          <cell r="I148">
            <v>25000</v>
          </cell>
        </row>
        <row r="149">
          <cell r="A149" t="str">
            <v>CSD</v>
          </cell>
          <cell r="C149" t="str">
            <v>Chaân söù ñöùng</v>
          </cell>
          <cell r="D149" t="str">
            <v>caùi</v>
          </cell>
          <cell r="F149">
            <v>15000</v>
          </cell>
          <cell r="I149">
            <v>15000</v>
          </cell>
        </row>
        <row r="150">
          <cell r="A150" t="str">
            <v>CTD</v>
          </cell>
          <cell r="B150" t="str">
            <v>04.7001</v>
          </cell>
          <cell r="C150" t="str">
            <v>Coïc tieáp ñaát @ 16 - 2,4m</v>
          </cell>
          <cell r="D150" t="str">
            <v>coïc</v>
          </cell>
          <cell r="F150">
            <v>26000</v>
          </cell>
          <cell r="G150">
            <v>5217</v>
          </cell>
          <cell r="I150">
            <v>26000</v>
          </cell>
        </row>
        <row r="151">
          <cell r="A151" t="str">
            <v>DC</v>
          </cell>
          <cell r="C151" t="str">
            <v>Daây chì 20K</v>
          </cell>
          <cell r="D151" t="str">
            <v>caùi</v>
          </cell>
          <cell r="F151">
            <v>25000</v>
          </cell>
          <cell r="I151">
            <v>25000</v>
          </cell>
        </row>
        <row r="152">
          <cell r="A152" t="str">
            <v>DAYA</v>
          </cell>
          <cell r="C152" t="str">
            <v xml:space="preserve">Daây nhoâm buoäc </v>
          </cell>
          <cell r="D152" t="str">
            <v>kg</v>
          </cell>
          <cell r="F152">
            <v>28000</v>
          </cell>
          <cell r="I152">
            <v>28000</v>
          </cell>
        </row>
        <row r="153">
          <cell r="A153" t="str">
            <v>GDFCO</v>
          </cell>
          <cell r="B153" t="str">
            <v>06.2110</v>
          </cell>
          <cell r="C153" t="str">
            <v>Giaù chöõ "T" laép FCO</v>
          </cell>
          <cell r="D153" t="str">
            <v>boä</v>
          </cell>
          <cell r="F153">
            <v>42760</v>
          </cell>
          <cell r="G153">
            <v>5688</v>
          </cell>
          <cell r="I153">
            <v>42760</v>
          </cell>
        </row>
        <row r="154">
          <cell r="A154" t="str">
            <v>GUFCO</v>
          </cell>
          <cell r="B154" t="str">
            <v>06.2110</v>
          </cell>
          <cell r="C154" t="str">
            <v>Giaù U 80x600 laép FCO</v>
          </cell>
          <cell r="D154" t="str">
            <v>boä</v>
          </cell>
          <cell r="F154">
            <v>42760</v>
          </cell>
          <cell r="G154">
            <v>5688</v>
          </cell>
          <cell r="I154">
            <v>42760</v>
          </cell>
        </row>
        <row r="155">
          <cell r="A155" t="str">
            <v>GIATFCO</v>
          </cell>
          <cell r="B155" t="str">
            <v>06.2110</v>
          </cell>
          <cell r="C155" t="str">
            <v>Giaù chöõ "T" laép FCO, LA</v>
          </cell>
          <cell r="D155" t="str">
            <v>boä</v>
          </cell>
          <cell r="F155">
            <v>42760</v>
          </cell>
          <cell r="G155">
            <v>5688</v>
          </cell>
          <cell r="I155">
            <v>42760</v>
          </cell>
        </row>
        <row r="156">
          <cell r="A156" t="str">
            <v>GCST</v>
          </cell>
          <cell r="C156" t="str">
            <v>Gia coâng saét theùp</v>
          </cell>
          <cell r="D156" t="str">
            <v>kg</v>
          </cell>
          <cell r="F156">
            <v>2500</v>
          </cell>
          <cell r="I156">
            <v>2500</v>
          </cell>
        </row>
        <row r="157">
          <cell r="A157" t="str">
            <v>G</v>
          </cell>
          <cell r="C157" t="str">
            <v>Vaät lieäu döïng truï</v>
          </cell>
          <cell r="D157" t="str">
            <v>truï</v>
          </cell>
          <cell r="F157">
            <v>20790</v>
          </cell>
          <cell r="I157">
            <v>20790</v>
          </cell>
        </row>
        <row r="158">
          <cell r="A158" t="str">
            <v>HI</v>
          </cell>
          <cell r="C158" t="str">
            <v>Haéc ín</v>
          </cell>
          <cell r="D158" t="str">
            <v>kg</v>
          </cell>
          <cell r="F158">
            <v>2340</v>
          </cell>
          <cell r="I158">
            <v>3000</v>
          </cell>
        </row>
        <row r="159">
          <cell r="A159" t="str">
            <v>K3B</v>
          </cell>
          <cell r="C159" t="str">
            <v>Keïp caùp 3 boulon</v>
          </cell>
          <cell r="D159" t="str">
            <v>caùi</v>
          </cell>
          <cell r="F159">
            <v>13600</v>
          </cell>
          <cell r="I159">
            <v>13600</v>
          </cell>
        </row>
        <row r="160">
          <cell r="A160" t="str">
            <v>KCD</v>
          </cell>
          <cell r="C160" t="str">
            <v>Keïp coïc tieáp ñaát</v>
          </cell>
          <cell r="D160" t="str">
            <v>caùi</v>
          </cell>
          <cell r="F160">
            <v>8545</v>
          </cell>
          <cell r="I160">
            <v>6400</v>
          </cell>
        </row>
        <row r="161">
          <cell r="A161" t="str">
            <v>K240</v>
          </cell>
          <cell r="C161" t="str">
            <v>Keïp daây 3 bu long 2 raõnh daây 240 mm2</v>
          </cell>
          <cell r="D161" t="str">
            <v>caùi</v>
          </cell>
          <cell r="F161">
            <v>33000</v>
          </cell>
          <cell r="I161">
            <v>33000</v>
          </cell>
        </row>
        <row r="162">
          <cell r="A162" t="str">
            <v>K185</v>
          </cell>
          <cell r="C162" t="str">
            <v>Keïp daây 3 bu long 2 raõnh daây 185mm2</v>
          </cell>
          <cell r="D162" t="str">
            <v>caùi</v>
          </cell>
          <cell r="F162">
            <v>33000</v>
          </cell>
          <cell r="I162">
            <v>33000</v>
          </cell>
        </row>
        <row r="163">
          <cell r="A163" t="str">
            <v>K120</v>
          </cell>
          <cell r="C163" t="str">
            <v>Keïp daây 3 bu long 2 raõnh daây 120mm2</v>
          </cell>
          <cell r="D163" t="str">
            <v>caùi</v>
          </cell>
          <cell r="F163">
            <v>17700</v>
          </cell>
          <cell r="I163">
            <v>17700</v>
          </cell>
        </row>
        <row r="164">
          <cell r="A164" t="str">
            <v>K35</v>
          </cell>
          <cell r="C164" t="str">
            <v>Keïp daây 3 bu long 2 raõnh daây 35mm2</v>
          </cell>
          <cell r="D164" t="str">
            <v>caùi</v>
          </cell>
          <cell r="F164">
            <v>3905</v>
          </cell>
          <cell r="I164">
            <v>3905</v>
          </cell>
        </row>
        <row r="165">
          <cell r="A165" t="str">
            <v>K50</v>
          </cell>
          <cell r="C165" t="str">
            <v>Keïp daây 3 bu long 2 raõnh daây 50mm2</v>
          </cell>
          <cell r="D165" t="str">
            <v>caùi</v>
          </cell>
          <cell r="F165">
            <v>8000</v>
          </cell>
          <cell r="I165">
            <v>8000</v>
          </cell>
        </row>
        <row r="166">
          <cell r="A166" t="str">
            <v>K70</v>
          </cell>
          <cell r="C166" t="str">
            <v>Keïp daây 3 bu long 2 raõnh daây 70mm2</v>
          </cell>
          <cell r="D166" t="str">
            <v>caùi</v>
          </cell>
          <cell r="F166">
            <v>12386</v>
          </cell>
          <cell r="I166">
            <v>12386</v>
          </cell>
        </row>
        <row r="167">
          <cell r="A167" t="str">
            <v>K95</v>
          </cell>
          <cell r="C167" t="str">
            <v>Keïp daây 3 bu long 2 raõnh daây 95mm2</v>
          </cell>
          <cell r="D167" t="str">
            <v>caùi</v>
          </cell>
          <cell r="F167">
            <v>10857</v>
          </cell>
          <cell r="I167">
            <v>10857</v>
          </cell>
        </row>
        <row r="168">
          <cell r="A168" t="str">
            <v>K35A</v>
          </cell>
          <cell r="C168" t="str">
            <v>Keïp daây 3 bu long 2 raõnh daây A-35</v>
          </cell>
          <cell r="D168" t="str">
            <v>caùi</v>
          </cell>
          <cell r="F168">
            <v>3905</v>
          </cell>
          <cell r="I168">
            <v>3905</v>
          </cell>
        </row>
        <row r="169">
          <cell r="A169" t="str">
            <v>K50A</v>
          </cell>
          <cell r="C169" t="str">
            <v>Keïp daây 3 bu long 2 raõnh daây A-50</v>
          </cell>
          <cell r="D169" t="str">
            <v>caùi</v>
          </cell>
          <cell r="F169">
            <v>7429</v>
          </cell>
          <cell r="I169">
            <v>7429</v>
          </cell>
        </row>
        <row r="170">
          <cell r="A170" t="str">
            <v>K70A</v>
          </cell>
          <cell r="C170" t="str">
            <v>Keïp daây 3 bu long 2 raõnh daây A-70</v>
          </cell>
          <cell r="D170" t="str">
            <v>caùi</v>
          </cell>
          <cell r="F170">
            <v>7429</v>
          </cell>
          <cell r="I170">
            <v>7429</v>
          </cell>
        </row>
        <row r="171">
          <cell r="A171" t="str">
            <v>K95A</v>
          </cell>
          <cell r="C171" t="str">
            <v>Keïp daây 3 bu long 2 raõnh daây A-95</v>
          </cell>
          <cell r="D171" t="str">
            <v>caùi</v>
          </cell>
          <cell r="F171">
            <v>10857</v>
          </cell>
          <cell r="I171">
            <v>10857</v>
          </cell>
        </row>
        <row r="172">
          <cell r="A172" t="str">
            <v>K120A</v>
          </cell>
          <cell r="C172" t="str">
            <v>Keïp daây 3 bu long 2 raõnh daây A-120</v>
          </cell>
          <cell r="D172" t="str">
            <v>caùi</v>
          </cell>
          <cell r="F172">
            <v>17700</v>
          </cell>
          <cell r="I172">
            <v>17700</v>
          </cell>
        </row>
        <row r="173">
          <cell r="A173" t="str">
            <v>K185A</v>
          </cell>
          <cell r="C173" t="str">
            <v>Keïp daây 3 bu long 2 raõnh daây A-185</v>
          </cell>
          <cell r="D173" t="str">
            <v>caùi</v>
          </cell>
          <cell r="F173">
            <v>33000</v>
          </cell>
          <cell r="I173">
            <v>33000</v>
          </cell>
        </row>
        <row r="174">
          <cell r="A174" t="str">
            <v>K240A</v>
          </cell>
          <cell r="C174" t="str">
            <v>Keïp daây 3 bu long 2 raõnh daây A-240</v>
          </cell>
          <cell r="D174" t="str">
            <v>caùi</v>
          </cell>
          <cell r="F174">
            <v>33000</v>
          </cell>
          <cell r="I174">
            <v>33000</v>
          </cell>
        </row>
        <row r="175">
          <cell r="A175" t="str">
            <v>K502b</v>
          </cell>
          <cell r="C175" t="str">
            <v>Keïp daây 2 bu long 2 raõnh daây 50mm2</v>
          </cell>
          <cell r="D175" t="str">
            <v>caùi</v>
          </cell>
          <cell r="F175">
            <v>5200</v>
          </cell>
          <cell r="I175">
            <v>5200</v>
          </cell>
        </row>
        <row r="176">
          <cell r="A176" t="str">
            <v>K702b</v>
          </cell>
          <cell r="C176" t="str">
            <v>Keïp daây 2 bu long 2 raõnh daây 70mm2</v>
          </cell>
          <cell r="D176" t="str">
            <v>caùi</v>
          </cell>
          <cell r="F176">
            <v>7429</v>
          </cell>
          <cell r="I176">
            <v>7429</v>
          </cell>
        </row>
        <row r="177">
          <cell r="A177" t="str">
            <v>KE35</v>
          </cell>
          <cell r="C177" t="str">
            <v>Keïp eùp côõ daây 35mm2</v>
          </cell>
          <cell r="D177" t="str">
            <v>caùi</v>
          </cell>
          <cell r="F177">
            <v>6250</v>
          </cell>
          <cell r="I177">
            <v>4100</v>
          </cell>
        </row>
        <row r="178">
          <cell r="A178" t="str">
            <v>KE48</v>
          </cell>
          <cell r="C178" t="str">
            <v>Keïp eùp côõ daây 48mm2</v>
          </cell>
          <cell r="D178" t="str">
            <v>caùi</v>
          </cell>
          <cell r="F178">
            <v>8000</v>
          </cell>
          <cell r="I178">
            <v>7800</v>
          </cell>
        </row>
        <row r="179">
          <cell r="A179" t="str">
            <v>KE50</v>
          </cell>
          <cell r="C179" t="str">
            <v>Keïp eùp côõ daây 50mm2</v>
          </cell>
          <cell r="D179" t="str">
            <v>caùi</v>
          </cell>
          <cell r="F179">
            <v>8000</v>
          </cell>
          <cell r="I179">
            <v>7800</v>
          </cell>
        </row>
        <row r="180">
          <cell r="A180" t="str">
            <v>KE70</v>
          </cell>
          <cell r="C180" t="str">
            <v>Keïp eùp côõ daây 70mm2</v>
          </cell>
          <cell r="D180" t="str">
            <v>caùi</v>
          </cell>
          <cell r="F180">
            <v>12386</v>
          </cell>
          <cell r="I180">
            <v>7800</v>
          </cell>
        </row>
        <row r="181">
          <cell r="A181" t="str">
            <v>KE95</v>
          </cell>
          <cell r="C181" t="str">
            <v>Keïp eùp côõ daây 95mm2</v>
          </cell>
          <cell r="D181" t="str">
            <v>caùi</v>
          </cell>
          <cell r="F181">
            <v>18636</v>
          </cell>
          <cell r="I181">
            <v>11400</v>
          </cell>
        </row>
        <row r="182">
          <cell r="A182" t="str">
            <v>KE120</v>
          </cell>
          <cell r="C182" t="str">
            <v>Keïp eùp côõ daây 120mm2</v>
          </cell>
          <cell r="D182" t="str">
            <v>caùi</v>
          </cell>
          <cell r="F182">
            <v>24000</v>
          </cell>
          <cell r="I182">
            <v>17700</v>
          </cell>
        </row>
        <row r="183">
          <cell r="A183" t="str">
            <v>KE185</v>
          </cell>
          <cell r="C183" t="str">
            <v>Keïp eùp côõ daây 185mm2</v>
          </cell>
          <cell r="D183" t="str">
            <v>caùi</v>
          </cell>
          <cell r="F183">
            <v>31818</v>
          </cell>
          <cell r="I183">
            <v>33000</v>
          </cell>
        </row>
        <row r="184">
          <cell r="A184" t="str">
            <v>KE240</v>
          </cell>
          <cell r="C184" t="str">
            <v>Keïp eùp côõ daây 240mm2</v>
          </cell>
          <cell r="D184" t="str">
            <v>caùi</v>
          </cell>
          <cell r="F184">
            <v>38182</v>
          </cell>
          <cell r="I184">
            <v>33000</v>
          </cell>
        </row>
        <row r="185">
          <cell r="A185" t="str">
            <v>KCUAL</v>
          </cell>
          <cell r="C185" t="str">
            <v>Keïp noái ñoàng-nhoâm</v>
          </cell>
          <cell r="D185" t="str">
            <v>caùi</v>
          </cell>
          <cell r="F185">
            <v>12000</v>
          </cell>
          <cell r="I185">
            <v>4500</v>
          </cell>
        </row>
        <row r="186">
          <cell r="A186" t="str">
            <v>KCUAL60</v>
          </cell>
          <cell r="C186" t="str">
            <v>Keïp noái ñoàng-nhoâm 60mm2</v>
          </cell>
          <cell r="D186" t="str">
            <v>caùi</v>
          </cell>
          <cell r="F186">
            <v>14000</v>
          </cell>
          <cell r="I186">
            <v>12000</v>
          </cell>
        </row>
        <row r="187">
          <cell r="A187" t="str">
            <v>KQ2/0</v>
          </cell>
          <cell r="B187" t="str">
            <v>04.3107</v>
          </cell>
          <cell r="C187" t="str">
            <v>Keïp quai 2/0</v>
          </cell>
          <cell r="D187" t="str">
            <v>caùi</v>
          </cell>
          <cell r="F187">
            <v>16500</v>
          </cell>
          <cell r="G187">
            <v>6444</v>
          </cell>
          <cell r="I187">
            <v>16500</v>
          </cell>
        </row>
        <row r="188">
          <cell r="A188" t="str">
            <v>KQ4/0</v>
          </cell>
          <cell r="B188" t="str">
            <v>04.3107</v>
          </cell>
          <cell r="C188" t="str">
            <v>Keïp quai 4/0</v>
          </cell>
          <cell r="D188" t="str">
            <v>caùi</v>
          </cell>
          <cell r="F188">
            <v>17050</v>
          </cell>
          <cell r="G188">
            <v>6444</v>
          </cell>
          <cell r="I188">
            <v>17050</v>
          </cell>
        </row>
        <row r="189">
          <cell r="A189" t="str">
            <v>KH2/0</v>
          </cell>
          <cell r="B189" t="str">
            <v>04.3107</v>
          </cell>
          <cell r="C189" t="str">
            <v>Keïp hotline 2/0</v>
          </cell>
          <cell r="D189" t="str">
            <v>caùi</v>
          </cell>
          <cell r="F189">
            <v>16500</v>
          </cell>
          <cell r="G189">
            <v>6444</v>
          </cell>
          <cell r="I189">
            <v>16500</v>
          </cell>
        </row>
        <row r="190">
          <cell r="A190" t="str">
            <v>KH4/0</v>
          </cell>
          <cell r="B190" t="str">
            <v>04.3107</v>
          </cell>
          <cell r="C190" t="str">
            <v>Keïp hotline 4/0</v>
          </cell>
          <cell r="D190" t="str">
            <v>caùi</v>
          </cell>
          <cell r="F190">
            <v>16500</v>
          </cell>
          <cell r="G190">
            <v>6444</v>
          </cell>
          <cell r="I190">
            <v>16500</v>
          </cell>
        </row>
        <row r="191">
          <cell r="A191" t="str">
            <v>KH350M</v>
          </cell>
          <cell r="B191" t="str">
            <v>04.3107</v>
          </cell>
          <cell r="C191" t="str">
            <v>Keïp hotline 350MCM</v>
          </cell>
          <cell r="D191" t="str">
            <v>caùi</v>
          </cell>
          <cell r="F191">
            <v>19800</v>
          </cell>
          <cell r="G191">
            <v>6444</v>
          </cell>
          <cell r="I191">
            <v>19800</v>
          </cell>
        </row>
        <row r="192">
          <cell r="A192" t="str">
            <v>KEU</v>
          </cell>
          <cell r="C192" t="str">
            <v>Keïp U döøng daây trung hoøa</v>
          </cell>
          <cell r="D192" t="str">
            <v>caùi</v>
          </cell>
          <cell r="F192">
            <v>8000</v>
          </cell>
          <cell r="I192">
            <v>8000</v>
          </cell>
        </row>
        <row r="193">
          <cell r="A193" t="str">
            <v>Kd50</v>
          </cell>
          <cell r="C193" t="str">
            <v>Khoùa ñôõ daây AC-50</v>
          </cell>
          <cell r="D193" t="str">
            <v>caùi</v>
          </cell>
          <cell r="F193">
            <v>22762</v>
          </cell>
          <cell r="I193">
            <v>22762</v>
          </cell>
        </row>
        <row r="194">
          <cell r="A194" t="str">
            <v>Kd70</v>
          </cell>
          <cell r="C194" t="str">
            <v>Khoùa ñôõ daây AC-70</v>
          </cell>
          <cell r="D194" t="str">
            <v>caùi</v>
          </cell>
          <cell r="F194">
            <v>22762</v>
          </cell>
          <cell r="I194">
            <v>22762</v>
          </cell>
        </row>
        <row r="195">
          <cell r="A195" t="str">
            <v>KN240</v>
          </cell>
          <cell r="C195" t="str">
            <v>Khoùa neùo daây AC-240</v>
          </cell>
          <cell r="D195" t="str">
            <v>caùi</v>
          </cell>
          <cell r="F195">
            <v>46500</v>
          </cell>
          <cell r="I195">
            <v>46500</v>
          </cell>
        </row>
        <row r="196">
          <cell r="A196" t="str">
            <v>KN185</v>
          </cell>
          <cell r="C196" t="str">
            <v>Khoùa neùo daây AC-185</v>
          </cell>
          <cell r="D196" t="str">
            <v>caùi</v>
          </cell>
          <cell r="F196">
            <v>46500</v>
          </cell>
          <cell r="I196">
            <v>46500</v>
          </cell>
        </row>
        <row r="197">
          <cell r="A197" t="str">
            <v>KN120</v>
          </cell>
          <cell r="C197" t="str">
            <v>Khoùa neùo daây AC-120</v>
          </cell>
          <cell r="D197" t="str">
            <v>caùi</v>
          </cell>
          <cell r="F197">
            <v>46500</v>
          </cell>
          <cell r="I197">
            <v>46500</v>
          </cell>
        </row>
        <row r="198">
          <cell r="A198" t="str">
            <v>KN70</v>
          </cell>
          <cell r="C198" t="str">
            <v>Khoùa neùo daây AC-70</v>
          </cell>
          <cell r="D198" t="str">
            <v>caùi</v>
          </cell>
          <cell r="F198">
            <v>26351</v>
          </cell>
          <cell r="I198">
            <v>26351</v>
          </cell>
        </row>
        <row r="199">
          <cell r="A199" t="str">
            <v>KN50</v>
          </cell>
          <cell r="C199" t="str">
            <v>Khoùa neùo daây AC-50</v>
          </cell>
          <cell r="D199" t="str">
            <v>caùi</v>
          </cell>
          <cell r="F199">
            <v>26351</v>
          </cell>
          <cell r="I199">
            <v>26351</v>
          </cell>
        </row>
        <row r="200">
          <cell r="A200" t="str">
            <v>KN95</v>
          </cell>
          <cell r="C200" t="str">
            <v>Khoùa neùo daây AC-95</v>
          </cell>
          <cell r="D200" t="str">
            <v>caùi</v>
          </cell>
          <cell r="F200">
            <v>39905</v>
          </cell>
          <cell r="I200">
            <v>39905</v>
          </cell>
        </row>
        <row r="201">
          <cell r="A201" t="str">
            <v>KN35</v>
          </cell>
          <cell r="C201" t="str">
            <v>Khoùa neùo daây AC-35</v>
          </cell>
          <cell r="D201" t="str">
            <v>caùi</v>
          </cell>
          <cell r="F201">
            <v>26351</v>
          </cell>
          <cell r="I201">
            <v>26351</v>
          </cell>
        </row>
        <row r="202">
          <cell r="A202" t="str">
            <v>KN70A</v>
          </cell>
          <cell r="C202" t="str">
            <v>Khoùa neùo daây A-70</v>
          </cell>
          <cell r="D202" t="str">
            <v>caùi</v>
          </cell>
          <cell r="F202">
            <v>26351</v>
          </cell>
          <cell r="I202">
            <v>26351</v>
          </cell>
        </row>
        <row r="203">
          <cell r="A203" t="str">
            <v>KN50A</v>
          </cell>
          <cell r="C203" t="str">
            <v>Khoùa neùo daây A-50</v>
          </cell>
          <cell r="D203" t="str">
            <v>caùi</v>
          </cell>
          <cell r="F203">
            <v>26351</v>
          </cell>
          <cell r="I203">
            <v>26351</v>
          </cell>
        </row>
        <row r="204">
          <cell r="A204" t="str">
            <v>KN95A</v>
          </cell>
          <cell r="C204" t="str">
            <v>Khoùa neùo daây A-95</v>
          </cell>
          <cell r="D204" t="str">
            <v>caùi</v>
          </cell>
          <cell r="F204">
            <v>39905</v>
          </cell>
          <cell r="I204">
            <v>39905</v>
          </cell>
        </row>
        <row r="205">
          <cell r="A205" t="str">
            <v>KN35A</v>
          </cell>
          <cell r="C205" t="str">
            <v>Khoùa neùo daây A-35</v>
          </cell>
          <cell r="D205" t="str">
            <v>caùi</v>
          </cell>
          <cell r="F205">
            <v>26351</v>
          </cell>
          <cell r="I205">
            <v>26351</v>
          </cell>
        </row>
        <row r="206">
          <cell r="A206" t="str">
            <v>KN158</v>
          </cell>
          <cell r="C206" t="str">
            <v>Khoùa neùo N158</v>
          </cell>
          <cell r="D206" t="str">
            <v>caùi</v>
          </cell>
          <cell r="F206">
            <v>32925</v>
          </cell>
          <cell r="I206">
            <v>32925</v>
          </cell>
        </row>
        <row r="207">
          <cell r="A207" t="str">
            <v>KN357</v>
          </cell>
          <cell r="C207" t="str">
            <v>Khoùa neùo N357</v>
          </cell>
          <cell r="D207" t="str">
            <v>caùi</v>
          </cell>
          <cell r="F207">
            <v>32925</v>
          </cell>
          <cell r="I207">
            <v>32925</v>
          </cell>
        </row>
        <row r="208">
          <cell r="A208" t="str">
            <v>KN912</v>
          </cell>
          <cell r="C208" t="str">
            <v>Khoùa neùo N912</v>
          </cell>
          <cell r="D208" t="str">
            <v>caùi</v>
          </cell>
          <cell r="F208">
            <v>32925</v>
          </cell>
          <cell r="I208">
            <v>32925</v>
          </cell>
        </row>
        <row r="209">
          <cell r="A209" t="str">
            <v>KD357</v>
          </cell>
          <cell r="C209" t="str">
            <v>Khoùa ñôõ Ñ357</v>
          </cell>
          <cell r="D209" t="str">
            <v>caùi</v>
          </cell>
          <cell r="F209">
            <v>32386</v>
          </cell>
          <cell r="I209">
            <v>32386</v>
          </cell>
        </row>
        <row r="210">
          <cell r="A210" t="str">
            <v>KD912</v>
          </cell>
          <cell r="C210" t="str">
            <v>Khoùa ñôõ N912</v>
          </cell>
          <cell r="D210" t="str">
            <v>caùi</v>
          </cell>
          <cell r="F210">
            <v>32925</v>
          </cell>
          <cell r="I210">
            <v>32925</v>
          </cell>
        </row>
        <row r="211">
          <cell r="A211" t="str">
            <v>LD18</v>
          </cell>
          <cell r="C211" t="str">
            <v>Long ñeàn 18</v>
          </cell>
          <cell r="D211" t="str">
            <v>caùi</v>
          </cell>
          <cell r="F211">
            <v>400</v>
          </cell>
          <cell r="I211">
            <v>400</v>
          </cell>
        </row>
        <row r="212">
          <cell r="A212" t="str">
            <v>LD22</v>
          </cell>
          <cell r="C212" t="str">
            <v>Long ñeàn 22</v>
          </cell>
          <cell r="D212" t="str">
            <v>caùi</v>
          </cell>
          <cell r="F212">
            <v>800</v>
          </cell>
          <cell r="I212">
            <v>800</v>
          </cell>
        </row>
        <row r="213">
          <cell r="A213" t="str">
            <v>MANG</v>
          </cell>
          <cell r="C213" t="str">
            <v>Maùng che daây chaèng</v>
          </cell>
          <cell r="D213" t="str">
            <v>caùi</v>
          </cell>
          <cell r="F213">
            <v>14000</v>
          </cell>
          <cell r="I213">
            <v>14000</v>
          </cell>
        </row>
        <row r="214">
          <cell r="A214" t="str">
            <v>MND</v>
          </cell>
          <cell r="C214" t="str">
            <v>Maét noái ñôn</v>
          </cell>
          <cell r="D214" t="str">
            <v>caùi</v>
          </cell>
          <cell r="F214">
            <v>6500</v>
          </cell>
          <cell r="I214">
            <v>6500</v>
          </cell>
        </row>
        <row r="215">
          <cell r="A215" t="str">
            <v>MNTG</v>
          </cell>
          <cell r="C215" t="str">
            <v xml:space="preserve">Maét noái t/ gian </v>
          </cell>
          <cell r="D215" t="str">
            <v>caùi</v>
          </cell>
          <cell r="F215">
            <v>12500</v>
          </cell>
          <cell r="I215">
            <v>12500</v>
          </cell>
        </row>
        <row r="216">
          <cell r="A216" t="str">
            <v>MT</v>
          </cell>
          <cell r="C216" t="str">
            <v xml:space="preserve">Moùc treo chöõ U </v>
          </cell>
          <cell r="D216" t="str">
            <v>caùi</v>
          </cell>
          <cell r="F216">
            <v>7048</v>
          </cell>
          <cell r="I216">
            <v>7048</v>
          </cell>
        </row>
        <row r="217">
          <cell r="A217" t="str">
            <v>MT61A</v>
          </cell>
          <cell r="C217" t="str">
            <v>Moùc treo CK61A</v>
          </cell>
          <cell r="D217" t="str">
            <v>caùi</v>
          </cell>
          <cell r="F217">
            <v>7400</v>
          </cell>
          <cell r="I217">
            <v>7400</v>
          </cell>
        </row>
        <row r="218">
          <cell r="A218" t="str">
            <v>VT</v>
          </cell>
          <cell r="C218" t="str">
            <v>Voøng treo ñaàu troøn</v>
          </cell>
          <cell r="D218" t="str">
            <v>caùi</v>
          </cell>
          <cell r="F218">
            <v>4762</v>
          </cell>
          <cell r="I218">
            <v>4762</v>
          </cell>
        </row>
        <row r="219">
          <cell r="A219" t="str">
            <v>ON240A</v>
          </cell>
          <cell r="C219" t="str">
            <v>OÁng noái daây A-240</v>
          </cell>
          <cell r="D219" t="str">
            <v>caùi</v>
          </cell>
          <cell r="F219">
            <v>110000</v>
          </cell>
          <cell r="I219">
            <v>110000</v>
          </cell>
        </row>
        <row r="220">
          <cell r="A220" t="str">
            <v>ON185A</v>
          </cell>
          <cell r="C220" t="str">
            <v>OÁng noái daây A-185</v>
          </cell>
          <cell r="D220" t="str">
            <v>caùi</v>
          </cell>
          <cell r="F220">
            <v>110000</v>
          </cell>
          <cell r="I220">
            <v>110000</v>
          </cell>
        </row>
        <row r="221">
          <cell r="A221" t="str">
            <v>ON120A</v>
          </cell>
          <cell r="C221" t="str">
            <v>OÁng noái daây A-120</v>
          </cell>
          <cell r="D221" t="str">
            <v>caùi</v>
          </cell>
          <cell r="F221">
            <v>75000</v>
          </cell>
          <cell r="I221">
            <v>75000</v>
          </cell>
        </row>
        <row r="222">
          <cell r="A222" t="str">
            <v>ON35A</v>
          </cell>
          <cell r="C222" t="str">
            <v>OÁng noái daây A-35</v>
          </cell>
          <cell r="D222" t="str">
            <v>caùi</v>
          </cell>
          <cell r="F222">
            <v>8182</v>
          </cell>
          <cell r="I222">
            <v>9000</v>
          </cell>
        </row>
        <row r="223">
          <cell r="A223" t="str">
            <v>ON50A</v>
          </cell>
          <cell r="C223" t="str">
            <v>OÁng noái daây A-50</v>
          </cell>
          <cell r="D223" t="str">
            <v>caùi</v>
          </cell>
          <cell r="F223">
            <v>10090</v>
          </cell>
          <cell r="I223">
            <v>12000</v>
          </cell>
        </row>
        <row r="224">
          <cell r="A224" t="str">
            <v>ON70A</v>
          </cell>
          <cell r="C224" t="str">
            <v>OÁng noái daây A-70</v>
          </cell>
          <cell r="D224" t="str">
            <v>caùi</v>
          </cell>
          <cell r="F224">
            <v>18182</v>
          </cell>
          <cell r="I224">
            <v>20000</v>
          </cell>
        </row>
        <row r="225">
          <cell r="A225" t="str">
            <v>ON95A</v>
          </cell>
          <cell r="C225" t="str">
            <v>OÁng noái daây A-95</v>
          </cell>
          <cell r="D225" t="str">
            <v>caùi</v>
          </cell>
          <cell r="F225">
            <v>27273</v>
          </cell>
          <cell r="I225">
            <v>30000</v>
          </cell>
        </row>
        <row r="226">
          <cell r="A226" t="str">
            <v>ON240</v>
          </cell>
          <cell r="C226" t="str">
            <v>OÁng noái daây AC240</v>
          </cell>
          <cell r="D226" t="str">
            <v>caùi</v>
          </cell>
          <cell r="F226">
            <v>110000</v>
          </cell>
          <cell r="I226">
            <v>110000</v>
          </cell>
        </row>
        <row r="227">
          <cell r="A227" t="str">
            <v>ON185</v>
          </cell>
          <cell r="C227" t="str">
            <v>OÁng noái daây AC185</v>
          </cell>
          <cell r="D227" t="str">
            <v>caùi</v>
          </cell>
          <cell r="F227">
            <v>80182</v>
          </cell>
          <cell r="I227">
            <v>80182</v>
          </cell>
        </row>
        <row r="228">
          <cell r="A228" t="str">
            <v>ON120</v>
          </cell>
          <cell r="C228" t="str">
            <v>OÁng noái daây AC120/19</v>
          </cell>
          <cell r="D228" t="str">
            <v>caùi</v>
          </cell>
          <cell r="F228">
            <v>54545</v>
          </cell>
          <cell r="I228">
            <v>54545</v>
          </cell>
        </row>
        <row r="229">
          <cell r="A229" t="str">
            <v>ON35</v>
          </cell>
          <cell r="C229" t="str">
            <v>OÁng noái daây AC35/6,2</v>
          </cell>
          <cell r="D229" t="str">
            <v>caùi</v>
          </cell>
          <cell r="F229">
            <v>8182</v>
          </cell>
          <cell r="I229">
            <v>9000</v>
          </cell>
        </row>
        <row r="230">
          <cell r="A230" t="str">
            <v>ON50</v>
          </cell>
          <cell r="C230" t="str">
            <v>OÁng noái daây côõ 50mm2</v>
          </cell>
          <cell r="D230" t="str">
            <v>caùi</v>
          </cell>
          <cell r="F230">
            <v>10090</v>
          </cell>
          <cell r="I230">
            <v>12000</v>
          </cell>
        </row>
        <row r="231">
          <cell r="A231" t="str">
            <v>ON70</v>
          </cell>
          <cell r="C231" t="str">
            <v>OÁng noái daây AC70</v>
          </cell>
          <cell r="D231" t="str">
            <v>caùi</v>
          </cell>
          <cell r="F231">
            <v>18182</v>
          </cell>
          <cell r="I231">
            <v>20000</v>
          </cell>
        </row>
        <row r="232">
          <cell r="A232" t="str">
            <v>ON95</v>
          </cell>
          <cell r="C232" t="str">
            <v>OÁng noái daây AC95</v>
          </cell>
          <cell r="D232" t="str">
            <v>caùi</v>
          </cell>
          <cell r="F232">
            <v>27273</v>
          </cell>
          <cell r="I232">
            <v>30000</v>
          </cell>
        </row>
        <row r="233">
          <cell r="A233" t="str">
            <v>ON50B</v>
          </cell>
          <cell r="C233" t="str">
            <v>OÁng noái daây chòu söùc caêng côõ 50mm2</v>
          </cell>
          <cell r="D233" t="str">
            <v>caùi</v>
          </cell>
          <cell r="F233">
            <v>10090</v>
          </cell>
          <cell r="I233">
            <v>10090</v>
          </cell>
        </row>
        <row r="234">
          <cell r="A234" t="str">
            <v>OT</v>
          </cell>
          <cell r="C234" t="str">
            <v>OÁng theùp traùng keõm O 60/50</v>
          </cell>
          <cell r="D234" t="str">
            <v>meùt</v>
          </cell>
          <cell r="F234">
            <v>38000</v>
          </cell>
          <cell r="I234">
            <v>38000</v>
          </cell>
        </row>
        <row r="235">
          <cell r="A235" t="str">
            <v>PU</v>
          </cell>
          <cell r="C235" t="str">
            <v>Puli</v>
          </cell>
          <cell r="D235" t="str">
            <v>caùi</v>
          </cell>
          <cell r="F235">
            <v>25000</v>
          </cell>
          <cell r="I235">
            <v>25000</v>
          </cell>
        </row>
        <row r="236">
          <cell r="A236" t="str">
            <v>R1</v>
          </cell>
          <cell r="B236" t="str">
            <v>06.1211</v>
          </cell>
          <cell r="C236" t="str">
            <v>Uclevis + söù oáng chæ</v>
          </cell>
          <cell r="D236" t="str">
            <v>caùi</v>
          </cell>
          <cell r="F236">
            <v>10500</v>
          </cell>
          <cell r="G236">
            <v>883</v>
          </cell>
          <cell r="I236">
            <v>10500</v>
          </cell>
        </row>
        <row r="237">
          <cell r="A237" t="str">
            <v>R2</v>
          </cell>
          <cell r="B237" t="str">
            <v>06.1213</v>
          </cell>
          <cell r="C237" t="str">
            <v>Rack 2 söù + söù oáng chæ</v>
          </cell>
          <cell r="D237" t="str">
            <v>boä</v>
          </cell>
          <cell r="F237">
            <v>19900</v>
          </cell>
          <cell r="G237">
            <v>2884</v>
          </cell>
          <cell r="I237">
            <v>19900</v>
          </cell>
        </row>
        <row r="238">
          <cell r="A238" t="str">
            <v>R3</v>
          </cell>
          <cell r="B238" t="str">
            <v>06.1214</v>
          </cell>
          <cell r="C238" t="str">
            <v>Rack 3 söù + söù oáng chæ</v>
          </cell>
          <cell r="D238" t="str">
            <v>boä</v>
          </cell>
          <cell r="F238">
            <v>26700</v>
          </cell>
          <cell r="G238">
            <v>4017</v>
          </cell>
          <cell r="I238">
            <v>26700</v>
          </cell>
        </row>
        <row r="239">
          <cell r="A239" t="str">
            <v>R4</v>
          </cell>
          <cell r="B239" t="str">
            <v>06.1215</v>
          </cell>
          <cell r="C239" t="str">
            <v>Rack 4 söù + söù oáng chæ</v>
          </cell>
          <cell r="D239" t="str">
            <v>boä</v>
          </cell>
          <cell r="F239">
            <v>37000</v>
          </cell>
          <cell r="G239">
            <v>5666</v>
          </cell>
          <cell r="I239">
            <v>37000</v>
          </cell>
        </row>
        <row r="240">
          <cell r="A240" t="str">
            <v>S</v>
          </cell>
          <cell r="C240" t="str">
            <v>Sôn keû bieån vaø ñaùnh soá coät</v>
          </cell>
          <cell r="D240" t="str">
            <v>kg</v>
          </cell>
          <cell r="F240">
            <v>28000</v>
          </cell>
          <cell r="I240">
            <v>28000</v>
          </cell>
        </row>
        <row r="241">
          <cell r="A241" t="str">
            <v>SD</v>
          </cell>
          <cell r="B241" t="str">
            <v>04.2301</v>
          </cell>
          <cell r="C241" t="str">
            <v xml:space="preserve">Söù ñöùng 24KV </v>
          </cell>
          <cell r="D241" t="str">
            <v>caùi</v>
          </cell>
          <cell r="F241">
            <v>40000</v>
          </cell>
          <cell r="G241">
            <v>3499</v>
          </cell>
          <cell r="I241">
            <v>40000</v>
          </cell>
        </row>
        <row r="242">
          <cell r="A242" t="str">
            <v>SD35</v>
          </cell>
          <cell r="C242" t="str">
            <v>Söù ñöùng 35KV + ty</v>
          </cell>
          <cell r="D242" t="str">
            <v>boä</v>
          </cell>
          <cell r="F242">
            <v>134000</v>
          </cell>
          <cell r="I242">
            <v>134000</v>
          </cell>
        </row>
        <row r="243">
          <cell r="A243" t="str">
            <v>SD35cm</v>
          </cell>
          <cell r="C243" t="str">
            <v xml:space="preserve">Söù ñöùng 35KV + ty ( loaïi choáng nhieãm maën ) </v>
          </cell>
          <cell r="D243" t="str">
            <v>boä</v>
          </cell>
          <cell r="F243">
            <v>150000</v>
          </cell>
          <cell r="I243">
            <v>150000</v>
          </cell>
        </row>
        <row r="244">
          <cell r="A244" t="str">
            <v>SDI35</v>
          </cell>
          <cell r="C244" t="str">
            <v>Söù ñöùng 35KV + ty söù ñænh</v>
          </cell>
          <cell r="D244" t="str">
            <v>boä</v>
          </cell>
          <cell r="F244">
            <v>150000</v>
          </cell>
          <cell r="I244">
            <v>150000</v>
          </cell>
        </row>
        <row r="245">
          <cell r="A245" t="str">
            <v>SDCM</v>
          </cell>
          <cell r="C245" t="str">
            <v>Söù ñöùng 24KV choáng nhieãm maën</v>
          </cell>
          <cell r="D245" t="str">
            <v>caùi</v>
          </cell>
          <cell r="F245">
            <v>95000</v>
          </cell>
          <cell r="I245">
            <v>95000</v>
          </cell>
        </row>
        <row r="246">
          <cell r="A246" t="str">
            <v>SDCM1</v>
          </cell>
          <cell r="C246" t="str">
            <v>Söù ñöùng 24KV choáng nhieãm maën</v>
          </cell>
          <cell r="D246" t="str">
            <v>caùi</v>
          </cell>
          <cell r="F246">
            <v>75000</v>
          </cell>
          <cell r="I246">
            <v>75000</v>
          </cell>
        </row>
        <row r="247">
          <cell r="A247" t="str">
            <v>SN</v>
          </cell>
          <cell r="C247" t="str">
            <v>Söù chaèng</v>
          </cell>
          <cell r="D247" t="str">
            <v>caùi</v>
          </cell>
          <cell r="F247">
            <v>12000</v>
          </cell>
          <cell r="I247">
            <v>12000</v>
          </cell>
        </row>
        <row r="248">
          <cell r="A248" t="str">
            <v>SOC</v>
          </cell>
          <cell r="C248" t="str">
            <v xml:space="preserve">Söù oáng chæ </v>
          </cell>
          <cell r="D248" t="str">
            <v>caùi</v>
          </cell>
          <cell r="F248">
            <v>2497</v>
          </cell>
          <cell r="I248">
            <v>2800</v>
          </cell>
        </row>
        <row r="249">
          <cell r="A249" t="str">
            <v>ST</v>
          </cell>
          <cell r="B249" t="str">
            <v>04.2101</v>
          </cell>
          <cell r="C249" t="str">
            <v>Söù treo loaïi 70kN</v>
          </cell>
          <cell r="D249" t="str">
            <v>baùt</v>
          </cell>
          <cell r="F249">
            <v>85000</v>
          </cell>
          <cell r="G249">
            <v>2762</v>
          </cell>
          <cell r="I249">
            <v>85000</v>
          </cell>
        </row>
        <row r="250">
          <cell r="A250" t="str">
            <v>ST120</v>
          </cell>
          <cell r="C250" t="str">
            <v>Söù treo loaïi 120kN</v>
          </cell>
          <cell r="D250" t="str">
            <v>baùt</v>
          </cell>
          <cell r="F250">
            <v>120000</v>
          </cell>
          <cell r="I250">
            <v>120000</v>
          </cell>
        </row>
        <row r="251">
          <cell r="A251" t="str">
            <v>ST160</v>
          </cell>
          <cell r="C251" t="str">
            <v>Söù treo loaïi 160kN</v>
          </cell>
          <cell r="D251" t="str">
            <v>baùt</v>
          </cell>
          <cell r="F251">
            <v>160000</v>
          </cell>
          <cell r="I251">
            <v>160000</v>
          </cell>
        </row>
        <row r="252">
          <cell r="A252" t="str">
            <v>STply</v>
          </cell>
          <cell r="C252" t="str">
            <v>Söù treo polymer</v>
          </cell>
          <cell r="D252" t="str">
            <v>chuoãi</v>
          </cell>
          <cell r="F252">
            <v>210000</v>
          </cell>
          <cell r="I252">
            <v>210000</v>
          </cell>
        </row>
        <row r="253">
          <cell r="A253" t="str">
            <v>S40</v>
          </cell>
          <cell r="C253" t="str">
            <v>Saét deït 40 x 4</v>
          </cell>
          <cell r="D253" t="str">
            <v>kg</v>
          </cell>
          <cell r="F253">
            <v>9726</v>
          </cell>
          <cell r="I253">
            <v>9726</v>
          </cell>
        </row>
        <row r="254">
          <cell r="A254" t="str">
            <v>S50</v>
          </cell>
          <cell r="C254" t="str">
            <v>Saét 50 x 5</v>
          </cell>
          <cell r="D254" t="str">
            <v>kg</v>
          </cell>
          <cell r="F254">
            <v>9726</v>
          </cell>
          <cell r="I254">
            <v>9726</v>
          </cell>
        </row>
        <row r="255">
          <cell r="A255" t="str">
            <v>S60T</v>
          </cell>
          <cell r="C255" t="str">
            <v>Thanh noái saét deït 60x6x410</v>
          </cell>
          <cell r="D255" t="str">
            <v>caùi</v>
          </cell>
          <cell r="F255">
            <v>11285.077799999999</v>
          </cell>
          <cell r="I255">
            <v>11285.077799999999</v>
          </cell>
        </row>
        <row r="256">
          <cell r="A256" t="str">
            <v>S60</v>
          </cell>
          <cell r="C256" t="str">
            <v>Saét deït 60 x 6 maï keõm</v>
          </cell>
          <cell r="D256" t="str">
            <v>kg</v>
          </cell>
          <cell r="F256">
            <v>9726</v>
          </cell>
          <cell r="I256">
            <v>9726</v>
          </cell>
        </row>
        <row r="257">
          <cell r="A257" t="str">
            <v>S70</v>
          </cell>
          <cell r="C257" t="str">
            <v>Saét deït 70 x 7</v>
          </cell>
          <cell r="D257" t="str">
            <v>kg</v>
          </cell>
          <cell r="F257">
            <v>9726</v>
          </cell>
          <cell r="I257">
            <v>9726</v>
          </cell>
        </row>
        <row r="258">
          <cell r="A258" t="str">
            <v>S806</v>
          </cell>
          <cell r="C258" t="str">
            <v>Saét deït 80 x 6</v>
          </cell>
          <cell r="D258" t="str">
            <v>kg</v>
          </cell>
          <cell r="F258">
            <v>9726</v>
          </cell>
          <cell r="I258">
            <v>9726</v>
          </cell>
        </row>
        <row r="259">
          <cell r="A259" t="str">
            <v>S80</v>
          </cell>
          <cell r="C259" t="str">
            <v>Saét deït 80 x 8</v>
          </cell>
          <cell r="D259" t="str">
            <v>kg</v>
          </cell>
          <cell r="F259">
            <v>9726</v>
          </cell>
          <cell r="I259">
            <v>9726</v>
          </cell>
        </row>
        <row r="260">
          <cell r="A260" t="str">
            <v>S1008</v>
          </cell>
          <cell r="C260" t="str">
            <v>Saét deït 100 x 8</v>
          </cell>
          <cell r="D260" t="str">
            <v>kg</v>
          </cell>
          <cell r="F260">
            <v>9726</v>
          </cell>
          <cell r="I260">
            <v>9726</v>
          </cell>
        </row>
        <row r="261">
          <cell r="A261" t="str">
            <v>S12</v>
          </cell>
          <cell r="C261" t="str">
            <v>Saét deït 100 x 12</v>
          </cell>
          <cell r="D261" t="str">
            <v>kg</v>
          </cell>
          <cell r="F261">
            <v>9726</v>
          </cell>
          <cell r="I261">
            <v>9726</v>
          </cell>
        </row>
        <row r="262">
          <cell r="A262" t="str">
            <v>SL40</v>
          </cell>
          <cell r="C262" t="str">
            <v>Saét goùc L40 x40 x4</v>
          </cell>
          <cell r="D262" t="str">
            <v>kg</v>
          </cell>
          <cell r="F262">
            <v>9726</v>
          </cell>
          <cell r="I262">
            <v>9726</v>
          </cell>
        </row>
        <row r="263">
          <cell r="A263" t="str">
            <v>SL50</v>
          </cell>
          <cell r="C263" t="str">
            <v>Saét goùc L50 x50 x5</v>
          </cell>
          <cell r="D263" t="str">
            <v>kg</v>
          </cell>
          <cell r="F263">
            <v>9726</v>
          </cell>
          <cell r="I263">
            <v>9726</v>
          </cell>
        </row>
        <row r="264">
          <cell r="A264" t="str">
            <v>SL504</v>
          </cell>
          <cell r="C264" t="str">
            <v>Saét goùc L50 x50 x 4</v>
          </cell>
          <cell r="D264" t="str">
            <v>kg</v>
          </cell>
          <cell r="F264">
            <v>9726</v>
          </cell>
          <cell r="I264">
            <v>9726</v>
          </cell>
        </row>
        <row r="265">
          <cell r="A265" t="str">
            <v>SL60</v>
          </cell>
          <cell r="C265" t="str">
            <v>Saét goùc L60 x 60 x 5 maï keõm</v>
          </cell>
          <cell r="D265" t="str">
            <v>kg</v>
          </cell>
          <cell r="F265">
            <v>9726</v>
          </cell>
          <cell r="I265">
            <v>9726</v>
          </cell>
        </row>
        <row r="266">
          <cell r="A266" t="str">
            <v>SL63</v>
          </cell>
          <cell r="C266" t="str">
            <v>Saét goùc L63 x 63 x6</v>
          </cell>
          <cell r="D266" t="str">
            <v>kg</v>
          </cell>
          <cell r="F266">
            <v>9726</v>
          </cell>
          <cell r="I266">
            <v>9726</v>
          </cell>
        </row>
        <row r="267">
          <cell r="A267" t="str">
            <v>SL70</v>
          </cell>
          <cell r="C267" t="str">
            <v>Saét goùc L70 x70 x7</v>
          </cell>
          <cell r="D267" t="str">
            <v>kg</v>
          </cell>
          <cell r="F267">
            <v>9726</v>
          </cell>
          <cell r="I267">
            <v>9726</v>
          </cell>
        </row>
        <row r="268">
          <cell r="A268" t="str">
            <v>SL75</v>
          </cell>
          <cell r="C268" t="str">
            <v>Saét goùc L75 x 75 x 8 maï keõm</v>
          </cell>
          <cell r="D268" t="str">
            <v>kg</v>
          </cell>
          <cell r="F268">
            <v>9726</v>
          </cell>
          <cell r="I268">
            <v>9726</v>
          </cell>
        </row>
        <row r="269">
          <cell r="A269" t="str">
            <v>SL80</v>
          </cell>
          <cell r="C269" t="str">
            <v>Saét goùc L80 x 80 x 7 maï keõm</v>
          </cell>
          <cell r="D269" t="str">
            <v>kg</v>
          </cell>
          <cell r="F269">
            <v>9726</v>
          </cell>
          <cell r="I269">
            <v>9726</v>
          </cell>
        </row>
        <row r="270">
          <cell r="A270" t="str">
            <v>SL808</v>
          </cell>
          <cell r="C270" t="str">
            <v>Saét goùc L80 x 80 x 8 maï keõm</v>
          </cell>
          <cell r="D270" t="str">
            <v>kg</v>
          </cell>
          <cell r="F270">
            <v>9726</v>
          </cell>
          <cell r="I270">
            <v>9726</v>
          </cell>
        </row>
        <row r="271">
          <cell r="A271" t="str">
            <v>U1634</v>
          </cell>
          <cell r="B271" t="str">
            <v>04.9102</v>
          </cell>
          <cell r="C271" t="str">
            <v>Ñaø U160 x 68x5 daøi 3.4m maï keõm ñôõ MBA</v>
          </cell>
          <cell r="D271" t="str">
            <v>caùi</v>
          </cell>
          <cell r="F271">
            <v>505946.52</v>
          </cell>
          <cell r="G271">
            <v>9440</v>
          </cell>
          <cell r="I271">
            <v>505946.52</v>
          </cell>
        </row>
        <row r="272">
          <cell r="A272" t="str">
            <v>U1630</v>
          </cell>
          <cell r="B272" t="str">
            <v>04.9102</v>
          </cell>
          <cell r="C272" t="str">
            <v>Ñaø U160 x 68x5 daøi 3m maï keõm ñôõ MBA</v>
          </cell>
          <cell r="D272" t="str">
            <v>caùi</v>
          </cell>
          <cell r="F272">
            <v>446423.4</v>
          </cell>
          <cell r="G272">
            <v>8329</v>
          </cell>
          <cell r="I272">
            <v>446423.4</v>
          </cell>
        </row>
        <row r="273">
          <cell r="A273" t="str">
            <v>U1005</v>
          </cell>
          <cell r="B273" t="str">
            <v>04.9102</v>
          </cell>
          <cell r="C273" t="str">
            <v xml:space="preserve">Ñaø U100 x46x5 daøi 0.5m maï keõm </v>
          </cell>
          <cell r="D273" t="str">
            <v>caùi</v>
          </cell>
          <cell r="F273">
            <v>41773.17</v>
          </cell>
          <cell r="G273">
            <v>779</v>
          </cell>
          <cell r="I273">
            <v>41773.17</v>
          </cell>
        </row>
        <row r="274">
          <cell r="A274" t="str">
            <v>U1010</v>
          </cell>
          <cell r="B274" t="str">
            <v>04.9102</v>
          </cell>
          <cell r="C274" t="str">
            <v xml:space="preserve">Ñaø U100 x46x5 daøi 1.1m maï keõm </v>
          </cell>
          <cell r="D274" t="str">
            <v>caùi</v>
          </cell>
          <cell r="F274">
            <v>91900.974000000002</v>
          </cell>
          <cell r="G274">
            <v>1715</v>
          </cell>
          <cell r="I274">
            <v>91900.974000000002</v>
          </cell>
        </row>
        <row r="275">
          <cell r="A275" t="str">
            <v>U1279</v>
          </cell>
          <cell r="B275" t="str">
            <v>04.9102</v>
          </cell>
          <cell r="C275" t="str">
            <v>Ñaø U120 x52x4.8 daøi 0.79m maï keõm oáp ñaø MBA</v>
          </cell>
          <cell r="D275" t="str">
            <v>caùi</v>
          </cell>
          <cell r="F275">
            <v>79908.816000000006</v>
          </cell>
          <cell r="G275">
            <v>1491</v>
          </cell>
          <cell r="I275">
            <v>79908.816000000006</v>
          </cell>
        </row>
        <row r="276">
          <cell r="A276" t="str">
            <v>U12100</v>
          </cell>
          <cell r="B276" t="str">
            <v>04.9102</v>
          </cell>
          <cell r="C276" t="str">
            <v>Ñaø U120 x52x4.8 daøi 1m maï keõm coá ñònh ñaø MBA</v>
          </cell>
          <cell r="D276" t="str">
            <v>caùi</v>
          </cell>
          <cell r="F276">
            <v>101150.40000000001</v>
          </cell>
          <cell r="G276">
            <v>1887</v>
          </cell>
          <cell r="I276">
            <v>101150.40000000001</v>
          </cell>
        </row>
        <row r="277">
          <cell r="A277" t="str">
            <v>L7530</v>
          </cell>
          <cell r="B277" t="str">
            <v>04.9102</v>
          </cell>
          <cell r="C277" t="str">
            <v>Ñaø L75x75x8 daøi 3m</v>
          </cell>
          <cell r="D277" t="str">
            <v>caùi</v>
          </cell>
          <cell r="F277">
            <v>263185.55999999994</v>
          </cell>
          <cell r="G277">
            <v>4911</v>
          </cell>
          <cell r="I277">
            <v>263185.55999999994</v>
          </cell>
        </row>
        <row r="278">
          <cell r="A278" t="str">
            <v>L7532</v>
          </cell>
          <cell r="B278" t="str">
            <v>04.9102</v>
          </cell>
          <cell r="C278" t="str">
            <v>Ñaø L75x75x8 daøi 3.2m</v>
          </cell>
          <cell r="D278" t="str">
            <v>caùi</v>
          </cell>
          <cell r="F278">
            <v>280731.26399999997</v>
          </cell>
          <cell r="G278">
            <v>5238</v>
          </cell>
          <cell r="I278">
            <v>263185.55999999994</v>
          </cell>
        </row>
        <row r="279">
          <cell r="A279" t="str">
            <v>TTM</v>
          </cell>
          <cell r="C279" t="str">
            <v>Theùp troøn maï keõm</v>
          </cell>
          <cell r="D279" t="str">
            <v>kg</v>
          </cell>
          <cell r="F279">
            <v>9500</v>
          </cell>
          <cell r="I279">
            <v>9500</v>
          </cell>
        </row>
        <row r="280">
          <cell r="A280" t="str">
            <v>Fe</v>
          </cell>
          <cell r="C280" t="str">
            <v>Theùp troøn</v>
          </cell>
          <cell r="D280" t="str">
            <v>kg</v>
          </cell>
          <cell r="F280">
            <v>4433</v>
          </cell>
          <cell r="I280">
            <v>4500</v>
          </cell>
        </row>
        <row r="281">
          <cell r="A281" t="str">
            <v>S16</v>
          </cell>
          <cell r="C281" t="str">
            <v>Theùp baûn daøy 16ly maï keõm</v>
          </cell>
          <cell r="D281" t="str">
            <v>kg</v>
          </cell>
          <cell r="F281">
            <v>10500</v>
          </cell>
          <cell r="I281">
            <v>10500</v>
          </cell>
        </row>
        <row r="282">
          <cell r="A282" t="str">
            <v>S10</v>
          </cell>
          <cell r="C282" t="str">
            <v>Theùp baûn daøy 10ly maï keõm</v>
          </cell>
          <cell r="D282" t="str">
            <v>kg</v>
          </cell>
          <cell r="F282">
            <v>10500</v>
          </cell>
          <cell r="I282">
            <v>10500</v>
          </cell>
        </row>
        <row r="283">
          <cell r="A283" t="str">
            <v>s8</v>
          </cell>
          <cell r="C283" t="str">
            <v>Theùp baûn daøy 8ly maï keõm</v>
          </cell>
          <cell r="D283" t="str">
            <v>kg</v>
          </cell>
          <cell r="F283">
            <v>10500</v>
          </cell>
          <cell r="I283">
            <v>10500</v>
          </cell>
        </row>
        <row r="284">
          <cell r="A284" t="str">
            <v>s6</v>
          </cell>
          <cell r="C284" t="str">
            <v>Theùp baûn daøy 6ly maï keõm</v>
          </cell>
          <cell r="D284" t="str">
            <v>kg</v>
          </cell>
          <cell r="F284">
            <v>10500</v>
          </cell>
          <cell r="I284">
            <v>10500</v>
          </cell>
        </row>
        <row r="285">
          <cell r="A285" t="str">
            <v>SO10</v>
          </cell>
          <cell r="C285" t="str">
            <v>Saét   O10</v>
          </cell>
          <cell r="D285" t="str">
            <v>kg</v>
          </cell>
          <cell r="F285">
            <v>4112</v>
          </cell>
          <cell r="I285">
            <v>4700</v>
          </cell>
        </row>
        <row r="286">
          <cell r="A286" t="str">
            <v>TON6</v>
          </cell>
          <cell r="C286" t="str">
            <v>Toân 6mm</v>
          </cell>
          <cell r="D286" t="str">
            <v>kg</v>
          </cell>
          <cell r="F286">
            <v>9726</v>
          </cell>
          <cell r="I286">
            <v>9726</v>
          </cell>
        </row>
        <row r="287">
          <cell r="A287" t="str">
            <v>TAMN</v>
          </cell>
          <cell r="C287" t="str">
            <v>Taám noái saét deït 100 x 10-800</v>
          </cell>
          <cell r="D287" t="str">
            <v>boä</v>
          </cell>
          <cell r="F287">
            <v>80000</v>
          </cell>
          <cell r="I287">
            <v>80000</v>
          </cell>
        </row>
        <row r="288">
          <cell r="A288" t="str">
            <v>TN606</v>
          </cell>
          <cell r="C288" t="str">
            <v>Taám noái PL 60x6- 410</v>
          </cell>
          <cell r="D288" t="str">
            <v>boä</v>
          </cell>
          <cell r="F288">
            <v>11269.127159999998</v>
          </cell>
          <cell r="I288">
            <v>11269.127159999998</v>
          </cell>
        </row>
        <row r="289">
          <cell r="A289" t="str">
            <v>TAMN6</v>
          </cell>
          <cell r="C289" t="str">
            <v>Taám toân noái 6mm</v>
          </cell>
          <cell r="D289" t="str">
            <v>caùi</v>
          </cell>
          <cell r="F289">
            <v>10000</v>
          </cell>
          <cell r="I289">
            <v>10000</v>
          </cell>
        </row>
        <row r="290">
          <cell r="A290" t="str">
            <v>CL</v>
          </cell>
          <cell r="C290" t="str">
            <v>Boä choáng cho chaèng heïp</v>
          </cell>
          <cell r="D290" t="str">
            <v>boä</v>
          </cell>
          <cell r="F290">
            <v>76000</v>
          </cell>
          <cell r="I290">
            <v>76000</v>
          </cell>
        </row>
        <row r="291">
          <cell r="A291" t="str">
            <v>CLHT</v>
          </cell>
          <cell r="C291" t="str">
            <v>Boä choáng cho chaèng heïp</v>
          </cell>
          <cell r="D291" t="str">
            <v>boä</v>
          </cell>
          <cell r="F291">
            <v>68105</v>
          </cell>
          <cell r="I291">
            <v>68105</v>
          </cell>
        </row>
        <row r="292">
          <cell r="A292" t="str">
            <v>TN</v>
          </cell>
          <cell r="C292" t="str">
            <v>Thanh neo O22x3500</v>
          </cell>
          <cell r="D292" t="str">
            <v>caùi</v>
          </cell>
          <cell r="F292">
            <v>109578</v>
          </cell>
          <cell r="I292">
            <v>109578</v>
          </cell>
        </row>
        <row r="293">
          <cell r="A293" t="str">
            <v>TN30</v>
          </cell>
          <cell r="C293" t="str">
            <v>Thanh neo O22x3000</v>
          </cell>
          <cell r="D293" t="str">
            <v>caùi</v>
          </cell>
          <cell r="F293">
            <v>95423</v>
          </cell>
          <cell r="I293">
            <v>95423</v>
          </cell>
        </row>
        <row r="294">
          <cell r="A294" t="str">
            <v>TN37</v>
          </cell>
          <cell r="C294" t="str">
            <v>Thanh neo O22x3700</v>
          </cell>
          <cell r="D294" t="str">
            <v>caùi</v>
          </cell>
          <cell r="F294">
            <v>115240</v>
          </cell>
          <cell r="I294">
            <v>115240</v>
          </cell>
        </row>
        <row r="295">
          <cell r="A295" t="str">
            <v>TN28</v>
          </cell>
          <cell r="C295" t="str">
            <v>Thanh neo O22x2800</v>
          </cell>
          <cell r="D295" t="str">
            <v>caùi</v>
          </cell>
          <cell r="F295">
            <v>89761</v>
          </cell>
          <cell r="I295">
            <v>89761</v>
          </cell>
        </row>
        <row r="296">
          <cell r="A296" t="str">
            <v>TN25</v>
          </cell>
          <cell r="C296" t="str">
            <v>Thanh neo O22x2500</v>
          </cell>
          <cell r="D296" t="str">
            <v>caùi</v>
          </cell>
          <cell r="F296">
            <v>81268</v>
          </cell>
          <cell r="I296">
            <v>81268</v>
          </cell>
        </row>
        <row r="297">
          <cell r="A297" t="str">
            <v>TN1625</v>
          </cell>
          <cell r="C297" t="str">
            <v>Thanh neo O16x2500</v>
          </cell>
          <cell r="D297" t="str">
            <v>caùi</v>
          </cell>
          <cell r="F297">
            <v>44027.999999999993</v>
          </cell>
          <cell r="I297">
            <v>44027.999999999993</v>
          </cell>
        </row>
        <row r="298">
          <cell r="A298" t="str">
            <v>TN1620</v>
          </cell>
          <cell r="C298" t="str">
            <v>Thanh neo O16x2000</v>
          </cell>
          <cell r="D298" t="str">
            <v>caùi</v>
          </cell>
          <cell r="F298">
            <v>36523</v>
          </cell>
          <cell r="I298">
            <v>36523</v>
          </cell>
        </row>
        <row r="299">
          <cell r="A299" t="str">
            <v>fe18</v>
          </cell>
          <cell r="C299" t="str">
            <v>Theùp troøn phi 18 AIII</v>
          </cell>
          <cell r="D299" t="str">
            <v>kg</v>
          </cell>
          <cell r="F299">
            <v>4600</v>
          </cell>
          <cell r="I299">
            <v>4600</v>
          </cell>
        </row>
        <row r="300">
          <cell r="A300" t="str">
            <v>fe16</v>
          </cell>
          <cell r="C300" t="str">
            <v>Theùp troøn phi 16 AIII</v>
          </cell>
          <cell r="D300" t="str">
            <v>kg</v>
          </cell>
          <cell r="F300">
            <v>4600</v>
          </cell>
          <cell r="I300">
            <v>4600</v>
          </cell>
        </row>
        <row r="301">
          <cell r="A301" t="str">
            <v>fe14</v>
          </cell>
          <cell r="C301" t="str">
            <v>Theùp troøn phi 14 AIII</v>
          </cell>
          <cell r="D301" t="str">
            <v>kg</v>
          </cell>
          <cell r="F301">
            <v>4600</v>
          </cell>
          <cell r="I301">
            <v>4600</v>
          </cell>
        </row>
        <row r="302">
          <cell r="A302" t="str">
            <v>fe12</v>
          </cell>
          <cell r="C302" t="str">
            <v>Theùp troøn phi 12 AII</v>
          </cell>
          <cell r="D302" t="str">
            <v>kg</v>
          </cell>
          <cell r="F302">
            <v>4500</v>
          </cell>
          <cell r="I302">
            <v>4500</v>
          </cell>
        </row>
        <row r="303">
          <cell r="A303" t="str">
            <v>fe10</v>
          </cell>
          <cell r="C303" t="str">
            <v>Theùp troøn phi 10</v>
          </cell>
          <cell r="D303" t="str">
            <v>kg</v>
          </cell>
          <cell r="F303">
            <v>4500</v>
          </cell>
          <cell r="I303">
            <v>4500</v>
          </cell>
        </row>
        <row r="304">
          <cell r="A304" t="str">
            <v>Fe8</v>
          </cell>
          <cell r="C304" t="str">
            <v>Theùp troøn phi 8</v>
          </cell>
          <cell r="D304" t="str">
            <v>kg</v>
          </cell>
          <cell r="F304">
            <v>4700</v>
          </cell>
          <cell r="I304">
            <v>4700</v>
          </cell>
        </row>
        <row r="305">
          <cell r="A305" t="str">
            <v>Fe6</v>
          </cell>
          <cell r="C305" t="str">
            <v>Theùp troøn phi 6</v>
          </cell>
          <cell r="D305" t="str">
            <v>kg</v>
          </cell>
          <cell r="F305">
            <v>4700</v>
          </cell>
          <cell r="I305">
            <v>4700</v>
          </cell>
        </row>
        <row r="306">
          <cell r="A306" t="str">
            <v>dayb</v>
          </cell>
          <cell r="C306" t="str">
            <v>Daây theùp buoäc @1</v>
          </cell>
          <cell r="D306" t="str">
            <v>kg</v>
          </cell>
          <cell r="F306">
            <v>7000</v>
          </cell>
          <cell r="I306">
            <v>7000</v>
          </cell>
        </row>
        <row r="307">
          <cell r="A307" t="str">
            <v>tmk</v>
          </cell>
          <cell r="C307" t="str">
            <v>Theùp hình maï keõm truï thaùp</v>
          </cell>
          <cell r="D307" t="str">
            <v>kg</v>
          </cell>
          <cell r="F307">
            <v>11000</v>
          </cell>
          <cell r="I307">
            <v>11000</v>
          </cell>
        </row>
        <row r="308">
          <cell r="A308" t="str">
            <v>VLPTRT</v>
          </cell>
          <cell r="C308" t="str">
            <v>Vaät lieäu döïng truï thaùp saét H&lt;=55m</v>
          </cell>
          <cell r="D308" t="str">
            <v>taán</v>
          </cell>
          <cell r="F308">
            <v>15646</v>
          </cell>
          <cell r="I308">
            <v>15646</v>
          </cell>
        </row>
        <row r="309">
          <cell r="A309" t="str">
            <v>VLPTRT70</v>
          </cell>
          <cell r="C309" t="str">
            <v>Vaät lieäu döïng truï thaùp saét H&lt;=70m</v>
          </cell>
          <cell r="D309" t="str">
            <v>taán</v>
          </cell>
          <cell r="F309">
            <v>16289</v>
          </cell>
          <cell r="I309">
            <v>16289</v>
          </cell>
        </row>
        <row r="310">
          <cell r="A310" t="str">
            <v>VLPTRT85</v>
          </cell>
          <cell r="C310" t="str">
            <v>Vaät lieäu döïng truï thaùp saét H&lt;=85m</v>
          </cell>
          <cell r="D310" t="str">
            <v>taán</v>
          </cell>
          <cell r="F310">
            <v>16932</v>
          </cell>
          <cell r="I310">
            <v>16932</v>
          </cell>
        </row>
        <row r="311">
          <cell r="A311" t="str">
            <v>VLPTRT100</v>
          </cell>
          <cell r="C311" t="str">
            <v>Vaät lieäu döïng truï thaùp saét H&lt;=100m</v>
          </cell>
          <cell r="D311" t="str">
            <v>taán</v>
          </cell>
          <cell r="F311">
            <v>16932</v>
          </cell>
          <cell r="I311">
            <v>16932</v>
          </cell>
        </row>
        <row r="312">
          <cell r="A312" t="str">
            <v>GOHT</v>
          </cell>
          <cell r="C312" t="str">
            <v>Goã neo</v>
          </cell>
          <cell r="D312" t="str">
            <v>m3</v>
          </cell>
          <cell r="F312">
            <v>2600000</v>
          </cell>
          <cell r="I312">
            <v>2600000</v>
          </cell>
        </row>
        <row r="313">
          <cell r="A313" t="str">
            <v>STYN</v>
          </cell>
          <cell r="C313" t="str">
            <v>Saét laøm ty neo</v>
          </cell>
          <cell r="D313" t="str">
            <v>kg</v>
          </cell>
          <cell r="F313">
            <v>4500</v>
          </cell>
          <cell r="I313">
            <v>4500</v>
          </cell>
        </row>
        <row r="314">
          <cell r="A314" t="str">
            <v>detmk</v>
          </cell>
          <cell r="C314" t="str">
            <v>Theùp deït maï keõm</v>
          </cell>
          <cell r="D314" t="str">
            <v>kg</v>
          </cell>
          <cell r="F314">
            <v>10500</v>
          </cell>
          <cell r="I314">
            <v>10500</v>
          </cell>
        </row>
        <row r="315">
          <cell r="A315" t="str">
            <v>B2035</v>
          </cell>
          <cell r="C315" t="str">
            <v>Boulon 20x35</v>
          </cell>
          <cell r="D315" t="str">
            <v>boä</v>
          </cell>
          <cell r="F315">
            <v>4500</v>
          </cell>
          <cell r="I315">
            <v>4500</v>
          </cell>
        </row>
        <row r="316">
          <cell r="A316" t="str">
            <v>KN357</v>
          </cell>
          <cell r="C316" t="str">
            <v>Khoùa neùo 357</v>
          </cell>
          <cell r="D316" t="str">
            <v>caùi</v>
          </cell>
          <cell r="F316">
            <v>27700</v>
          </cell>
          <cell r="I316">
            <v>27700</v>
          </cell>
        </row>
        <row r="317">
          <cell r="A317" t="str">
            <v>KN912</v>
          </cell>
          <cell r="C317" t="str">
            <v>Khoùa neùo 912</v>
          </cell>
          <cell r="D317" t="str">
            <v>caùi</v>
          </cell>
          <cell r="F317">
            <v>33000</v>
          </cell>
          <cell r="I317">
            <v>33000</v>
          </cell>
        </row>
        <row r="318">
          <cell r="A318" t="str">
            <v>KN158</v>
          </cell>
          <cell r="C318" t="str">
            <v>Khoùa neùo 158</v>
          </cell>
          <cell r="D318" t="str">
            <v>caùi</v>
          </cell>
          <cell r="F318">
            <v>53178</v>
          </cell>
          <cell r="I318">
            <v>53178</v>
          </cell>
        </row>
        <row r="319">
          <cell r="A319" t="str">
            <v>KD158</v>
          </cell>
          <cell r="C319" t="str">
            <v>Khoùa ñôõ 158</v>
          </cell>
          <cell r="D319" t="str">
            <v>caùi</v>
          </cell>
          <cell r="F319">
            <v>47454</v>
          </cell>
          <cell r="I319">
            <v>47454</v>
          </cell>
        </row>
        <row r="320">
          <cell r="A320" t="str">
            <v>KG12</v>
          </cell>
          <cell r="C320" t="str">
            <v xml:space="preserve">Khaùnh gheùp </v>
          </cell>
          <cell r="D320" t="str">
            <v>caùi</v>
          </cell>
          <cell r="F320">
            <v>24545</v>
          </cell>
          <cell r="I320">
            <v>24545</v>
          </cell>
        </row>
        <row r="321">
          <cell r="A321" t="str">
            <v>NG3</v>
          </cell>
          <cell r="C321" t="str">
            <v>Noái chuyeån tieáp</v>
          </cell>
          <cell r="D321" t="str">
            <v>caùi</v>
          </cell>
          <cell r="F321">
            <v>36909</v>
          </cell>
          <cell r="I321">
            <v>36909</v>
          </cell>
        </row>
        <row r="322">
          <cell r="A322" t="str">
            <v>NTG7</v>
          </cell>
          <cell r="C322" t="str">
            <v>Noái thaúng goùc</v>
          </cell>
          <cell r="D322" t="str">
            <v>caùi</v>
          </cell>
          <cell r="F322">
            <v>36909</v>
          </cell>
          <cell r="I322">
            <v>36909</v>
          </cell>
        </row>
        <row r="323">
          <cell r="A323" t="str">
            <v>KD234</v>
          </cell>
          <cell r="C323" t="str">
            <v xml:space="preserve">Khoùa ñôõ chaët </v>
          </cell>
          <cell r="D323" t="str">
            <v>caùi</v>
          </cell>
          <cell r="F323">
            <v>46500</v>
          </cell>
          <cell r="I323">
            <v>46500</v>
          </cell>
        </row>
        <row r="324">
          <cell r="A324" t="str">
            <v>Gztreo16</v>
          </cell>
          <cell r="C324" t="str">
            <v>Gu doâng treo chuoãi</v>
          </cell>
          <cell r="D324" t="str">
            <v>caùi</v>
          </cell>
          <cell r="F324">
            <v>24427</v>
          </cell>
          <cell r="I324">
            <v>24427</v>
          </cell>
        </row>
        <row r="325">
          <cell r="A325" t="str">
            <v>Gztreo</v>
          </cell>
          <cell r="C325" t="str">
            <v>Gu doâng U treo chuoãi phi 16-D80</v>
          </cell>
          <cell r="D325" t="str">
            <v>caùi</v>
          </cell>
          <cell r="F325">
            <v>9773</v>
          </cell>
          <cell r="I325">
            <v>9773</v>
          </cell>
        </row>
        <row r="326">
          <cell r="A326" t="str">
            <v>TACRDD</v>
          </cell>
          <cell r="C326" t="str">
            <v xml:space="preserve">Taï choáng rung daây daãn </v>
          </cell>
          <cell r="D326" t="str">
            <v>caùi</v>
          </cell>
          <cell r="F326">
            <v>79454</v>
          </cell>
          <cell r="I326">
            <v>79454</v>
          </cell>
        </row>
        <row r="327">
          <cell r="A327" t="str">
            <v>Amo</v>
          </cell>
          <cell r="C327" t="str">
            <v>Amorrod daây</v>
          </cell>
          <cell r="D327" t="str">
            <v>caùi</v>
          </cell>
          <cell r="F327">
            <v>42000</v>
          </cell>
          <cell r="I327">
            <v>42000</v>
          </cell>
        </row>
        <row r="328">
          <cell r="A328" t="str">
            <v>NX</v>
          </cell>
          <cell r="C328" t="str">
            <v>Neo xoøe</v>
          </cell>
          <cell r="D328" t="str">
            <v>caùi</v>
          </cell>
          <cell r="F328">
            <v>76000</v>
          </cell>
          <cell r="I328">
            <v>76000</v>
          </cell>
        </row>
        <row r="329">
          <cell r="A329" t="str">
            <v>CD142</v>
          </cell>
          <cell r="C329" t="str">
            <v>Coå deà CD.X-142</v>
          </cell>
          <cell r="D329" t="str">
            <v>boä</v>
          </cell>
          <cell r="F329">
            <v>136400</v>
          </cell>
          <cell r="I329">
            <v>120602.40000000001</v>
          </cell>
        </row>
        <row r="330">
          <cell r="A330" t="str">
            <v>CD142a</v>
          </cell>
          <cell r="C330" t="str">
            <v>Coå deà CD.X-142A</v>
          </cell>
          <cell r="D330" t="str">
            <v>boä</v>
          </cell>
          <cell r="F330">
            <v>148060</v>
          </cell>
          <cell r="I330">
            <v>130911.96</v>
          </cell>
        </row>
        <row r="331">
          <cell r="A331" t="str">
            <v>CD146</v>
          </cell>
          <cell r="C331" t="str">
            <v>Coå deà CD.X-146</v>
          </cell>
          <cell r="D331" t="str">
            <v>boä</v>
          </cell>
          <cell r="F331">
            <v>138820</v>
          </cell>
          <cell r="I331">
            <v>122742.12</v>
          </cell>
        </row>
        <row r="332">
          <cell r="A332" t="str">
            <v>CD146a</v>
          </cell>
          <cell r="C332" t="str">
            <v>Coå deà CD.X-146A</v>
          </cell>
          <cell r="D332" t="str">
            <v>boä</v>
          </cell>
          <cell r="F332">
            <v>150480</v>
          </cell>
          <cell r="I332">
            <v>133051.68</v>
          </cell>
        </row>
        <row r="333">
          <cell r="A333" t="str">
            <v>CD682</v>
          </cell>
          <cell r="C333" t="str">
            <v>Coå deà 6,82kg</v>
          </cell>
          <cell r="D333" t="str">
            <v>boä</v>
          </cell>
          <cell r="F333">
            <v>75020</v>
          </cell>
          <cell r="I333">
            <v>66331.320000000007</v>
          </cell>
        </row>
        <row r="334">
          <cell r="A334" t="str">
            <v>CD195</v>
          </cell>
          <cell r="C334" t="str">
            <v>Coå deà O 195</v>
          </cell>
          <cell r="D334" t="str">
            <v>boä</v>
          </cell>
          <cell r="F334">
            <v>75020</v>
          </cell>
          <cell r="I334">
            <v>66331.320000000007</v>
          </cell>
        </row>
        <row r="335">
          <cell r="A335" t="str">
            <v>CD207</v>
          </cell>
          <cell r="C335" t="str">
            <v>Coå deà O 207</v>
          </cell>
          <cell r="D335" t="str">
            <v>boä</v>
          </cell>
          <cell r="F335">
            <v>79750</v>
          </cell>
          <cell r="I335">
            <v>70513.5</v>
          </cell>
        </row>
        <row r="336">
          <cell r="A336" t="str">
            <v>CD108</v>
          </cell>
          <cell r="C336" t="str">
            <v>Coå deà 108 (caû taám gia cöôøng )</v>
          </cell>
          <cell r="D336" t="str">
            <v>boä</v>
          </cell>
          <cell r="F336">
            <v>129799.99999999999</v>
          </cell>
          <cell r="I336">
            <v>129799.99999999999</v>
          </cell>
        </row>
        <row r="337">
          <cell r="A337" t="str">
            <v>CD135</v>
          </cell>
          <cell r="C337" t="str">
            <v>Coå deà 135 (caû taám gia cöôøng )</v>
          </cell>
          <cell r="D337" t="str">
            <v>boä</v>
          </cell>
          <cell r="F337">
            <v>146300</v>
          </cell>
          <cell r="I337">
            <v>146300</v>
          </cell>
        </row>
        <row r="338">
          <cell r="A338" t="str">
            <v>CD120</v>
          </cell>
          <cell r="C338" t="str">
            <v>Coå deà CD.X-120 ( caû bu loâng )</v>
          </cell>
          <cell r="D338" t="str">
            <v>boä</v>
          </cell>
          <cell r="F338">
            <v>121660</v>
          </cell>
          <cell r="I338">
            <v>121660</v>
          </cell>
        </row>
        <row r="339">
          <cell r="A339" t="str">
            <v>CD124</v>
          </cell>
          <cell r="C339" t="str">
            <v>Coå deà CD.X-124 ( caû bu loâng )</v>
          </cell>
          <cell r="D339" t="str">
            <v>boä</v>
          </cell>
          <cell r="F339">
            <v>124300.00000000001</v>
          </cell>
          <cell r="I339">
            <v>124300.00000000001</v>
          </cell>
        </row>
        <row r="340">
          <cell r="A340" t="str">
            <v>CD140</v>
          </cell>
          <cell r="C340" t="str">
            <v>Coå deà CD.X-140 ( caû bu loâng )</v>
          </cell>
          <cell r="D340" t="str">
            <v>boä</v>
          </cell>
          <cell r="F340">
            <v>132880</v>
          </cell>
          <cell r="I340">
            <v>132880</v>
          </cell>
        </row>
        <row r="341">
          <cell r="A341" t="str">
            <v>CD144</v>
          </cell>
          <cell r="C341" t="str">
            <v>Coå deà CD.X-144 ( caû bu loâng )</v>
          </cell>
          <cell r="D341" t="str">
            <v>boä</v>
          </cell>
          <cell r="F341">
            <v>134640</v>
          </cell>
          <cell r="I341">
            <v>134640</v>
          </cell>
        </row>
        <row r="342">
          <cell r="A342" t="str">
            <v>CD150</v>
          </cell>
          <cell r="C342" t="str">
            <v>Coå deà CD.X-150 ( caû bu loâng )</v>
          </cell>
          <cell r="D342" t="str">
            <v>boä</v>
          </cell>
          <cell r="F342">
            <v>138160</v>
          </cell>
          <cell r="I342">
            <v>138160</v>
          </cell>
        </row>
        <row r="343">
          <cell r="A343" t="str">
            <v>CD154</v>
          </cell>
          <cell r="C343" t="str">
            <v>Coå deà CD.X-154 ( caû bu loâng )</v>
          </cell>
          <cell r="D343" t="str">
            <v>boä</v>
          </cell>
          <cell r="F343">
            <v>140140</v>
          </cell>
          <cell r="I343">
            <v>140140</v>
          </cell>
        </row>
        <row r="344">
          <cell r="A344" t="str">
            <v>CD148T</v>
          </cell>
          <cell r="C344" t="str">
            <v>Coå deà CD.T-148 ( caû bu loâng )</v>
          </cell>
          <cell r="D344" t="str">
            <v>boä</v>
          </cell>
          <cell r="F344">
            <v>165660</v>
          </cell>
          <cell r="I344">
            <v>165660</v>
          </cell>
        </row>
        <row r="345">
          <cell r="A345" t="str">
            <v>CD128</v>
          </cell>
          <cell r="C345" t="str">
            <v>Coå deà CD.X-128 ( caû bu loâng )</v>
          </cell>
          <cell r="D345" t="str">
            <v>boä</v>
          </cell>
          <cell r="F345">
            <v>126500</v>
          </cell>
          <cell r="I345">
            <v>126500</v>
          </cell>
        </row>
        <row r="346">
          <cell r="A346" t="str">
            <v>T10</v>
          </cell>
          <cell r="C346" t="str">
            <v>Truï BTLT 10m</v>
          </cell>
          <cell r="D346" t="str">
            <v>truï</v>
          </cell>
          <cell r="F346">
            <v>1068000</v>
          </cell>
          <cell r="I346">
            <v>1068000</v>
          </cell>
        </row>
        <row r="347">
          <cell r="A347" t="str">
            <v>T105</v>
          </cell>
          <cell r="C347" t="str">
            <v>Truï BTLT 10.5m</v>
          </cell>
          <cell r="D347" t="str">
            <v>truï</v>
          </cell>
          <cell r="F347">
            <v>1068000</v>
          </cell>
          <cell r="I347">
            <v>1068000</v>
          </cell>
        </row>
        <row r="348">
          <cell r="A348" t="str">
            <v>T12</v>
          </cell>
          <cell r="C348" t="str">
            <v>Truï BTLT 12m</v>
          </cell>
          <cell r="D348" t="str">
            <v>truï</v>
          </cell>
          <cell r="F348">
            <v>1392000</v>
          </cell>
          <cell r="I348">
            <v>1392000</v>
          </cell>
        </row>
        <row r="349">
          <cell r="A349" t="str">
            <v>T14</v>
          </cell>
          <cell r="C349" t="str">
            <v>Truï BTLT 14m</v>
          </cell>
          <cell r="D349" t="str">
            <v>truï</v>
          </cell>
          <cell r="F349">
            <v>2285000</v>
          </cell>
          <cell r="I349">
            <v>2285000</v>
          </cell>
        </row>
        <row r="350">
          <cell r="A350" t="str">
            <v>T20</v>
          </cell>
          <cell r="C350" t="str">
            <v>Truï BTLT 20m</v>
          </cell>
          <cell r="D350" t="str">
            <v>truï</v>
          </cell>
          <cell r="F350">
            <v>6342000</v>
          </cell>
          <cell r="I350">
            <v>6342000</v>
          </cell>
        </row>
        <row r="351">
          <cell r="A351" t="str">
            <v>T75</v>
          </cell>
          <cell r="C351" t="str">
            <v>Truï BTLT 7.5m</v>
          </cell>
          <cell r="D351" t="str">
            <v>truï</v>
          </cell>
          <cell r="F351">
            <v>531000</v>
          </cell>
          <cell r="I351">
            <v>531000</v>
          </cell>
        </row>
        <row r="352">
          <cell r="A352" t="str">
            <v>T73</v>
          </cell>
          <cell r="C352" t="str">
            <v>Truï BTLT 7.3m</v>
          </cell>
          <cell r="D352" t="str">
            <v>truï</v>
          </cell>
          <cell r="F352">
            <v>531000</v>
          </cell>
          <cell r="I352">
            <v>531000</v>
          </cell>
        </row>
        <row r="353">
          <cell r="A353" t="str">
            <v>T84</v>
          </cell>
          <cell r="C353" t="str">
            <v>Truï BTLT 8.4m</v>
          </cell>
          <cell r="D353" t="str">
            <v>truï</v>
          </cell>
          <cell r="F353">
            <v>635000</v>
          </cell>
          <cell r="I353">
            <v>635000</v>
          </cell>
        </row>
        <row r="354">
          <cell r="A354" t="str">
            <v>T85</v>
          </cell>
          <cell r="C354" t="str">
            <v>Truï BTLT 8.5m</v>
          </cell>
          <cell r="D354" t="str">
            <v>truï</v>
          </cell>
          <cell r="F354">
            <v>635000</v>
          </cell>
          <cell r="I354">
            <v>635000</v>
          </cell>
        </row>
        <row r="355">
          <cell r="A355" t="str">
            <v>X</v>
          </cell>
          <cell r="C355" t="str">
            <v>Xaêng</v>
          </cell>
          <cell r="D355" t="str">
            <v>kg</v>
          </cell>
          <cell r="F355">
            <v>6625</v>
          </cell>
          <cell r="I355">
            <v>6625</v>
          </cell>
        </row>
        <row r="356">
          <cell r="A356" t="str">
            <v>SON</v>
          </cell>
          <cell r="C356" t="str">
            <v>Sôn maøu</v>
          </cell>
          <cell r="D356" t="str">
            <v>kg</v>
          </cell>
          <cell r="F356">
            <v>27400</v>
          </cell>
          <cell r="I356">
            <v>27400</v>
          </cell>
        </row>
        <row r="357">
          <cell r="A357" t="str">
            <v>SONCR</v>
          </cell>
          <cell r="C357" t="str">
            <v>Sôn choáng ræ</v>
          </cell>
          <cell r="D357" t="str">
            <v>kg</v>
          </cell>
          <cell r="F357">
            <v>27400</v>
          </cell>
          <cell r="I357">
            <v>27400</v>
          </cell>
        </row>
        <row r="358">
          <cell r="A358" t="str">
            <v>NU</v>
          </cell>
          <cell r="C358" t="str">
            <v>Nöôùc ñoå beâ toâng</v>
          </cell>
          <cell r="D358" t="str">
            <v>m3</v>
          </cell>
          <cell r="F358">
            <v>15000</v>
          </cell>
          <cell r="I358">
            <v>15000</v>
          </cell>
        </row>
        <row r="359">
          <cell r="A359" t="str">
            <v>GO</v>
          </cell>
          <cell r="C359" t="str">
            <v>Goã vaùn khuoân</v>
          </cell>
          <cell r="D359" t="str">
            <v>m3</v>
          </cell>
          <cell r="F359">
            <v>1800000</v>
          </cell>
          <cell r="I359">
            <v>1800000</v>
          </cell>
        </row>
        <row r="360">
          <cell r="A360" t="str">
            <v>DINH</v>
          </cell>
          <cell r="C360" t="str">
            <v>Ñinh caùc loaïi</v>
          </cell>
          <cell r="D360" t="str">
            <v>kg</v>
          </cell>
          <cell r="F360">
            <v>7500</v>
          </cell>
          <cell r="I360">
            <v>7500</v>
          </cell>
        </row>
        <row r="361">
          <cell r="A361" t="str">
            <v>D1x2</v>
          </cell>
          <cell r="C361" t="str">
            <v>Ñaù 1x2</v>
          </cell>
          <cell r="D361" t="str">
            <v>m3</v>
          </cell>
          <cell r="F361">
            <v>150000</v>
          </cell>
          <cell r="I361">
            <v>150000</v>
          </cell>
        </row>
        <row r="362">
          <cell r="A362" t="str">
            <v>D2x4</v>
          </cell>
          <cell r="C362" t="str">
            <v>Ñaù 2x4</v>
          </cell>
          <cell r="D362" t="str">
            <v>m3</v>
          </cell>
          <cell r="F362">
            <v>150000</v>
          </cell>
          <cell r="I362">
            <v>150000</v>
          </cell>
        </row>
        <row r="363">
          <cell r="A363" t="str">
            <v>D4x6</v>
          </cell>
          <cell r="C363" t="str">
            <v>Ñaù 4x6</v>
          </cell>
          <cell r="D363" t="str">
            <v>m3</v>
          </cell>
          <cell r="F363">
            <v>140000</v>
          </cell>
          <cell r="I363">
            <v>140000</v>
          </cell>
        </row>
        <row r="364">
          <cell r="A364" t="str">
            <v>CV</v>
          </cell>
          <cell r="C364" t="str">
            <v>Caùt vaøng</v>
          </cell>
          <cell r="D364" t="str">
            <v>m3</v>
          </cell>
          <cell r="F364">
            <v>45000</v>
          </cell>
          <cell r="I364">
            <v>45000</v>
          </cell>
        </row>
        <row r="365">
          <cell r="A365" t="str">
            <v>gachong</v>
          </cell>
          <cell r="C365" t="str">
            <v>Gaïch oáng</v>
          </cell>
          <cell r="D365" t="str">
            <v>vieân</v>
          </cell>
          <cell r="F365">
            <v>180</v>
          </cell>
          <cell r="I365">
            <v>180</v>
          </cell>
        </row>
        <row r="366">
          <cell r="A366" t="str">
            <v>gachth</v>
          </cell>
          <cell r="C366" t="str">
            <v>Gaïch theû</v>
          </cell>
          <cell r="D366" t="str">
            <v>vieân</v>
          </cell>
          <cell r="F366">
            <v>160</v>
          </cell>
          <cell r="I366">
            <v>160</v>
          </cell>
        </row>
        <row r="367">
          <cell r="A367" t="str">
            <v>XM</v>
          </cell>
          <cell r="C367" t="str">
            <v>Ximaêng</v>
          </cell>
          <cell r="D367" t="str">
            <v>kg</v>
          </cell>
          <cell r="F367">
            <v>900</v>
          </cell>
          <cell r="I367">
            <v>1050</v>
          </cell>
        </row>
        <row r="368">
          <cell r="A368" t="str">
            <v>thepo141</v>
          </cell>
          <cell r="C368" t="str">
            <v>Theùp oáng F 141 daøy 5</v>
          </cell>
          <cell r="D368" t="str">
            <v>kg</v>
          </cell>
          <cell r="F368">
            <v>5500</v>
          </cell>
          <cell r="I368">
            <v>5500</v>
          </cell>
        </row>
        <row r="369">
          <cell r="A369" t="str">
            <v>thepL32</v>
          </cell>
          <cell r="C369" t="str">
            <v>Theùp hình L 32 x 32 x 3</v>
          </cell>
          <cell r="D369" t="str">
            <v>kg</v>
          </cell>
          <cell r="F369">
            <v>5400</v>
          </cell>
          <cell r="I369">
            <v>5400</v>
          </cell>
        </row>
        <row r="370">
          <cell r="A370" t="str">
            <v>thepL50</v>
          </cell>
          <cell r="C370" t="str">
            <v>Theùp hình L 50 x 50 x 5</v>
          </cell>
          <cell r="D370" t="str">
            <v>kg</v>
          </cell>
          <cell r="F370">
            <v>4400</v>
          </cell>
          <cell r="I370">
            <v>4400</v>
          </cell>
        </row>
        <row r="371">
          <cell r="A371" t="str">
            <v>thepL45</v>
          </cell>
          <cell r="C371" t="str">
            <v>Theùp hình L 45 x 45 x 4</v>
          </cell>
          <cell r="D371" t="str">
            <v>kg</v>
          </cell>
          <cell r="F371">
            <v>5200</v>
          </cell>
          <cell r="I371">
            <v>5200</v>
          </cell>
        </row>
        <row r="372">
          <cell r="A372" t="str">
            <v>thepL40</v>
          </cell>
          <cell r="C372" t="str">
            <v>Theùp hình L 40 x 40 x 4</v>
          </cell>
          <cell r="D372" t="str">
            <v>kg</v>
          </cell>
          <cell r="F372">
            <v>5200</v>
          </cell>
          <cell r="I372">
            <v>5200</v>
          </cell>
        </row>
        <row r="373">
          <cell r="A373" t="str">
            <v>thepL65</v>
          </cell>
          <cell r="C373" t="str">
            <v>Theùp hình L 65 x 65 x6</v>
          </cell>
          <cell r="D373" t="str">
            <v>kg</v>
          </cell>
          <cell r="F373">
            <v>5100</v>
          </cell>
          <cell r="I373">
            <v>5100</v>
          </cell>
        </row>
        <row r="374">
          <cell r="A374" t="str">
            <v>thepf12</v>
          </cell>
          <cell r="C374" t="str">
            <v>Theùp troøn gaân F 12</v>
          </cell>
          <cell r="D374" t="str">
            <v>kg</v>
          </cell>
          <cell r="F374">
            <v>4450</v>
          </cell>
          <cell r="I374">
            <v>4450</v>
          </cell>
        </row>
        <row r="375">
          <cell r="A375" t="str">
            <v>thepf10</v>
          </cell>
          <cell r="C375" t="str">
            <v>Theùp troøn F 10</v>
          </cell>
          <cell r="D375" t="str">
            <v>kg</v>
          </cell>
          <cell r="F375">
            <v>4600</v>
          </cell>
          <cell r="I375">
            <v>4600</v>
          </cell>
        </row>
        <row r="376">
          <cell r="A376" t="str">
            <v>thepf&lt;10</v>
          </cell>
          <cell r="C376" t="str">
            <v>Theùp troøn phi (6-10)</v>
          </cell>
          <cell r="D376" t="str">
            <v>kg</v>
          </cell>
          <cell r="F376">
            <v>4600</v>
          </cell>
          <cell r="I376">
            <v>4600</v>
          </cell>
        </row>
        <row r="377">
          <cell r="A377" t="str">
            <v>thept6</v>
          </cell>
          <cell r="C377" t="str">
            <v>Theùp taám 6mm</v>
          </cell>
          <cell r="D377" t="str">
            <v>kg</v>
          </cell>
          <cell r="F377">
            <v>4450</v>
          </cell>
          <cell r="I377">
            <v>4450</v>
          </cell>
        </row>
        <row r="378">
          <cell r="A378" t="str">
            <v>thept5</v>
          </cell>
          <cell r="C378" t="str">
            <v>Theùp taám 5mm</v>
          </cell>
          <cell r="D378" t="str">
            <v>kg</v>
          </cell>
          <cell r="F378">
            <v>4450</v>
          </cell>
          <cell r="I378">
            <v>4450</v>
          </cell>
        </row>
        <row r="379">
          <cell r="A379" t="str">
            <v>thept4</v>
          </cell>
          <cell r="C379" t="str">
            <v>Theùp taám 4mm</v>
          </cell>
          <cell r="D379" t="str">
            <v>kg</v>
          </cell>
          <cell r="F379">
            <v>4450</v>
          </cell>
          <cell r="I379">
            <v>4450</v>
          </cell>
        </row>
        <row r="380">
          <cell r="A380" t="str">
            <v>thept2</v>
          </cell>
          <cell r="C380" t="str">
            <v>Theùp taám 2mm</v>
          </cell>
          <cell r="D380" t="str">
            <v>kg</v>
          </cell>
          <cell r="F380">
            <v>4572</v>
          </cell>
          <cell r="I380">
            <v>4752</v>
          </cell>
        </row>
        <row r="381">
          <cell r="A381" t="str">
            <v>qhan</v>
          </cell>
          <cell r="C381" t="str">
            <v>Que haøn ñieän</v>
          </cell>
          <cell r="D381" t="str">
            <v>kg</v>
          </cell>
          <cell r="F381">
            <v>12000</v>
          </cell>
          <cell r="I381">
            <v>12000</v>
          </cell>
        </row>
        <row r="382">
          <cell r="A382" t="str">
            <v>oxy</v>
          </cell>
          <cell r="C382" t="str">
            <v>OÂ xy gío</v>
          </cell>
          <cell r="D382" t="str">
            <v>m3</v>
          </cell>
          <cell r="F382">
            <v>10000</v>
          </cell>
          <cell r="I382">
            <v>10000</v>
          </cell>
        </row>
        <row r="383">
          <cell r="A383" t="str">
            <v>axetylen</v>
          </cell>
          <cell r="C383" t="str">
            <v>Hôi Axetylen</v>
          </cell>
          <cell r="D383" t="str">
            <v>m3</v>
          </cell>
          <cell r="F383">
            <v>40000</v>
          </cell>
          <cell r="I383">
            <v>40000</v>
          </cell>
        </row>
        <row r="384">
          <cell r="A384" t="str">
            <v>coson</v>
          </cell>
          <cell r="C384" t="str">
            <v>Coï sôn</v>
          </cell>
          <cell r="D384" t="str">
            <v>caùi</v>
          </cell>
          <cell r="F384">
            <v>5000</v>
          </cell>
          <cell r="I384">
            <v>5000</v>
          </cell>
        </row>
        <row r="385">
          <cell r="A385" t="str">
            <v>thepb</v>
          </cell>
          <cell r="C385" t="str">
            <v>Daây theùp buoäc</v>
          </cell>
          <cell r="D385" t="str">
            <v>kg</v>
          </cell>
          <cell r="F385">
            <v>6000</v>
          </cell>
          <cell r="I385">
            <v>6000</v>
          </cell>
        </row>
        <row r="386">
          <cell r="A386" t="str">
            <v>daucap95</v>
          </cell>
          <cell r="C386" t="str">
            <v>Ñaàu caùp 24kV 3x95mm2</v>
          </cell>
          <cell r="D386" t="str">
            <v>caùi</v>
          </cell>
          <cell r="F386">
            <v>4296600</v>
          </cell>
          <cell r="I386">
            <v>4296600</v>
          </cell>
        </row>
        <row r="387">
          <cell r="A387" t="str">
            <v>stk114</v>
          </cell>
          <cell r="B387" t="str">
            <v>07.2204</v>
          </cell>
          <cell r="C387" t="str">
            <v>OÂÁng saét traùng keõm phi 114</v>
          </cell>
          <cell r="D387" t="str">
            <v>meùt</v>
          </cell>
          <cell r="F387">
            <v>120000</v>
          </cell>
          <cell r="G387">
            <v>6579</v>
          </cell>
          <cell r="I387">
            <v>120000</v>
          </cell>
        </row>
        <row r="388">
          <cell r="A388" t="str">
            <v>stk90</v>
          </cell>
          <cell r="B388" t="str">
            <v>07.2204</v>
          </cell>
          <cell r="C388" t="str">
            <v>OÂÁng saét traùng keõm phi 90</v>
          </cell>
          <cell r="D388" t="str">
            <v>meùt</v>
          </cell>
          <cell r="F388">
            <v>42000</v>
          </cell>
          <cell r="G388">
            <v>6579</v>
          </cell>
          <cell r="I388">
            <v>42000</v>
          </cell>
        </row>
        <row r="389">
          <cell r="A389" t="str">
            <v>stk21</v>
          </cell>
          <cell r="B389" t="str">
            <v>07.2201</v>
          </cell>
          <cell r="C389" t="str">
            <v>OÂÁng saét traùng keõm phi 21</v>
          </cell>
          <cell r="D389" t="str">
            <v>meùt</v>
          </cell>
          <cell r="F389">
            <v>12000</v>
          </cell>
          <cell r="G389">
            <v>4180</v>
          </cell>
          <cell r="I389">
            <v>12000</v>
          </cell>
        </row>
        <row r="390">
          <cell r="A390" t="str">
            <v>costk114</v>
          </cell>
          <cell r="C390" t="str">
            <v>Maêng soâng STK 114</v>
          </cell>
          <cell r="D390" t="str">
            <v>caùi</v>
          </cell>
          <cell r="F390">
            <v>25000</v>
          </cell>
          <cell r="I390">
            <v>25000</v>
          </cell>
        </row>
        <row r="391">
          <cell r="A391" t="str">
            <v>costk90</v>
          </cell>
          <cell r="C391" t="str">
            <v>Maêng soâng STK 90</v>
          </cell>
          <cell r="D391" t="str">
            <v>caùi</v>
          </cell>
          <cell r="F391">
            <v>7000</v>
          </cell>
          <cell r="I391">
            <v>7000</v>
          </cell>
        </row>
        <row r="392">
          <cell r="A392" t="str">
            <v>YC</v>
          </cell>
          <cell r="C392" t="str">
            <v>Yeám caùp</v>
          </cell>
          <cell r="D392" t="str">
            <v>caùi</v>
          </cell>
          <cell r="F392">
            <v>5500</v>
          </cell>
          <cell r="I392">
            <v>5500</v>
          </cell>
        </row>
        <row r="393">
          <cell r="A393" t="str">
            <v>CD30x3</v>
          </cell>
          <cell r="B393" t="str">
            <v>06.2110</v>
          </cell>
          <cell r="C393" t="str">
            <v>Coâllier 30x3</v>
          </cell>
          <cell r="D393" t="str">
            <v>caùi</v>
          </cell>
          <cell r="F393">
            <v>5000</v>
          </cell>
          <cell r="G393">
            <v>5404</v>
          </cell>
          <cell r="I393">
            <v>5000</v>
          </cell>
        </row>
        <row r="394">
          <cell r="A394" t="str">
            <v>CD25x2</v>
          </cell>
          <cell r="B394" t="str">
            <v>06.2110</v>
          </cell>
          <cell r="C394" t="str">
            <v>Coâllier 25x2</v>
          </cell>
          <cell r="D394" t="str">
            <v>caùi</v>
          </cell>
          <cell r="F394">
            <v>4000</v>
          </cell>
          <cell r="G394">
            <v>5404</v>
          </cell>
          <cell r="I394">
            <v>4000</v>
          </cell>
        </row>
        <row r="395">
          <cell r="A395" t="str">
            <v>PVC114</v>
          </cell>
          <cell r="B395" t="str">
            <v>04.8103</v>
          </cell>
          <cell r="C395" t="str">
            <v xml:space="preserve">OÁng PVC 114 </v>
          </cell>
          <cell r="D395" t="str">
            <v>m</v>
          </cell>
          <cell r="F395">
            <v>22000</v>
          </cell>
          <cell r="G395">
            <v>2302</v>
          </cell>
          <cell r="I395">
            <v>22000</v>
          </cell>
        </row>
        <row r="396">
          <cell r="A396" t="str">
            <v>PVC90</v>
          </cell>
          <cell r="B396" t="str">
            <v>04.8103</v>
          </cell>
          <cell r="C396" t="str">
            <v xml:space="preserve">OÁng PVC 90 </v>
          </cell>
          <cell r="D396" t="str">
            <v>m</v>
          </cell>
          <cell r="F396">
            <v>16500</v>
          </cell>
          <cell r="G396">
            <v>2302</v>
          </cell>
          <cell r="I396">
            <v>16500</v>
          </cell>
        </row>
        <row r="397">
          <cell r="A397" t="str">
            <v>PVC21</v>
          </cell>
          <cell r="B397" t="str">
            <v>04.8103</v>
          </cell>
          <cell r="C397" t="str">
            <v xml:space="preserve">OÁng PVC 21 </v>
          </cell>
          <cell r="D397" t="str">
            <v>m</v>
          </cell>
          <cell r="F397">
            <v>2200</v>
          </cell>
          <cell r="G397">
            <v>2302</v>
          </cell>
          <cell r="I397">
            <v>2200</v>
          </cell>
        </row>
        <row r="398">
          <cell r="A398" t="str">
            <v>CUT21</v>
          </cell>
          <cell r="C398" t="str">
            <v>Cut PVC 21</v>
          </cell>
          <cell r="D398" t="str">
            <v>caùi</v>
          </cell>
          <cell r="F398">
            <v>1000</v>
          </cell>
          <cell r="I398">
            <v>1000</v>
          </cell>
        </row>
        <row r="399">
          <cell r="A399" t="str">
            <v>CUT90</v>
          </cell>
          <cell r="C399" t="str">
            <v>Cut PVC 90</v>
          </cell>
          <cell r="D399" t="str">
            <v>caùi</v>
          </cell>
          <cell r="F399">
            <v>10000</v>
          </cell>
          <cell r="I399">
            <v>10000</v>
          </cell>
        </row>
        <row r="400">
          <cell r="A400" t="str">
            <v>AMPE</v>
          </cell>
          <cell r="C400" t="str">
            <v xml:space="preserve">Ampe keá </v>
          </cell>
          <cell r="D400" t="str">
            <v>boä</v>
          </cell>
          <cell r="E400">
            <v>226800</v>
          </cell>
        </row>
        <row r="401">
          <cell r="A401" t="str">
            <v>VON</v>
          </cell>
          <cell r="C401" t="str">
            <v xml:space="preserve">Voân keá </v>
          </cell>
          <cell r="D401" t="str">
            <v>boä</v>
          </cell>
          <cell r="E401">
            <v>226800</v>
          </cell>
        </row>
        <row r="402">
          <cell r="A402" t="str">
            <v>BANGG</v>
          </cell>
          <cell r="C402" t="str">
            <v>Baûng gaén aptomat vaø ñieän keá daøy 15mm</v>
          </cell>
          <cell r="D402" t="str">
            <v>caùi</v>
          </cell>
          <cell r="F402">
            <v>15000</v>
          </cell>
          <cell r="I402">
            <v>15000</v>
          </cell>
        </row>
        <row r="403">
          <cell r="A403" t="str">
            <v>BANGKEO</v>
          </cell>
          <cell r="C403" t="str">
            <v>Baêng keo caùch ñieän haï theá</v>
          </cell>
          <cell r="D403" t="str">
            <v>cuoän</v>
          </cell>
          <cell r="F403">
            <v>5000</v>
          </cell>
          <cell r="I403">
            <v>5000</v>
          </cell>
        </row>
        <row r="404">
          <cell r="A404" t="str">
            <v>BANGKEOTT</v>
          </cell>
          <cell r="C404" t="str">
            <v>Baêng keo caùch ñieän trung theá</v>
          </cell>
          <cell r="D404" t="str">
            <v>cuoän</v>
          </cell>
          <cell r="F404">
            <v>125000</v>
          </cell>
          <cell r="I404">
            <v>125000</v>
          </cell>
        </row>
        <row r="405">
          <cell r="A405" t="str">
            <v>OXC</v>
          </cell>
          <cell r="C405" t="str">
            <v>Oác xieát caùp 1/0</v>
          </cell>
          <cell r="D405" t="str">
            <v>caùi</v>
          </cell>
          <cell r="F405">
            <v>12000</v>
          </cell>
          <cell r="I405">
            <v>12000</v>
          </cell>
        </row>
        <row r="406">
          <cell r="A406" t="str">
            <v>KHOA</v>
          </cell>
          <cell r="C406" t="str">
            <v>OÅ khoùa</v>
          </cell>
          <cell r="D406" t="str">
            <v>caùi</v>
          </cell>
          <cell r="F406">
            <v>30000</v>
          </cell>
          <cell r="I406">
            <v>30000</v>
          </cell>
        </row>
        <row r="408">
          <cell r="A408" t="str">
            <v>Baûng keâ ñôn gía nhaân coâng  ( 67/1999/QÑ-BCN )</v>
          </cell>
        </row>
        <row r="409">
          <cell r="A409" t="str">
            <v>Maõ</v>
          </cell>
          <cell r="B409" t="str">
            <v>MHÑG</v>
          </cell>
          <cell r="C409" t="str">
            <v>Coâng vieäc</v>
          </cell>
          <cell r="D409" t="str">
            <v>Ñôn vò</v>
          </cell>
          <cell r="E409" t="str">
            <v>Ñôn giaù</v>
          </cell>
        </row>
        <row r="410">
          <cell r="A410">
            <v>1</v>
          </cell>
          <cell r="B410">
            <v>2</v>
          </cell>
          <cell r="C410">
            <v>3</v>
          </cell>
          <cell r="D410">
            <v>4</v>
          </cell>
          <cell r="E410">
            <v>5</v>
          </cell>
          <cell r="F410">
            <v>6</v>
          </cell>
          <cell r="G410">
            <v>7</v>
          </cell>
          <cell r="H410">
            <v>8</v>
          </cell>
        </row>
        <row r="411">
          <cell r="A411" t="str">
            <v>MDD1</v>
          </cell>
          <cell r="B411" t="str">
            <v>03.1101</v>
          </cell>
          <cell r="C411" t="str">
            <v>Ñaøo ñaát caáp 1</v>
          </cell>
          <cell r="D411" t="str">
            <v>m3</v>
          </cell>
          <cell r="G411">
            <v>8094</v>
          </cell>
        </row>
        <row r="412">
          <cell r="A412" t="str">
            <v>MDD2</v>
          </cell>
          <cell r="B412" t="str">
            <v>03.1112</v>
          </cell>
          <cell r="C412" t="str">
            <v>Ñaøo ñaát caáp 2 saâu &gt;1m</v>
          </cell>
          <cell r="D412" t="str">
            <v>m3</v>
          </cell>
          <cell r="G412">
            <v>16776</v>
          </cell>
        </row>
        <row r="413">
          <cell r="A413" t="str">
            <v>MDD21</v>
          </cell>
          <cell r="B413" t="str">
            <v>03.1102</v>
          </cell>
          <cell r="C413" t="str">
            <v>Ñaøo ñaát caáp 2 saâu &lt;=1m</v>
          </cell>
          <cell r="D413" t="str">
            <v>m3</v>
          </cell>
          <cell r="G413">
            <v>12508</v>
          </cell>
        </row>
        <row r="414">
          <cell r="A414" t="str">
            <v>MDD3</v>
          </cell>
          <cell r="B414" t="str">
            <v>03.1113</v>
          </cell>
          <cell r="C414" t="str">
            <v>Ñaøo ñaát caáp 3 saâu &gt;1m</v>
          </cell>
          <cell r="D414" t="str">
            <v>m3</v>
          </cell>
          <cell r="G414">
            <v>24428</v>
          </cell>
        </row>
        <row r="415">
          <cell r="A415" t="str">
            <v>MDD4</v>
          </cell>
          <cell r="B415" t="str">
            <v>03.1114</v>
          </cell>
          <cell r="C415" t="str">
            <v>Ñaøo ñaát caáp 4 saâu &gt;1 m</v>
          </cell>
          <cell r="D415" t="str">
            <v>m3</v>
          </cell>
          <cell r="G415">
            <v>37819</v>
          </cell>
        </row>
        <row r="416">
          <cell r="A416" t="str">
            <v>DMN2</v>
          </cell>
          <cell r="B416" t="str">
            <v>03.1112</v>
          </cell>
          <cell r="C416" t="str">
            <v>Ñaøo ñaát caáp 2</v>
          </cell>
          <cell r="D416" t="str">
            <v>m3</v>
          </cell>
          <cell r="G416">
            <v>16776</v>
          </cell>
        </row>
        <row r="417">
          <cell r="A417" t="str">
            <v>DMN3</v>
          </cell>
          <cell r="B417" t="str">
            <v>03.1113</v>
          </cell>
          <cell r="C417" t="str">
            <v>Ñaøo ñaát caáp 3</v>
          </cell>
          <cell r="D417" t="str">
            <v>m3</v>
          </cell>
          <cell r="G417">
            <v>24428</v>
          </cell>
        </row>
        <row r="418">
          <cell r="A418" t="str">
            <v>DM15</v>
          </cell>
          <cell r="B418" t="str">
            <v>03.1132</v>
          </cell>
          <cell r="C418" t="str">
            <v>Ñaøo ñaát caáp 2 ( S ñaùy moùng &lt;=15mm2)</v>
          </cell>
          <cell r="D418" t="str">
            <v>m3</v>
          </cell>
          <cell r="G418">
            <v>11773</v>
          </cell>
        </row>
        <row r="419">
          <cell r="A419" t="str">
            <v>DM250</v>
          </cell>
          <cell r="B419" t="str">
            <v>03.1422</v>
          </cell>
          <cell r="C419" t="str">
            <v>Ñaøo ñaát caáp 2 ( S ñaùy moùng &gt;200mm2)</v>
          </cell>
          <cell r="D419" t="str">
            <v>m3</v>
          </cell>
          <cell r="G419">
            <v>17217</v>
          </cell>
        </row>
        <row r="420">
          <cell r="A420" t="str">
            <v>DM150</v>
          </cell>
          <cell r="B420" t="str">
            <v>03.1342</v>
          </cell>
          <cell r="C420" t="str">
            <v>Ñaøo ñaát caáp 2 ( S ñaùy moùng &lt;=150mm2)</v>
          </cell>
          <cell r="D420" t="str">
            <v>m3</v>
          </cell>
          <cell r="G420">
            <v>15451</v>
          </cell>
        </row>
        <row r="421">
          <cell r="A421" t="str">
            <v>MDAP1</v>
          </cell>
          <cell r="B421" t="str">
            <v>03.2201</v>
          </cell>
          <cell r="C421" t="str">
            <v>Ñaép ñaát caáp 1</v>
          </cell>
          <cell r="D421" t="str">
            <v>m3</v>
          </cell>
          <cell r="G421">
            <v>7505</v>
          </cell>
        </row>
        <row r="422">
          <cell r="A422" t="str">
            <v>MDAP2</v>
          </cell>
          <cell r="B422" t="str">
            <v>03.2202</v>
          </cell>
          <cell r="C422" t="str">
            <v>Ñaép ñaát caáp 2</v>
          </cell>
          <cell r="D422" t="str">
            <v>m3</v>
          </cell>
          <cell r="G422">
            <v>9712</v>
          </cell>
        </row>
        <row r="423">
          <cell r="A423" t="str">
            <v>MDAP3</v>
          </cell>
          <cell r="B423" t="str">
            <v>03.2203</v>
          </cell>
          <cell r="C423" t="str">
            <v>Ñaép ñaát caáp 3</v>
          </cell>
          <cell r="D423" t="str">
            <v>m3</v>
          </cell>
          <cell r="G423">
            <v>10890</v>
          </cell>
        </row>
        <row r="424">
          <cell r="A424" t="str">
            <v>MDAP4</v>
          </cell>
          <cell r="B424" t="str">
            <v>03.2203</v>
          </cell>
          <cell r="C424" t="str">
            <v>Ñaép ñaát caáp 4</v>
          </cell>
          <cell r="D424" t="str">
            <v>m3</v>
          </cell>
          <cell r="G424">
            <v>10890</v>
          </cell>
        </row>
        <row r="425">
          <cell r="A425" t="str">
            <v>DCAT</v>
          </cell>
          <cell r="B425" t="str">
            <v>03.7001</v>
          </cell>
          <cell r="C425" t="str">
            <v xml:space="preserve">Ñaép caùt </v>
          </cell>
          <cell r="D425" t="str">
            <v>m3</v>
          </cell>
          <cell r="G425">
            <v>9124</v>
          </cell>
        </row>
        <row r="426">
          <cell r="A426" t="str">
            <v>Ldphen</v>
          </cell>
          <cell r="B426" t="str">
            <v>TT</v>
          </cell>
          <cell r="C426" t="str">
            <v>Döïng pheân tre ngaên saït lôû hoá moùng</v>
          </cell>
          <cell r="D426" t="str">
            <v>m2</v>
          </cell>
          <cell r="G426">
            <v>1000</v>
          </cell>
        </row>
        <row r="427">
          <cell r="A427" t="str">
            <v>san</v>
          </cell>
          <cell r="B427" t="str">
            <v>01.8122</v>
          </cell>
          <cell r="C427" t="str">
            <v>San gaït ñaát bôø hoá moùng choáng saït</v>
          </cell>
          <cell r="D427" t="str">
            <v>m3</v>
          </cell>
          <cell r="G427">
            <v>10742</v>
          </cell>
        </row>
        <row r="428">
          <cell r="A428" t="str">
            <v>DTD2</v>
          </cell>
          <cell r="B428" t="str">
            <v>03.3102</v>
          </cell>
          <cell r="C428" t="str">
            <v>Ñaøo raõnh tieáp ñòa ñaát caáp 2</v>
          </cell>
          <cell r="D428" t="str">
            <v>m3</v>
          </cell>
          <cell r="G428">
            <v>14716</v>
          </cell>
        </row>
        <row r="429">
          <cell r="A429" t="str">
            <v>DTD3</v>
          </cell>
          <cell r="B429" t="str">
            <v>03.3103</v>
          </cell>
          <cell r="C429" t="str">
            <v>Ñaøo raõnh tieáp ñòa ñaát caáp 3</v>
          </cell>
          <cell r="D429" t="str">
            <v>m3</v>
          </cell>
          <cell r="G429">
            <v>21926</v>
          </cell>
        </row>
        <row r="430">
          <cell r="A430" t="str">
            <v>DATD2</v>
          </cell>
          <cell r="B430" t="str">
            <v>03.3202</v>
          </cell>
          <cell r="C430" t="str">
            <v>Ñaép ñaát raõnh tieáp ñòa caáp 2</v>
          </cell>
          <cell r="D430" t="str">
            <v>m3</v>
          </cell>
          <cell r="G430">
            <v>8682</v>
          </cell>
        </row>
        <row r="431">
          <cell r="A431" t="str">
            <v>DATD3</v>
          </cell>
          <cell r="B431" t="str">
            <v>03.3203</v>
          </cell>
          <cell r="C431" t="str">
            <v>Ñaép ñaát raõnh tieáp ñòa caáp 3</v>
          </cell>
          <cell r="D431" t="str">
            <v>m3</v>
          </cell>
          <cell r="G431">
            <v>10007</v>
          </cell>
        </row>
        <row r="432">
          <cell r="A432" t="str">
            <v>M12</v>
          </cell>
          <cell r="B432" t="str">
            <v>04.3801</v>
          </cell>
          <cell r="C432" t="str">
            <v>Ñaët ñaø caûn 1.2m</v>
          </cell>
          <cell r="D432" t="str">
            <v>caùi</v>
          </cell>
          <cell r="G432">
            <v>11051</v>
          </cell>
        </row>
        <row r="433">
          <cell r="A433" t="str">
            <v>M15</v>
          </cell>
          <cell r="B433" t="str">
            <v>04.3801</v>
          </cell>
          <cell r="C433" t="str">
            <v>Ñaët ñaø caûn 1.5m</v>
          </cell>
          <cell r="D433" t="str">
            <v>caùi</v>
          </cell>
          <cell r="G433">
            <v>11051</v>
          </cell>
        </row>
        <row r="434">
          <cell r="A434" t="str">
            <v>MD25</v>
          </cell>
          <cell r="B434" t="str">
            <v>04.3802</v>
          </cell>
          <cell r="C434" t="str">
            <v xml:space="preserve">Ñaët ñaø caûn 2.5m </v>
          </cell>
          <cell r="D434" t="str">
            <v>caùi</v>
          </cell>
          <cell r="G434">
            <v>24214</v>
          </cell>
        </row>
        <row r="435">
          <cell r="A435" t="str">
            <v>DCT25</v>
          </cell>
          <cell r="B435" t="str">
            <v>04.5142</v>
          </cell>
          <cell r="C435" t="str">
            <v>Ñoùng cöø traøm 2,5 m</v>
          </cell>
          <cell r="D435" t="str">
            <v>caây</v>
          </cell>
          <cell r="G435">
            <v>1393.5</v>
          </cell>
        </row>
        <row r="436">
          <cell r="A436" t="str">
            <v>DCT30</v>
          </cell>
          <cell r="B436" t="str">
            <v>04.5142</v>
          </cell>
          <cell r="C436" t="str">
            <v>Ñoùng cöø traøm 3 m</v>
          </cell>
          <cell r="D436" t="str">
            <v>caây</v>
          </cell>
          <cell r="G436">
            <v>1672.1999999999998</v>
          </cell>
        </row>
        <row r="437">
          <cell r="A437" t="str">
            <v>DCT50</v>
          </cell>
          <cell r="B437" t="str">
            <v>04.5142</v>
          </cell>
          <cell r="C437" t="str">
            <v>Ñoùng cöø traøm 5 m</v>
          </cell>
          <cell r="D437" t="str">
            <v>caây</v>
          </cell>
          <cell r="G437">
            <v>2787</v>
          </cell>
        </row>
        <row r="438">
          <cell r="A438" t="str">
            <v>VCDA1</v>
          </cell>
          <cell r="B438" t="str">
            <v>02.1451</v>
          </cell>
          <cell r="C438" t="str">
            <v>V/c ñaø caûn vaøo vò trí (cöï ly &lt;=100m)</v>
          </cell>
          <cell r="D438" t="str">
            <v>taán</v>
          </cell>
          <cell r="G438">
            <v>90207</v>
          </cell>
        </row>
        <row r="439">
          <cell r="A439" t="str">
            <v>VCDA2</v>
          </cell>
          <cell r="B439" t="str">
            <v>02.1452</v>
          </cell>
          <cell r="C439" t="str">
            <v>V/c ñaø caûn vaøo vò trí (cöï ly &lt;=300m)</v>
          </cell>
          <cell r="D439" t="str">
            <v>taán</v>
          </cell>
          <cell r="G439">
            <v>84615</v>
          </cell>
        </row>
        <row r="440">
          <cell r="A440" t="str">
            <v>VCDA3</v>
          </cell>
          <cell r="B440" t="str">
            <v>02.1453</v>
          </cell>
          <cell r="C440" t="str">
            <v>V/c ñaø caûn vaøo vò trí (cöï ly &lt;=500m)</v>
          </cell>
          <cell r="D440" t="str">
            <v>taán</v>
          </cell>
          <cell r="G440">
            <v>83585</v>
          </cell>
        </row>
        <row r="441">
          <cell r="A441" t="str">
            <v>VCDA4</v>
          </cell>
          <cell r="B441" t="str">
            <v>02.1454</v>
          </cell>
          <cell r="C441" t="str">
            <v>V/c ñaø caûn vaøo vò trí (cöï ly&gt;500m)</v>
          </cell>
          <cell r="D441" t="str">
            <v>taán</v>
          </cell>
          <cell r="G441">
            <v>82702</v>
          </cell>
        </row>
        <row r="442">
          <cell r="A442" t="str">
            <v>VCDN1</v>
          </cell>
          <cell r="B442" t="str">
            <v>02.1451</v>
          </cell>
          <cell r="C442" t="str">
            <v>V/c ñeá neùo vaøo vò trí (cöï ly &lt;=100m)</v>
          </cell>
          <cell r="D442" t="str">
            <v>taán</v>
          </cell>
          <cell r="G442">
            <v>90207</v>
          </cell>
        </row>
        <row r="443">
          <cell r="A443" t="str">
            <v>VCDN2</v>
          </cell>
          <cell r="B443" t="str">
            <v>02.1452</v>
          </cell>
          <cell r="C443" t="str">
            <v>V/c ñeá neùo vaøo vò trí (cöï ly &lt;=300m)</v>
          </cell>
          <cell r="D443" t="str">
            <v>taán</v>
          </cell>
          <cell r="G443">
            <v>84615</v>
          </cell>
        </row>
        <row r="444">
          <cell r="A444" t="str">
            <v>VCDN3</v>
          </cell>
          <cell r="B444" t="str">
            <v>02.1453</v>
          </cell>
          <cell r="C444" t="str">
            <v>V/c ñeá neùo vaøo vò trí (cöï ly &lt;=500m)</v>
          </cell>
          <cell r="D444" t="str">
            <v>taán</v>
          </cell>
          <cell r="G444">
            <v>83585</v>
          </cell>
        </row>
        <row r="445">
          <cell r="A445" t="str">
            <v>VCDN4</v>
          </cell>
          <cell r="B445" t="str">
            <v>02.1454</v>
          </cell>
          <cell r="C445" t="str">
            <v>V/c ñeá neùo vaøo vò trí (cöï ly&gt;500m)</v>
          </cell>
          <cell r="D445" t="str">
            <v>taán</v>
          </cell>
          <cell r="G445">
            <v>82702</v>
          </cell>
        </row>
        <row r="446">
          <cell r="A446" t="str">
            <v>VCC1</v>
          </cell>
          <cell r="B446" t="str">
            <v>02.1461</v>
          </cell>
          <cell r="C446" t="str">
            <v>V/c coät vaøo vò trí (cöï ly &lt;=100m)</v>
          </cell>
          <cell r="D446" t="str">
            <v>taán</v>
          </cell>
          <cell r="G446">
            <v>140240</v>
          </cell>
        </row>
        <row r="447">
          <cell r="A447" t="str">
            <v>VCC2</v>
          </cell>
          <cell r="B447" t="str">
            <v>02.1462</v>
          </cell>
          <cell r="C447" t="str">
            <v>V/c coät vaøo vò trí (cöï ly &lt;=300m)</v>
          </cell>
          <cell r="D447" t="str">
            <v>taán</v>
          </cell>
          <cell r="G447">
            <v>131705</v>
          </cell>
        </row>
        <row r="448">
          <cell r="A448" t="str">
            <v>VCC3</v>
          </cell>
          <cell r="B448" t="str">
            <v>02.1463</v>
          </cell>
          <cell r="C448" t="str">
            <v>V/c coät vaøo vò trí (cöï ly &lt;=500m)</v>
          </cell>
          <cell r="D448" t="str">
            <v>taán</v>
          </cell>
          <cell r="G448">
            <v>129940</v>
          </cell>
        </row>
        <row r="449">
          <cell r="A449" t="str">
            <v>VCC4</v>
          </cell>
          <cell r="B449" t="str">
            <v>02.1464</v>
          </cell>
          <cell r="C449" t="str">
            <v>V/c coät vaøo vò trí (cöï ly &gt;500m)</v>
          </cell>
          <cell r="D449" t="str">
            <v>taán</v>
          </cell>
          <cell r="G449">
            <v>128762</v>
          </cell>
        </row>
        <row r="450">
          <cell r="A450" t="str">
            <v>VCPK1</v>
          </cell>
          <cell r="B450" t="str">
            <v>02.1421</v>
          </cell>
          <cell r="C450" t="str">
            <v>V/c phuï kieän vaøo vò trí ( cöï ly &lt;=100m)</v>
          </cell>
          <cell r="D450" t="str">
            <v>taán</v>
          </cell>
          <cell r="G450">
            <v>99184</v>
          </cell>
        </row>
        <row r="451">
          <cell r="A451" t="str">
            <v>VCPK2</v>
          </cell>
          <cell r="B451" t="str">
            <v>02.1422</v>
          </cell>
          <cell r="C451" t="str">
            <v>V/c phuï kieän vaøo vò trí ( cöï ly &lt;=300m)</v>
          </cell>
          <cell r="D451" t="str">
            <v>taán</v>
          </cell>
          <cell r="G451">
            <v>93150</v>
          </cell>
        </row>
        <row r="452">
          <cell r="A452" t="str">
            <v>VCPK3</v>
          </cell>
          <cell r="B452" t="str">
            <v>02.1423</v>
          </cell>
          <cell r="C452" t="str">
            <v>V/c phuï kieän vaøo vò trí ( cöï ly &lt;=500m)</v>
          </cell>
          <cell r="D452" t="str">
            <v>taán</v>
          </cell>
          <cell r="G452">
            <v>91973</v>
          </cell>
        </row>
        <row r="453">
          <cell r="A453" t="str">
            <v>VCPK4</v>
          </cell>
          <cell r="B453" t="str">
            <v>02.1424</v>
          </cell>
          <cell r="C453" t="str">
            <v>V/c phuï kieän vaøo vò trí ( cöï ly &gt;500m)</v>
          </cell>
          <cell r="D453" t="str">
            <v>taán</v>
          </cell>
          <cell r="G453">
            <v>90943</v>
          </cell>
        </row>
        <row r="454">
          <cell r="A454" t="str">
            <v>VCTD1</v>
          </cell>
          <cell r="B454" t="str">
            <v>02.1421</v>
          </cell>
          <cell r="C454" t="str">
            <v>V/c tieáp ñòa vaøo vò trí ( cöï ly &lt;=100m)</v>
          </cell>
          <cell r="D454" t="str">
            <v>taán</v>
          </cell>
          <cell r="G454">
            <v>99184</v>
          </cell>
        </row>
        <row r="455">
          <cell r="A455" t="str">
            <v>VCTD2</v>
          </cell>
          <cell r="B455" t="str">
            <v>02.1422</v>
          </cell>
          <cell r="C455" t="str">
            <v>V/c tieáp ñòa vaøo vò trí ( cöï ly &lt;=300m)</v>
          </cell>
          <cell r="D455" t="str">
            <v>taán</v>
          </cell>
          <cell r="G455">
            <v>93150</v>
          </cell>
        </row>
        <row r="456">
          <cell r="A456" t="str">
            <v>VCTD3</v>
          </cell>
          <cell r="B456" t="str">
            <v>02.1423</v>
          </cell>
          <cell r="C456" t="str">
            <v>V/c tieáp ñòa vaøo vò trí ( cöï ly &lt;=500m)</v>
          </cell>
          <cell r="D456" t="str">
            <v>taán</v>
          </cell>
          <cell r="G456">
            <v>91973</v>
          </cell>
        </row>
        <row r="457">
          <cell r="A457" t="str">
            <v>VCTD4</v>
          </cell>
          <cell r="B457" t="str">
            <v>02.1424</v>
          </cell>
          <cell r="C457" t="str">
            <v>V/c phuï kieän vaøo vò trí ( cöï ly &gt;500m)</v>
          </cell>
          <cell r="D457" t="str">
            <v>taán</v>
          </cell>
          <cell r="G457">
            <v>90943</v>
          </cell>
        </row>
        <row r="458">
          <cell r="A458" t="str">
            <v>VCD1</v>
          </cell>
          <cell r="B458" t="str">
            <v>02.1441</v>
          </cell>
          <cell r="C458" t="str">
            <v>V/c daây vaøo vò trí (cöï ly &lt;=100m)</v>
          </cell>
          <cell r="D458" t="str">
            <v>taán</v>
          </cell>
          <cell r="G458">
            <v>100214</v>
          </cell>
        </row>
        <row r="459">
          <cell r="A459" t="str">
            <v>VCD2</v>
          </cell>
          <cell r="B459" t="str">
            <v>02.1442</v>
          </cell>
          <cell r="C459" t="str">
            <v>V/c daây vaøo vò trí (cöï ly &lt;=300m)</v>
          </cell>
          <cell r="D459" t="str">
            <v>taán</v>
          </cell>
          <cell r="G459">
            <v>93886</v>
          </cell>
        </row>
        <row r="460">
          <cell r="A460" t="str">
            <v>VCD3</v>
          </cell>
          <cell r="B460" t="str">
            <v>02.1443</v>
          </cell>
          <cell r="C460" t="str">
            <v>V/c daây vaøo vò trí (cöï ly &lt;=500m)</v>
          </cell>
          <cell r="D460" t="str">
            <v>taán</v>
          </cell>
          <cell r="G460">
            <v>92856</v>
          </cell>
        </row>
        <row r="461">
          <cell r="A461" t="str">
            <v>VCD4</v>
          </cell>
          <cell r="B461" t="str">
            <v>02.1444</v>
          </cell>
          <cell r="C461" t="str">
            <v>V/c daây vaøo vò trí (cöï ly &gt; 500m)</v>
          </cell>
          <cell r="D461" t="str">
            <v>taán</v>
          </cell>
          <cell r="G461">
            <v>91973</v>
          </cell>
        </row>
        <row r="462">
          <cell r="A462" t="str">
            <v>VCS1</v>
          </cell>
          <cell r="B462" t="str">
            <v>02.1431</v>
          </cell>
          <cell r="C462" t="str">
            <v>V/c söù vaø phuï kieän vaøo vò trí cöï ly &lt;=100m</v>
          </cell>
          <cell r="D462" t="str">
            <v>taán</v>
          </cell>
          <cell r="G462">
            <v>130234</v>
          </cell>
        </row>
        <row r="463">
          <cell r="A463" t="str">
            <v>VCS2</v>
          </cell>
          <cell r="B463" t="str">
            <v>02.1432</v>
          </cell>
          <cell r="C463" t="str">
            <v>V/c söù vaø phuï kieän vaøo vò trí cöï ly &lt;=300m</v>
          </cell>
          <cell r="D463" t="str">
            <v>taán</v>
          </cell>
          <cell r="G463">
            <v>122287</v>
          </cell>
        </row>
        <row r="464">
          <cell r="A464" t="str">
            <v>VCS3</v>
          </cell>
          <cell r="B464" t="str">
            <v>02.1433</v>
          </cell>
          <cell r="C464" t="str">
            <v>V/c söù vaø phuï kieän vaøo vò trí cöï ly &lt;=500m</v>
          </cell>
          <cell r="D464" t="str">
            <v>taán</v>
          </cell>
          <cell r="G464">
            <v>120669</v>
          </cell>
        </row>
        <row r="465">
          <cell r="A465" t="str">
            <v>VCS4</v>
          </cell>
          <cell r="B465" t="str">
            <v>02.1434</v>
          </cell>
          <cell r="C465" t="str">
            <v>V/c söù vaø phuï kieän vaøo vò trí cöï ly &gt; 500m</v>
          </cell>
          <cell r="D465" t="str">
            <v>taán</v>
          </cell>
          <cell r="G465">
            <v>119491</v>
          </cell>
        </row>
        <row r="466">
          <cell r="A466" t="str">
            <v>VCX1</v>
          </cell>
          <cell r="B466" t="str">
            <v>02.1361</v>
          </cell>
          <cell r="C466" t="str">
            <v>V/c xaø vaøo vò trí cöï ly &lt;=100m</v>
          </cell>
          <cell r="D466" t="str">
            <v>taán</v>
          </cell>
          <cell r="G466">
            <v>100214</v>
          </cell>
        </row>
        <row r="467">
          <cell r="A467" t="str">
            <v>VCX2</v>
          </cell>
          <cell r="B467" t="str">
            <v>02.1362</v>
          </cell>
          <cell r="C467" t="str">
            <v>V/c xaø vaøo vò trí cö ly &lt;=300m</v>
          </cell>
          <cell r="D467" t="str">
            <v>taán</v>
          </cell>
          <cell r="G467">
            <v>94033</v>
          </cell>
        </row>
        <row r="468">
          <cell r="A468" t="str">
            <v>VCX3</v>
          </cell>
          <cell r="B468" t="str">
            <v>02.1363</v>
          </cell>
          <cell r="C468" t="str">
            <v>V/c xaø vaøo vò trí cö ly &lt;=500m</v>
          </cell>
          <cell r="D468" t="str">
            <v>taán</v>
          </cell>
          <cell r="G468">
            <v>92856</v>
          </cell>
        </row>
        <row r="469">
          <cell r="A469" t="str">
            <v>VCX4</v>
          </cell>
          <cell r="B469" t="str">
            <v>02.1364</v>
          </cell>
          <cell r="C469" t="str">
            <v>V/c xaø vaøo vò trí cö ly &gt;500m</v>
          </cell>
          <cell r="D469" t="str">
            <v>taán</v>
          </cell>
          <cell r="G469">
            <v>91973</v>
          </cell>
        </row>
        <row r="470">
          <cell r="A470" t="str">
            <v>VCDC1</v>
          </cell>
          <cell r="B470" t="str">
            <v>02.1482</v>
          </cell>
          <cell r="C470" t="str">
            <v>V/c duïng cuï thi coâng ( cöï ly &lt;=100m)</v>
          </cell>
          <cell r="D470" t="str">
            <v>taán</v>
          </cell>
          <cell r="G470">
            <v>91090</v>
          </cell>
        </row>
        <row r="471">
          <cell r="A471" t="str">
            <v>VCDC2</v>
          </cell>
          <cell r="B471" t="str">
            <v>02.1483</v>
          </cell>
          <cell r="C471" t="str">
            <v>V/c duïng cuï thi coâng ( cöï ly &lt;=300m)</v>
          </cell>
          <cell r="D471" t="str">
            <v>taán</v>
          </cell>
          <cell r="G471">
            <v>84615</v>
          </cell>
        </row>
        <row r="472">
          <cell r="A472" t="str">
            <v>VCDC3</v>
          </cell>
          <cell r="B472" t="str">
            <v>02.1484</v>
          </cell>
          <cell r="C472" t="str">
            <v>V/c duïng cuï thi coâng ( cöï ly &lt;=500m)</v>
          </cell>
          <cell r="D472" t="str">
            <v>taán</v>
          </cell>
          <cell r="G472">
            <v>83585</v>
          </cell>
        </row>
        <row r="473">
          <cell r="A473" t="str">
            <v>VCDC4</v>
          </cell>
          <cell r="B473" t="str">
            <v>02.1485</v>
          </cell>
          <cell r="C473" t="str">
            <v>V/c duïng cuï thi coâng ( cöï ly &gt; 500m)</v>
          </cell>
          <cell r="D473" t="str">
            <v>taán</v>
          </cell>
          <cell r="G473">
            <v>82849</v>
          </cell>
        </row>
        <row r="474">
          <cell r="A474" t="str">
            <v>VCCT1</v>
          </cell>
          <cell r="B474" t="str">
            <v>02.1391</v>
          </cell>
          <cell r="C474" t="str">
            <v>V/c cöø traøm 2,5 -3m( cöï ly &lt;=100m)</v>
          </cell>
          <cell r="D474" t="str">
            <v>caây</v>
          </cell>
          <cell r="G474">
            <v>179</v>
          </cell>
        </row>
        <row r="475">
          <cell r="A475" t="str">
            <v>VCCT2</v>
          </cell>
          <cell r="B475" t="str">
            <v>02.1392</v>
          </cell>
          <cell r="C475" t="str">
            <v>V/c cöø traøm 2,5-3m ( cöï ly &lt;=300m)</v>
          </cell>
          <cell r="D475" t="str">
            <v>caây</v>
          </cell>
          <cell r="G475">
            <v>169</v>
          </cell>
        </row>
        <row r="476">
          <cell r="A476" t="str">
            <v>VCCT3</v>
          </cell>
          <cell r="B476" t="str">
            <v>02.1393</v>
          </cell>
          <cell r="C476" t="str">
            <v>V/c cöø traøm 2,5-3m ( cöï ly &lt;=500m)</v>
          </cell>
          <cell r="D476" t="str">
            <v>caây</v>
          </cell>
          <cell r="G476">
            <v>168</v>
          </cell>
        </row>
        <row r="477">
          <cell r="A477" t="str">
            <v>VCCT4</v>
          </cell>
          <cell r="B477" t="str">
            <v>02.1394</v>
          </cell>
          <cell r="C477" t="str">
            <v>V/c cöø traøm 2,5-3m ( cöï ly &gt; 500m)</v>
          </cell>
          <cell r="D477" t="str">
            <v>caây</v>
          </cell>
          <cell r="G477">
            <v>166</v>
          </cell>
        </row>
        <row r="478">
          <cell r="A478" t="str">
            <v>VCCT5</v>
          </cell>
          <cell r="B478" t="str">
            <v>02.1411</v>
          </cell>
          <cell r="C478" t="str">
            <v>V/c cöø traøm 5m ( cöï ly &lt;=100m)</v>
          </cell>
          <cell r="D478" t="str">
            <v>caây</v>
          </cell>
          <cell r="G478">
            <v>13214</v>
          </cell>
        </row>
        <row r="479">
          <cell r="A479" t="str">
            <v>VCCT6</v>
          </cell>
          <cell r="B479" t="str">
            <v>02.1412</v>
          </cell>
          <cell r="C479" t="str">
            <v>V/c cöø traøm 5m ( cöï ly &lt;=300m)</v>
          </cell>
          <cell r="D479" t="str">
            <v>caây</v>
          </cell>
          <cell r="G479">
            <v>1243</v>
          </cell>
        </row>
        <row r="480">
          <cell r="A480" t="str">
            <v>VCCT7</v>
          </cell>
          <cell r="B480" t="str">
            <v>02.1413</v>
          </cell>
          <cell r="C480" t="str">
            <v>V/c cöø traøm 5m ( cöï ly &lt;=500m)</v>
          </cell>
          <cell r="D480" t="str">
            <v>caây</v>
          </cell>
          <cell r="G480">
            <v>1227</v>
          </cell>
        </row>
        <row r="481">
          <cell r="A481" t="str">
            <v>VCCT8</v>
          </cell>
          <cell r="B481" t="str">
            <v>02.1414</v>
          </cell>
          <cell r="C481" t="str">
            <v>V/c cöø traøm 5m ( cöï ly &gt; 500m)</v>
          </cell>
          <cell r="D481" t="str">
            <v>caây</v>
          </cell>
          <cell r="G481">
            <v>1214</v>
          </cell>
        </row>
        <row r="482">
          <cell r="A482" t="str">
            <v>VCXM1</v>
          </cell>
          <cell r="B482" t="str">
            <v>02.1211</v>
          </cell>
          <cell r="C482" t="str">
            <v>V/c xi maêng ( cöï ly &lt;=100m)</v>
          </cell>
          <cell r="D482" t="str">
            <v>taán</v>
          </cell>
          <cell r="G482">
            <v>71813</v>
          </cell>
        </row>
        <row r="483">
          <cell r="A483" t="str">
            <v>VCXM2</v>
          </cell>
          <cell r="B483" t="str">
            <v>02.1212</v>
          </cell>
          <cell r="C483" t="str">
            <v>V/c xi maêng ( cöï ly &lt;=300m)</v>
          </cell>
          <cell r="D483" t="str">
            <v>taán</v>
          </cell>
          <cell r="G483">
            <v>67545</v>
          </cell>
        </row>
        <row r="484">
          <cell r="A484" t="str">
            <v>VCXM3</v>
          </cell>
          <cell r="B484" t="str">
            <v>02.1213</v>
          </cell>
          <cell r="C484" t="str">
            <v>V/c xi maêng ( cöï ly &lt;=500m)</v>
          </cell>
          <cell r="D484" t="str">
            <v>taán</v>
          </cell>
          <cell r="G484">
            <v>66956</v>
          </cell>
        </row>
        <row r="485">
          <cell r="A485" t="str">
            <v>VCXM4</v>
          </cell>
          <cell r="B485" t="str">
            <v>02.1214</v>
          </cell>
          <cell r="C485" t="str">
            <v>V/c xi maêng ( cöï ly &gt;500m)</v>
          </cell>
          <cell r="D485" t="str">
            <v>taán</v>
          </cell>
          <cell r="G485">
            <v>66515</v>
          </cell>
        </row>
        <row r="486">
          <cell r="A486" t="str">
            <v>VCLD1</v>
          </cell>
          <cell r="B486" t="str">
            <v>02.1241</v>
          </cell>
          <cell r="C486" t="str">
            <v>V/c ñaù daêm ( cöï ly &lt;=100m)</v>
          </cell>
          <cell r="D486" t="str">
            <v>m3</v>
          </cell>
          <cell r="G486">
            <v>70635</v>
          </cell>
        </row>
        <row r="487">
          <cell r="A487" t="str">
            <v>VCLD2</v>
          </cell>
          <cell r="B487" t="str">
            <v>02.1242</v>
          </cell>
          <cell r="C487" t="str">
            <v>V/c ñaù daêm ( cöï ly &lt;=300m)</v>
          </cell>
          <cell r="D487" t="str">
            <v>m3</v>
          </cell>
          <cell r="G487">
            <v>67692</v>
          </cell>
        </row>
        <row r="488">
          <cell r="A488" t="str">
            <v>VCLD3</v>
          </cell>
          <cell r="B488" t="str">
            <v>02.1243</v>
          </cell>
          <cell r="C488" t="str">
            <v>V/c ñaù daêm ( cöï ly &lt;=500m)</v>
          </cell>
          <cell r="D488" t="str">
            <v>m3</v>
          </cell>
          <cell r="G488">
            <v>67104</v>
          </cell>
        </row>
        <row r="489">
          <cell r="A489" t="str">
            <v>VCLD4</v>
          </cell>
          <cell r="B489" t="str">
            <v>02.1244</v>
          </cell>
          <cell r="C489" t="str">
            <v>V/c ñaù daêm ( cöï ly &gt;500m)</v>
          </cell>
          <cell r="D489" t="str">
            <v>m3</v>
          </cell>
          <cell r="G489">
            <v>66662</v>
          </cell>
        </row>
        <row r="490">
          <cell r="A490" t="str">
            <v>VCCAT1</v>
          </cell>
          <cell r="B490" t="str">
            <v>02.1231</v>
          </cell>
          <cell r="C490" t="str">
            <v>V/c caùt cöï ly &lt;=100m</v>
          </cell>
          <cell r="D490" t="str">
            <v>m3</v>
          </cell>
          <cell r="G490">
            <v>67251</v>
          </cell>
        </row>
        <row r="491">
          <cell r="A491" t="str">
            <v>VCCAT2</v>
          </cell>
          <cell r="B491" t="str">
            <v>02.1232</v>
          </cell>
          <cell r="C491" t="str">
            <v>V/c caùt cöï ly &lt;=300m</v>
          </cell>
          <cell r="D491" t="str">
            <v>m3</v>
          </cell>
          <cell r="G491">
            <v>64308</v>
          </cell>
        </row>
        <row r="492">
          <cell r="A492" t="str">
            <v>VCCAT3</v>
          </cell>
          <cell r="B492" t="str">
            <v>02.1233</v>
          </cell>
          <cell r="C492" t="str">
            <v>V/c caùt cöï ly &lt;=500m</v>
          </cell>
          <cell r="D492" t="str">
            <v>m3</v>
          </cell>
          <cell r="G492">
            <v>63719</v>
          </cell>
        </row>
        <row r="493">
          <cell r="A493" t="str">
            <v>VCCAT4</v>
          </cell>
          <cell r="B493" t="str">
            <v>02.1234</v>
          </cell>
          <cell r="C493" t="str">
            <v>V/c caùt cöï ly &gt;500m</v>
          </cell>
          <cell r="D493" t="str">
            <v>m3</v>
          </cell>
          <cell r="G493">
            <v>62983</v>
          </cell>
        </row>
        <row r="494">
          <cell r="A494" t="str">
            <v>VCFE1</v>
          </cell>
          <cell r="B494" t="str">
            <v>02.1351</v>
          </cell>
          <cell r="C494" t="str">
            <v>V/c coát theùp ( cöï ly &lt;=100m)</v>
          </cell>
          <cell r="D494" t="str">
            <v>taán</v>
          </cell>
          <cell r="G494">
            <v>110221</v>
          </cell>
        </row>
        <row r="495">
          <cell r="A495" t="str">
            <v>VCFE2</v>
          </cell>
          <cell r="B495" t="str">
            <v>02.1352</v>
          </cell>
          <cell r="C495" t="str">
            <v>V/c coát theùp ( cöï ly &lt;=300m)</v>
          </cell>
          <cell r="D495" t="str">
            <v>taán</v>
          </cell>
          <cell r="G495">
            <v>103451</v>
          </cell>
        </row>
        <row r="496">
          <cell r="A496" t="str">
            <v>VCFE3</v>
          </cell>
          <cell r="B496" t="str">
            <v>02.1353</v>
          </cell>
          <cell r="C496" t="str">
            <v>V/c coát theùp ( cöï ly &lt;=500m)</v>
          </cell>
          <cell r="D496" t="str">
            <v>taán</v>
          </cell>
          <cell r="G496">
            <v>102127</v>
          </cell>
        </row>
        <row r="497">
          <cell r="A497" t="str">
            <v>VCFE4</v>
          </cell>
          <cell r="B497" t="str">
            <v>02.1354</v>
          </cell>
          <cell r="C497" t="str">
            <v>V/c coát theùp ( cöï ly &gt;500m)</v>
          </cell>
          <cell r="D497" t="str">
            <v>taán</v>
          </cell>
          <cell r="G497">
            <v>93739</v>
          </cell>
        </row>
        <row r="498">
          <cell r="A498" t="str">
            <v>BOCDC</v>
          </cell>
          <cell r="B498" t="str">
            <v>02.1123</v>
          </cell>
          <cell r="C498" t="str">
            <v>Boác dôõ ñaø caûn, ñeá neùo</v>
          </cell>
          <cell r="D498" t="str">
            <v>taán</v>
          </cell>
          <cell r="G498">
            <v>6033</v>
          </cell>
        </row>
        <row r="499">
          <cell r="A499" t="str">
            <v>BOCTR</v>
          </cell>
          <cell r="B499" t="str">
            <v>02.1124</v>
          </cell>
          <cell r="C499" t="str">
            <v xml:space="preserve">Boác dôõ truï </v>
          </cell>
          <cell r="D499" t="str">
            <v>taán</v>
          </cell>
          <cell r="G499">
            <v>7358</v>
          </cell>
        </row>
        <row r="500">
          <cell r="A500" t="str">
            <v>BOCX</v>
          </cell>
          <cell r="B500" t="str">
            <v>02.1115</v>
          </cell>
          <cell r="C500" t="str">
            <v>Boác dôõ xaø, thanh theùp truï</v>
          </cell>
          <cell r="D500" t="str">
            <v>taán</v>
          </cell>
          <cell r="G500">
            <v>5592</v>
          </cell>
        </row>
        <row r="501">
          <cell r="A501" t="str">
            <v>BOCD</v>
          </cell>
          <cell r="B501" t="str">
            <v>02.1122</v>
          </cell>
          <cell r="C501" t="str">
            <v>Boác dôõ daây</v>
          </cell>
          <cell r="D501" t="str">
            <v>taán</v>
          </cell>
          <cell r="G501">
            <v>7064</v>
          </cell>
        </row>
        <row r="502">
          <cell r="A502" t="str">
            <v>BOCPK</v>
          </cell>
          <cell r="B502" t="str">
            <v>02.1120</v>
          </cell>
          <cell r="C502" t="str">
            <v>Boác dôõ phuï kieän</v>
          </cell>
          <cell r="D502" t="str">
            <v>taán</v>
          </cell>
          <cell r="G502">
            <v>6181</v>
          </cell>
        </row>
        <row r="503">
          <cell r="A503" t="str">
            <v>BOCS</v>
          </cell>
          <cell r="B503" t="str">
            <v>02.1121</v>
          </cell>
          <cell r="C503" t="str">
            <v>Boác dôõ söù</v>
          </cell>
          <cell r="D503" t="str">
            <v>taán</v>
          </cell>
          <cell r="G503">
            <v>12214</v>
          </cell>
        </row>
        <row r="504">
          <cell r="A504" t="str">
            <v>BOCTH</v>
          </cell>
          <cell r="B504" t="str">
            <v>02.1114</v>
          </cell>
          <cell r="C504" t="str">
            <v>Boác dôõ coát theùp</v>
          </cell>
          <cell r="D504" t="str">
            <v>taán</v>
          </cell>
          <cell r="G504">
            <v>5592</v>
          </cell>
        </row>
        <row r="505">
          <cell r="A505" t="str">
            <v>BOCXI</v>
          </cell>
          <cell r="B505" t="str">
            <v>02.1101</v>
          </cell>
          <cell r="C505" t="str">
            <v>Boác dôõ xi maêng</v>
          </cell>
          <cell r="D505" t="str">
            <v>taán</v>
          </cell>
          <cell r="G505">
            <v>2943</v>
          </cell>
        </row>
        <row r="506">
          <cell r="A506" t="str">
            <v>BOCCAT</v>
          </cell>
          <cell r="B506" t="str">
            <v>02.1103</v>
          </cell>
          <cell r="C506" t="str">
            <v>Boác dôõ caùt</v>
          </cell>
          <cell r="D506" t="str">
            <v>m3</v>
          </cell>
          <cell r="G506">
            <v>2207</v>
          </cell>
        </row>
        <row r="507">
          <cell r="A507" t="str">
            <v>BOCDA</v>
          </cell>
          <cell r="B507" t="str">
            <v>02.1104</v>
          </cell>
          <cell r="C507" t="str">
            <v>Boác dôõ ñaù daêm</v>
          </cell>
          <cell r="D507" t="str">
            <v>m3</v>
          </cell>
          <cell r="G507">
            <v>3090</v>
          </cell>
        </row>
        <row r="508">
          <cell r="A508" t="str">
            <v>BOCCT5</v>
          </cell>
          <cell r="B508" t="str">
            <v>02.1119</v>
          </cell>
          <cell r="C508" t="str">
            <v>Boác dôõ cöø traøm 5m</v>
          </cell>
          <cell r="D508" t="str">
            <v>caây</v>
          </cell>
          <cell r="G508">
            <v>91.24</v>
          </cell>
        </row>
        <row r="509">
          <cell r="A509" t="str">
            <v>VCVK1</v>
          </cell>
          <cell r="B509" t="str">
            <v>02.1331</v>
          </cell>
          <cell r="C509" t="str">
            <v>V/c vaùn khuoân goã cöï ly &lt;=100m</v>
          </cell>
          <cell r="D509" t="str">
            <v>m3</v>
          </cell>
          <cell r="G509">
            <v>57391</v>
          </cell>
        </row>
        <row r="510">
          <cell r="A510" t="str">
            <v>VCVK2</v>
          </cell>
          <cell r="B510" t="str">
            <v>02.1332</v>
          </cell>
          <cell r="C510" t="str">
            <v>V/c vaùn khuoân goã cöï ly &lt;=300m</v>
          </cell>
          <cell r="D510" t="str">
            <v>m3</v>
          </cell>
          <cell r="G510">
            <v>55037</v>
          </cell>
        </row>
        <row r="511">
          <cell r="A511" t="str">
            <v>VCVK3</v>
          </cell>
          <cell r="B511" t="str">
            <v>02.1333</v>
          </cell>
          <cell r="C511" t="str">
            <v>V/c vaùn khuoân goã cöï ly &lt;=500m</v>
          </cell>
          <cell r="D511" t="str">
            <v>m3</v>
          </cell>
          <cell r="G511">
            <v>54301</v>
          </cell>
        </row>
        <row r="512">
          <cell r="A512" t="str">
            <v>VCGN3</v>
          </cell>
          <cell r="B512" t="str">
            <v>02.1333</v>
          </cell>
          <cell r="C512" t="str">
            <v>V/c goã neo cöï ly &lt;=500m</v>
          </cell>
          <cell r="D512" t="str">
            <v>m3</v>
          </cell>
          <cell r="G512">
            <v>54301</v>
          </cell>
        </row>
        <row r="513">
          <cell r="A513" t="str">
            <v>ldvk</v>
          </cell>
          <cell r="B513" t="str">
            <v>04.2002</v>
          </cell>
          <cell r="C513" t="str">
            <v>Laép döïng vaùn khuoân goã</v>
          </cell>
          <cell r="D513" t="str">
            <v>m2</v>
          </cell>
          <cell r="G513">
            <v>5702</v>
          </cell>
        </row>
        <row r="514">
          <cell r="A514" t="str">
            <v>KTD22</v>
          </cell>
          <cell r="B514" t="str">
            <v>05.7003</v>
          </cell>
          <cell r="C514" t="str">
            <v>Keùo daây tieáp ñòa M22mm2</v>
          </cell>
          <cell r="D514" t="str">
            <v>kg</v>
          </cell>
          <cell r="G514">
            <v>102</v>
          </cell>
        </row>
        <row r="515">
          <cell r="A515" t="str">
            <v>KTD25</v>
          </cell>
          <cell r="B515" t="str">
            <v>05.7003</v>
          </cell>
          <cell r="C515" t="str">
            <v>Keùo daây tieáp ñòa M25mm2</v>
          </cell>
          <cell r="D515" t="str">
            <v>kg</v>
          </cell>
          <cell r="G515">
            <v>102</v>
          </cell>
        </row>
        <row r="516">
          <cell r="A516" t="str">
            <v>KTDT</v>
          </cell>
          <cell r="B516" t="str">
            <v>04.7002</v>
          </cell>
          <cell r="C516" t="str">
            <v>Keùo daây tieáp ñòa</v>
          </cell>
          <cell r="D516" t="str">
            <v>10meùt</v>
          </cell>
          <cell r="G516">
            <v>4388</v>
          </cell>
          <cell r="H516">
            <v>10015</v>
          </cell>
        </row>
        <row r="517">
          <cell r="A517" t="str">
            <v>DCTD1</v>
          </cell>
          <cell r="B517" t="str">
            <v>05.8002</v>
          </cell>
          <cell r="C517" t="str">
            <v>Ñoùng coïc tieáp ñòa</v>
          </cell>
          <cell r="D517" t="str">
            <v>coïc</v>
          </cell>
          <cell r="G517">
            <v>4335</v>
          </cell>
        </row>
        <row r="518">
          <cell r="A518" t="str">
            <v>DCTD2</v>
          </cell>
          <cell r="B518" t="str">
            <v>05.8003</v>
          </cell>
          <cell r="C518" t="str">
            <v>Ñoùng coïc tieáp ñòa</v>
          </cell>
          <cell r="D518" t="str">
            <v>coïc</v>
          </cell>
          <cell r="G518">
            <v>6782</v>
          </cell>
        </row>
        <row r="519">
          <cell r="A519" t="str">
            <v>DCTDT</v>
          </cell>
          <cell r="B519" t="str">
            <v>04.7001</v>
          </cell>
          <cell r="C519" t="str">
            <v>Ñoùng coïc tieáp ñòa</v>
          </cell>
          <cell r="D519" t="str">
            <v>coïc</v>
          </cell>
          <cell r="G519">
            <v>5217</v>
          </cell>
        </row>
        <row r="520">
          <cell r="A520" t="str">
            <v>C8</v>
          </cell>
          <cell r="B520" t="str">
            <v>05.5211</v>
          </cell>
          <cell r="C520" t="str">
            <v>Döïng truï BTLT &lt;8m baèng thuû coâng</v>
          </cell>
          <cell r="D520" t="str">
            <v>truï</v>
          </cell>
          <cell r="G520">
            <v>74917</v>
          </cell>
        </row>
        <row r="521">
          <cell r="A521" t="str">
            <v>C10</v>
          </cell>
          <cell r="B521" t="str">
            <v>05.5212</v>
          </cell>
          <cell r="C521" t="str">
            <v>Döïng truï BTLT &lt;=10m baèng thuû coâng</v>
          </cell>
          <cell r="D521" t="str">
            <v>truï</v>
          </cell>
          <cell r="G521">
            <v>80605</v>
          </cell>
        </row>
        <row r="522">
          <cell r="A522" t="str">
            <v>C105</v>
          </cell>
          <cell r="B522" t="str">
            <v>05.5213</v>
          </cell>
          <cell r="C522" t="str">
            <v>Döïng truï BTLT 10,5m baèng thuû coâng</v>
          </cell>
          <cell r="D522" t="str">
            <v>truï</v>
          </cell>
          <cell r="G522">
            <v>86293</v>
          </cell>
        </row>
        <row r="523">
          <cell r="A523" t="str">
            <v>C12</v>
          </cell>
          <cell r="B523" t="str">
            <v>05.5213</v>
          </cell>
          <cell r="C523" t="str">
            <v>Döïng truï BTLT 12m baèng thuû coâng</v>
          </cell>
          <cell r="D523" t="str">
            <v>truï</v>
          </cell>
          <cell r="G523">
            <v>86293</v>
          </cell>
        </row>
        <row r="524">
          <cell r="A524" t="str">
            <v>C14</v>
          </cell>
          <cell r="B524" t="str">
            <v>05.5214</v>
          </cell>
          <cell r="C524" t="str">
            <v>Döïng truï BTLT 14m baèng thuû coâng</v>
          </cell>
          <cell r="D524" t="str">
            <v>truï</v>
          </cell>
          <cell r="G524">
            <v>107419</v>
          </cell>
        </row>
        <row r="525">
          <cell r="A525" t="str">
            <v>C20</v>
          </cell>
          <cell r="B525" t="str">
            <v>05.5217</v>
          </cell>
          <cell r="C525" t="str">
            <v>Döïng truï BTLT 20m baèng thuû coâng</v>
          </cell>
          <cell r="D525" t="str">
            <v>truï</v>
          </cell>
          <cell r="G525">
            <v>177460</v>
          </cell>
        </row>
        <row r="526">
          <cell r="A526" t="str">
            <v>C10m</v>
          </cell>
          <cell r="B526" t="str">
            <v>05.5222</v>
          </cell>
          <cell r="C526" t="str">
            <v>Döïng truï BTLT &lt;10m thuû coâng +cô giôùi</v>
          </cell>
          <cell r="D526" t="str">
            <v>truï</v>
          </cell>
          <cell r="G526">
            <v>32177</v>
          </cell>
        </row>
        <row r="527">
          <cell r="A527" t="str">
            <v>C105m</v>
          </cell>
          <cell r="B527" t="str">
            <v>05.5223</v>
          </cell>
          <cell r="C527" t="str">
            <v>Döïng truï BTLT 10,5m thuû coâng + cô giôùi</v>
          </cell>
          <cell r="D527" t="str">
            <v>truï</v>
          </cell>
          <cell r="G527">
            <v>34452</v>
          </cell>
        </row>
        <row r="528">
          <cell r="A528" t="str">
            <v>C12m</v>
          </cell>
          <cell r="B528" t="str">
            <v>05.5223</v>
          </cell>
          <cell r="C528" t="str">
            <v>Döïng truï BTLT 12m thuû coâng + cô giôùi</v>
          </cell>
          <cell r="D528" t="str">
            <v>truï</v>
          </cell>
          <cell r="G528">
            <v>34452</v>
          </cell>
        </row>
        <row r="529">
          <cell r="A529" t="str">
            <v>C14m</v>
          </cell>
          <cell r="B529" t="str">
            <v>05.5224</v>
          </cell>
          <cell r="C529" t="str">
            <v>Döïng truï BTLT 14m thuû coâng + cô giôùi</v>
          </cell>
          <cell r="D529" t="str">
            <v>truï</v>
          </cell>
          <cell r="G529">
            <v>42903</v>
          </cell>
        </row>
        <row r="530">
          <cell r="A530" t="str">
            <v>C20m</v>
          </cell>
          <cell r="B530" t="str">
            <v>05.5227</v>
          </cell>
          <cell r="C530" t="str">
            <v>Döïng truï BTLT 20m thuû coâng + cô giôùi</v>
          </cell>
          <cell r="D530" t="str">
            <v>truï</v>
          </cell>
          <cell r="G530">
            <v>71017</v>
          </cell>
        </row>
        <row r="531">
          <cell r="A531" t="str">
            <v>DCTH55</v>
          </cell>
          <cell r="B531" t="str">
            <v>05.4401</v>
          </cell>
          <cell r="C531" t="str">
            <v>Döïng coät thaùp saét cao 48m</v>
          </cell>
          <cell r="D531" t="str">
            <v>taán</v>
          </cell>
          <cell r="F531">
            <v>15646</v>
          </cell>
          <cell r="G531">
            <v>266841</v>
          </cell>
        </row>
        <row r="532">
          <cell r="A532" t="str">
            <v>DCTH76</v>
          </cell>
          <cell r="B532" t="str">
            <v>05.4601</v>
          </cell>
          <cell r="C532" t="str">
            <v>Döïng coät thaùp saét cao 76m</v>
          </cell>
          <cell r="D532" t="str">
            <v>taán</v>
          </cell>
          <cell r="F532">
            <v>16932</v>
          </cell>
          <cell r="G532">
            <v>352808</v>
          </cell>
        </row>
        <row r="533">
          <cell r="A533" t="str">
            <v>DCTH81</v>
          </cell>
          <cell r="B533" t="str">
            <v>05.4601</v>
          </cell>
          <cell r="C533" t="str">
            <v>Döïng coät thaùp saét cao 81m</v>
          </cell>
          <cell r="D533" t="str">
            <v>taán</v>
          </cell>
          <cell r="F533">
            <v>16932</v>
          </cell>
          <cell r="G533">
            <v>352808</v>
          </cell>
        </row>
        <row r="534">
          <cell r="A534" t="str">
            <v>DCTH101</v>
          </cell>
          <cell r="B534" t="str">
            <v>05.4701</v>
          </cell>
          <cell r="C534" t="str">
            <v>Döïng coät thaùp saét cao 101m</v>
          </cell>
          <cell r="D534" t="str">
            <v>taán</v>
          </cell>
          <cell r="F534">
            <v>16932</v>
          </cell>
          <cell r="G534">
            <v>405786</v>
          </cell>
        </row>
        <row r="535">
          <cell r="A535" t="str">
            <v>DCTH15</v>
          </cell>
          <cell r="B535" t="str">
            <v>05.4101</v>
          </cell>
          <cell r="C535" t="str">
            <v>Döïng coät thaùp saét cao 15m</v>
          </cell>
          <cell r="D535" t="str">
            <v>taán</v>
          </cell>
          <cell r="F535">
            <v>5359</v>
          </cell>
          <cell r="G535">
            <v>183473</v>
          </cell>
        </row>
        <row r="536">
          <cell r="A536" t="str">
            <v>LXIT</v>
          </cell>
          <cell r="B536" t="str">
            <v>05.6011</v>
          </cell>
          <cell r="C536" t="str">
            <v>Laép xaø</v>
          </cell>
          <cell r="D536" t="str">
            <v>boä</v>
          </cell>
          <cell r="G536">
            <v>13161</v>
          </cell>
        </row>
        <row r="537">
          <cell r="A537" t="str">
            <v>LXIG</v>
          </cell>
          <cell r="B537" t="str">
            <v>05.6021</v>
          </cell>
          <cell r="C537" t="str">
            <v>Laép xaø</v>
          </cell>
          <cell r="D537" t="str">
            <v>boä</v>
          </cell>
          <cell r="G537">
            <v>17806</v>
          </cell>
        </row>
        <row r="538">
          <cell r="A538" t="str">
            <v>LXIG2</v>
          </cell>
          <cell r="B538" t="str">
            <v>05.6031</v>
          </cell>
          <cell r="C538" t="str">
            <v>Laép xaø</v>
          </cell>
          <cell r="D538" t="str">
            <v>boä</v>
          </cell>
          <cell r="G538">
            <v>23999</v>
          </cell>
        </row>
        <row r="539">
          <cell r="A539" t="str">
            <v>LXIN</v>
          </cell>
          <cell r="B539" t="str">
            <v>05.6022</v>
          </cell>
          <cell r="C539" t="str">
            <v>Laép xaø</v>
          </cell>
          <cell r="D539" t="str">
            <v>boä</v>
          </cell>
          <cell r="G539">
            <v>23689</v>
          </cell>
        </row>
        <row r="540">
          <cell r="A540" t="str">
            <v>LXIN90</v>
          </cell>
          <cell r="B540" t="str">
            <v>05.6032</v>
          </cell>
          <cell r="C540" t="str">
            <v>Laép xaø</v>
          </cell>
          <cell r="D540" t="str">
            <v>boä</v>
          </cell>
          <cell r="G540">
            <v>31896</v>
          </cell>
        </row>
        <row r="541">
          <cell r="A541" t="str">
            <v>LXIN290</v>
          </cell>
          <cell r="B541" t="str">
            <v>05.6042</v>
          </cell>
          <cell r="C541" t="str">
            <v>Laép xaø</v>
          </cell>
          <cell r="D541" t="str">
            <v>boä</v>
          </cell>
          <cell r="G541">
            <v>23689</v>
          </cell>
        </row>
        <row r="542">
          <cell r="A542" t="str">
            <v>LXIND</v>
          </cell>
          <cell r="B542" t="str">
            <v>05.6022</v>
          </cell>
          <cell r="C542" t="str">
            <v>Laép xaø</v>
          </cell>
          <cell r="D542" t="str">
            <v>boä</v>
          </cell>
          <cell r="G542">
            <v>23689</v>
          </cell>
        </row>
        <row r="543">
          <cell r="A543" t="str">
            <v>LXIN14+2</v>
          </cell>
          <cell r="B543" t="str">
            <v>05.6032</v>
          </cell>
          <cell r="C543" t="str">
            <v>Laép xaø</v>
          </cell>
          <cell r="D543" t="str">
            <v>boä</v>
          </cell>
          <cell r="G543">
            <v>31896</v>
          </cell>
        </row>
        <row r="544">
          <cell r="A544" t="str">
            <v>LXHN1</v>
          </cell>
          <cell r="B544" t="str">
            <v>05.6043</v>
          </cell>
          <cell r="C544" t="str">
            <v>Laép xaø coät H</v>
          </cell>
          <cell r="D544" t="str">
            <v>boä</v>
          </cell>
          <cell r="G544">
            <v>32515</v>
          </cell>
        </row>
        <row r="545">
          <cell r="A545" t="str">
            <v>LGIANG</v>
          </cell>
          <cell r="B545" t="str">
            <v>05.6043</v>
          </cell>
          <cell r="C545" t="str">
            <v>Laép thanh giaèng</v>
          </cell>
          <cell r="D545" t="str">
            <v>boä</v>
          </cell>
          <cell r="G545">
            <v>32515</v>
          </cell>
        </row>
        <row r="546">
          <cell r="A546" t="str">
            <v>LXHN2</v>
          </cell>
          <cell r="B546" t="str">
            <v>05.6053</v>
          </cell>
          <cell r="C546" t="str">
            <v>Laép xaø coät Pi loaïi 230kg/xaø</v>
          </cell>
          <cell r="D546" t="str">
            <v>boä</v>
          </cell>
          <cell r="G546">
            <v>46295</v>
          </cell>
        </row>
        <row r="547">
          <cell r="A547" t="str">
            <v>LXHN3</v>
          </cell>
          <cell r="B547" t="str">
            <v>05.6063</v>
          </cell>
          <cell r="C547" t="str">
            <v>Laép xaø coät Pi loaïi 320kg/xaø</v>
          </cell>
          <cell r="D547" t="str">
            <v>boä</v>
          </cell>
          <cell r="G547">
            <v>58062</v>
          </cell>
        </row>
        <row r="548">
          <cell r="A548" t="str">
            <v>XLCD</v>
          </cell>
          <cell r="B548" t="str">
            <v>06.2110</v>
          </cell>
          <cell r="C548" t="str">
            <v>Laép coå deà</v>
          </cell>
          <cell r="D548" t="str">
            <v>caùi</v>
          </cell>
          <cell r="F548">
            <v>12000</v>
          </cell>
          <cell r="G548">
            <v>5688</v>
          </cell>
        </row>
        <row r="549">
          <cell r="A549" t="str">
            <v>LGIA</v>
          </cell>
          <cell r="B549" t="str">
            <v>04.8102</v>
          </cell>
          <cell r="C549" t="str">
            <v>Gía ñôõ ñaàu caùp</v>
          </cell>
          <cell r="D549" t="str">
            <v>boä</v>
          </cell>
          <cell r="F549">
            <v>250000</v>
          </cell>
          <cell r="G549">
            <v>7779</v>
          </cell>
        </row>
        <row r="550">
          <cell r="A550" t="str">
            <v>LDAUCAP</v>
          </cell>
          <cell r="B550" t="str">
            <v>07.6313</v>
          </cell>
          <cell r="C550" t="str">
            <v>Laép ñaàu caùp 3x95mm2</v>
          </cell>
          <cell r="D550" t="str">
            <v>caùi</v>
          </cell>
          <cell r="F550">
            <v>5040</v>
          </cell>
          <cell r="G550">
            <v>42843</v>
          </cell>
        </row>
        <row r="551">
          <cell r="A551" t="str">
            <v>LCSD</v>
          </cell>
          <cell r="B551" t="str">
            <v>06.2110</v>
          </cell>
          <cell r="C551" t="str">
            <v>Laép chaân söù ñænh</v>
          </cell>
          <cell r="D551" t="str">
            <v>caùi</v>
          </cell>
          <cell r="G551">
            <v>5688</v>
          </cell>
        </row>
        <row r="552">
          <cell r="A552" t="str">
            <v>LCL</v>
          </cell>
          <cell r="B552" t="str">
            <v>05.6011</v>
          </cell>
          <cell r="C552" t="str">
            <v>Laép boä choáng leäch</v>
          </cell>
          <cell r="D552" t="str">
            <v>boä</v>
          </cell>
          <cell r="G552">
            <v>13161</v>
          </cell>
        </row>
        <row r="553">
          <cell r="A553" t="str">
            <v>LDN</v>
          </cell>
          <cell r="B553" t="str">
            <v>06.2120</v>
          </cell>
          <cell r="C553" t="str">
            <v>Laép boä daây neùo</v>
          </cell>
          <cell r="D553" t="str">
            <v>boä</v>
          </cell>
          <cell r="G553">
            <v>7313</v>
          </cell>
        </row>
        <row r="554">
          <cell r="A554" t="str">
            <v>LDN4</v>
          </cell>
          <cell r="B554" t="str">
            <v>04.3801</v>
          </cell>
          <cell r="C554" t="str">
            <v>Ñaët ñeá neùo BTCT 500x1200</v>
          </cell>
          <cell r="D554" t="str">
            <v>caùi</v>
          </cell>
          <cell r="G554">
            <v>11051</v>
          </cell>
        </row>
        <row r="555">
          <cell r="A555" t="str">
            <v>LDN6</v>
          </cell>
          <cell r="B555" t="str">
            <v>04.3802</v>
          </cell>
          <cell r="C555" t="str">
            <v>Ñaët ñeá neùo BTCT 500x1500</v>
          </cell>
          <cell r="D555" t="str">
            <v>caùi</v>
          </cell>
          <cell r="G555">
            <v>24214</v>
          </cell>
        </row>
        <row r="556">
          <cell r="A556" t="str">
            <v>DBT50</v>
          </cell>
          <cell r="B556" t="str">
            <v>04.3101</v>
          </cell>
          <cell r="C556" t="str">
            <v>Ñoå beâ toâng loùt moùng M50 ñaù 4x6</v>
          </cell>
          <cell r="D556" t="str">
            <v>m3</v>
          </cell>
          <cell r="E556">
            <v>315919</v>
          </cell>
          <cell r="F556">
            <v>315919</v>
          </cell>
          <cell r="G556">
            <v>39732</v>
          </cell>
        </row>
        <row r="557">
          <cell r="A557" t="str">
            <v>DBT100</v>
          </cell>
          <cell r="B557" t="str">
            <v>04.3101</v>
          </cell>
          <cell r="C557" t="str">
            <v>Ñoå beâ toâng loùt moùng M100 ñaù 4x6</v>
          </cell>
          <cell r="D557" t="str">
            <v>m3</v>
          </cell>
          <cell r="E557">
            <v>315919</v>
          </cell>
          <cell r="F557">
            <v>315919</v>
          </cell>
          <cell r="G557">
            <v>39732</v>
          </cell>
        </row>
        <row r="558">
          <cell r="A558" t="str">
            <v>DBT200</v>
          </cell>
          <cell r="B558" t="str">
            <v>04.3313</v>
          </cell>
          <cell r="C558" t="str">
            <v>Ñoå beâ toâng moùng M200 ñaù 1x2</v>
          </cell>
          <cell r="D558" t="str">
            <v>m3</v>
          </cell>
          <cell r="E558">
            <v>444552</v>
          </cell>
          <cell r="F558">
            <v>444552</v>
          </cell>
          <cell r="G558">
            <v>45030</v>
          </cell>
          <cell r="H558">
            <v>4003</v>
          </cell>
        </row>
        <row r="559">
          <cell r="A559" t="str">
            <v>DBT250</v>
          </cell>
          <cell r="B559" t="str">
            <v>04.3354</v>
          </cell>
          <cell r="C559" t="str">
            <v>Ñoå beâ toâng moùng M250 ñaù 1x2</v>
          </cell>
          <cell r="D559" t="str">
            <v>m3</v>
          </cell>
          <cell r="G559">
            <v>41498</v>
          </cell>
          <cell r="H559">
            <v>4003</v>
          </cell>
        </row>
        <row r="560">
          <cell r="A560" t="str">
            <v>DBT50</v>
          </cell>
          <cell r="B560" t="str">
            <v>04.3311</v>
          </cell>
          <cell r="C560" t="str">
            <v>Ñoå beâ toâng moùng M50 ñaù 1x2</v>
          </cell>
          <cell r="D560" t="str">
            <v>m3</v>
          </cell>
          <cell r="G560">
            <v>45030</v>
          </cell>
        </row>
        <row r="561">
          <cell r="A561" t="str">
            <v>LCT10</v>
          </cell>
          <cell r="B561" t="str">
            <v>04.1101</v>
          </cell>
          <cell r="C561" t="str">
            <v>Gia coâng vaø laép döïng coát theùp &lt;=10</v>
          </cell>
          <cell r="D561" t="str">
            <v>kg</v>
          </cell>
          <cell r="E561">
            <v>4268</v>
          </cell>
          <cell r="F561">
            <v>4268</v>
          </cell>
          <cell r="G561">
            <v>202</v>
          </cell>
          <cell r="H561">
            <v>17</v>
          </cell>
        </row>
        <row r="562">
          <cell r="A562" t="str">
            <v>LCT18</v>
          </cell>
          <cell r="B562" t="str">
            <v>04.1102</v>
          </cell>
          <cell r="C562" t="str">
            <v>Gia coâng vaø laép döïng coát theùp &lt;=18</v>
          </cell>
          <cell r="D562" t="str">
            <v>kg</v>
          </cell>
          <cell r="E562">
            <v>4315</v>
          </cell>
          <cell r="F562">
            <v>4315</v>
          </cell>
          <cell r="G562">
            <v>148</v>
          </cell>
          <cell r="H562">
            <v>187</v>
          </cell>
        </row>
        <row r="563">
          <cell r="A563" t="str">
            <v>LDVANK</v>
          </cell>
          <cell r="B563" t="str">
            <v>04.2001</v>
          </cell>
          <cell r="C563" t="str">
            <v>Gia coâng vaø laép döïng vaùn khuoân</v>
          </cell>
          <cell r="D563" t="str">
            <v>m2</v>
          </cell>
          <cell r="E563">
            <v>250049</v>
          </cell>
          <cell r="F563">
            <v>250049</v>
          </cell>
          <cell r="G563">
            <v>5309</v>
          </cell>
        </row>
        <row r="564">
          <cell r="A564" t="str">
            <v>LCOPPHA</v>
          </cell>
          <cell r="B564" t="str">
            <v>04.2001</v>
          </cell>
          <cell r="C564" t="str">
            <v>Gia coâng vaø laép döïng vaùn khuoân goã</v>
          </cell>
          <cell r="D564" t="str">
            <v>m2</v>
          </cell>
          <cell r="G564">
            <v>5309</v>
          </cell>
        </row>
        <row r="565">
          <cell r="A565" t="str">
            <v>NXOE</v>
          </cell>
          <cell r="B565" t="str">
            <v>04.3801</v>
          </cell>
          <cell r="C565" t="str">
            <v>Ñaët neo xoøe</v>
          </cell>
          <cell r="D565" t="str">
            <v>caùi</v>
          </cell>
          <cell r="G565">
            <v>11051</v>
          </cell>
        </row>
        <row r="566">
          <cell r="A566" t="str">
            <v>KDA35</v>
          </cell>
          <cell r="B566" t="str">
            <v>06.6123</v>
          </cell>
          <cell r="C566" t="str">
            <v>Keùo daây nhoâm traàn A-35</v>
          </cell>
          <cell r="D566" t="str">
            <v>km</v>
          </cell>
          <cell r="F566">
            <v>226789</v>
          </cell>
          <cell r="G566">
            <v>159259</v>
          </cell>
        </row>
        <row r="567">
          <cell r="A567" t="str">
            <v>KDA50</v>
          </cell>
          <cell r="B567" t="str">
            <v>06.6124</v>
          </cell>
          <cell r="C567" t="str">
            <v>Keùo daây nhoâm traàn A-50</v>
          </cell>
          <cell r="D567" t="str">
            <v>km</v>
          </cell>
          <cell r="F567">
            <v>227189</v>
          </cell>
          <cell r="G567">
            <v>208012</v>
          </cell>
        </row>
        <row r="568">
          <cell r="A568" t="str">
            <v>KDA70</v>
          </cell>
          <cell r="B568" t="str">
            <v>06.6125</v>
          </cell>
          <cell r="C568" t="str">
            <v>Keùo daây nhoâm traàn A-70</v>
          </cell>
          <cell r="D568" t="str">
            <v>km</v>
          </cell>
          <cell r="F568">
            <v>227189</v>
          </cell>
          <cell r="G568">
            <v>279516</v>
          </cell>
        </row>
        <row r="569">
          <cell r="A569" t="str">
            <v>KDA95</v>
          </cell>
          <cell r="B569" t="str">
            <v>06.6126</v>
          </cell>
          <cell r="C569" t="str">
            <v>Keùo daây nhoâm traàn A-95</v>
          </cell>
          <cell r="D569" t="str">
            <v>km</v>
          </cell>
          <cell r="F569">
            <v>227189</v>
          </cell>
          <cell r="G569">
            <v>381897</v>
          </cell>
        </row>
        <row r="570">
          <cell r="A570" t="str">
            <v>KDA120</v>
          </cell>
          <cell r="B570" t="str">
            <v>06.6107</v>
          </cell>
          <cell r="C570" t="str">
            <v>Keùo daây nhoâm traàn A-120</v>
          </cell>
          <cell r="D570" t="str">
            <v>km</v>
          </cell>
          <cell r="F570">
            <v>319671</v>
          </cell>
          <cell r="G570">
            <v>471089.60000000003</v>
          </cell>
        </row>
        <row r="571">
          <cell r="A571" t="str">
            <v>KDA185</v>
          </cell>
          <cell r="B571" t="str">
            <v>06.6109</v>
          </cell>
          <cell r="C571" t="str">
            <v>Keùo daây nhoâm traàn A-185</v>
          </cell>
          <cell r="D571" t="str">
            <v>km</v>
          </cell>
          <cell r="F571">
            <v>319671</v>
          </cell>
          <cell r="G571">
            <v>672719.20000000007</v>
          </cell>
        </row>
        <row r="572">
          <cell r="A572" t="str">
            <v>KDA240</v>
          </cell>
          <cell r="B572" t="str">
            <v>06.6110</v>
          </cell>
          <cell r="C572" t="str">
            <v>Keùo daây nhoâm traàn A-240</v>
          </cell>
          <cell r="D572" t="str">
            <v>km</v>
          </cell>
          <cell r="F572">
            <v>319671</v>
          </cell>
          <cell r="G572">
            <v>739833.60000000009</v>
          </cell>
        </row>
        <row r="573">
          <cell r="A573" t="str">
            <v>KDA35B</v>
          </cell>
          <cell r="B573" t="str">
            <v>06.6123</v>
          </cell>
          <cell r="C573" t="str">
            <v>Keùo daây nhoâm boïc 35mm2</v>
          </cell>
          <cell r="D573" t="str">
            <v>km</v>
          </cell>
          <cell r="F573">
            <v>226789</v>
          </cell>
          <cell r="G573">
            <v>159259</v>
          </cell>
        </row>
        <row r="574">
          <cell r="A574" t="str">
            <v>KDA50B</v>
          </cell>
          <cell r="B574" t="str">
            <v>06.6124</v>
          </cell>
          <cell r="C574" t="str">
            <v>Keùo daây nhoâm boïc 50mm2</v>
          </cell>
          <cell r="D574" t="str">
            <v>km</v>
          </cell>
          <cell r="F574">
            <v>227189</v>
          </cell>
          <cell r="G574">
            <v>208012</v>
          </cell>
        </row>
        <row r="575">
          <cell r="A575" t="str">
            <v>KDA70B</v>
          </cell>
          <cell r="B575" t="str">
            <v>06.6125</v>
          </cell>
          <cell r="C575" t="str">
            <v>Keùo daây nhoâm boïc 70mm2</v>
          </cell>
          <cell r="D575" t="str">
            <v>km</v>
          </cell>
          <cell r="F575">
            <v>227189</v>
          </cell>
          <cell r="G575">
            <v>279516</v>
          </cell>
        </row>
        <row r="576">
          <cell r="A576" t="str">
            <v>KDA95B</v>
          </cell>
          <cell r="B576" t="str">
            <v>06.6126</v>
          </cell>
          <cell r="C576" t="str">
            <v>Keùo daây nhoâm boïc 95mm2</v>
          </cell>
          <cell r="D576" t="str">
            <v>km</v>
          </cell>
          <cell r="F576">
            <v>227189</v>
          </cell>
          <cell r="G576">
            <v>381897</v>
          </cell>
        </row>
        <row r="577">
          <cell r="A577" t="str">
            <v>KDA120B</v>
          </cell>
          <cell r="B577" t="str">
            <v>06.6107</v>
          </cell>
          <cell r="C577" t="str">
            <v>Keùo daây nhoâm boïc 120mm2</v>
          </cell>
          <cell r="D577" t="str">
            <v>km</v>
          </cell>
          <cell r="F577">
            <v>319671</v>
          </cell>
          <cell r="G577">
            <v>471089.60000000003</v>
          </cell>
        </row>
        <row r="578">
          <cell r="A578" t="str">
            <v>KDAC35</v>
          </cell>
          <cell r="B578" t="str">
            <v>06.6103</v>
          </cell>
          <cell r="C578" t="str">
            <v>Keùo daây nhoâm loõi theùp AC-35/6,2</v>
          </cell>
          <cell r="D578" t="str">
            <v>km</v>
          </cell>
          <cell r="G578">
            <v>198262</v>
          </cell>
        </row>
        <row r="579">
          <cell r="A579" t="str">
            <v>KDAC50</v>
          </cell>
          <cell r="B579" t="str">
            <v>06.6104</v>
          </cell>
          <cell r="C579" t="str">
            <v>Keùo daây nhoâm loõi theùp AC-50/8</v>
          </cell>
          <cell r="D579" t="str">
            <v>km</v>
          </cell>
          <cell r="G579">
            <v>261153</v>
          </cell>
        </row>
        <row r="580">
          <cell r="A580" t="str">
            <v>KDAC70</v>
          </cell>
          <cell r="B580" t="str">
            <v>06.6105</v>
          </cell>
          <cell r="C580" t="str">
            <v>Keùo daây nhoâm loõi theùp AC-70/11</v>
          </cell>
          <cell r="D580" t="str">
            <v>km</v>
          </cell>
          <cell r="G580">
            <v>348908</v>
          </cell>
        </row>
        <row r="581">
          <cell r="A581" t="str">
            <v>KDAC95</v>
          </cell>
          <cell r="B581" t="str">
            <v>06.6106</v>
          </cell>
          <cell r="C581" t="str">
            <v>Keùo daây nhoâm loõi theùp AC-95</v>
          </cell>
          <cell r="D581" t="str">
            <v>km</v>
          </cell>
          <cell r="G581">
            <v>475178</v>
          </cell>
        </row>
        <row r="582">
          <cell r="A582" t="str">
            <v>KDACkp35</v>
          </cell>
          <cell r="B582" t="str">
            <v>06.6103</v>
          </cell>
          <cell r="C582" t="str">
            <v>Keùo daây nhoâm loõi theùp AC.A35/6,2</v>
          </cell>
          <cell r="D582" t="str">
            <v>km</v>
          </cell>
          <cell r="F582">
            <v>226789</v>
          </cell>
          <cell r="G582">
            <v>198262</v>
          </cell>
        </row>
        <row r="583">
          <cell r="A583" t="str">
            <v>KDACkp50</v>
          </cell>
          <cell r="B583" t="str">
            <v>06.6104</v>
          </cell>
          <cell r="C583" t="str">
            <v>Keùo daây nhoâm loõi theùp AC.A50/8</v>
          </cell>
          <cell r="D583" t="str">
            <v>km</v>
          </cell>
          <cell r="F583">
            <v>227189</v>
          </cell>
          <cell r="G583">
            <v>261153</v>
          </cell>
        </row>
        <row r="584">
          <cell r="A584" t="str">
            <v>KDACkp70</v>
          </cell>
          <cell r="B584" t="str">
            <v>06.6105</v>
          </cell>
          <cell r="C584" t="str">
            <v>Keùo daây nhoâm loõi theùp AC.A70/11</v>
          </cell>
          <cell r="D584" t="str">
            <v>km</v>
          </cell>
          <cell r="F584">
            <v>227189</v>
          </cell>
          <cell r="G584">
            <v>348908</v>
          </cell>
        </row>
      </sheetData>
      <sheetData sheetId="1" refreshError="1"/>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S"/>
      <sheetName val="MucLuc"/>
      <sheetName val="LaiVay"/>
      <sheetName val="THDT"/>
      <sheetName val="BiaHSMT"/>
      <sheetName val="BiaDT"/>
      <sheetName val="TH"/>
      <sheetName val="TienLuong"/>
      <sheetName val="PTVT"/>
      <sheetName val="GiaVT"/>
      <sheetName val="THXL"/>
      <sheetName val="ThongSo"/>
      <sheetName val="TMinh"/>
      <sheetName val="VC"/>
      <sheetName val="VTu"/>
      <sheetName val="Vua"/>
      <sheetName val="XL4Poppy"/>
      <sheetName val="kinh phí XD"/>
      <sheetName val="MoCayM"/>
      <sheetName val="Don gia vung III"/>
      <sheetName val="BGD-KT-TC"/>
      <sheetName val="LX"/>
      <sheetName val="BAOVE"/>
      <sheetName val="HA NOI"/>
      <sheetName val="Cao su"/>
      <sheetName val="PHONGKD"/>
      <sheetName val="BDHCSU"/>
      <sheetName val="BDHBD"/>
      <sheetName val="CN CK"/>
      <sheetName val="Sheet1"/>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00000000"/>
      <sheetName val="XL4Test5"/>
      <sheetName val="MTO REV.2(ARMOR)"/>
      <sheetName val="MTO REV_2_ARMOR_"/>
      <sheetName val="CaMay"/>
      <sheetName val="DGiaT"/>
      <sheetName val="DGiaTN"/>
      <sheetName val="TT"/>
      <sheetName val="MHSCT"/>
      <sheetName val="Trung the 1 pha "/>
      <sheetName val="Trung the 3 pha"/>
      <sheetName val="Ha the"/>
      <sheetName val="DG"/>
      <sheetName val="phuluc1"/>
      <sheetName val="TDTKP"/>
      <sheetName val="DK-KH"/>
      <sheetName val="TONG HOP VL-NC"/>
      <sheetName val="DL1"/>
      <sheetName val="DL2"/>
      <sheetName val="BTH"/>
      <sheetName val="dg-VTu"/>
      <sheetName val="Gia thanh chuoi su"/>
      <sheetName val="Tiep dia"/>
      <sheetName val="Don gia vung III-Can Tho"/>
      <sheetName val="NKC"/>
      <sheetName val="ChiTietDZ"/>
      <sheetName val="VuaBT"/>
      <sheetName val="GVL"/>
      <sheetName val="Don_gia_vung_III"/>
      <sheetName val="kinh_phí_XD"/>
      <sheetName val="HA_NOI"/>
      <sheetName val="Cao_su"/>
      <sheetName val="CN_CK"/>
      <sheetName val="tam_ung"/>
      <sheetName val="SP_INLUA"/>
      <sheetName val="SP_TPBK"/>
      <sheetName val="SP_KHAUBONG"/>
      <sheetName val="sp_cluyen"/>
      <sheetName val="SP_RUOT"/>
      <sheetName val="sp_vo"/>
      <sheetName val="sp_tpcs"/>
      <sheetName val="Kh_Hang"/>
      <sheetName val="HESO"/>
      <sheetName val="dtxl"/>
      <sheetName val="CDTK"/>
      <sheetName val="PTD"/>
      <sheetName val="Du_lieu"/>
      <sheetName val="5%"/>
      <sheetName val="1670SM2"/>
      <sheetName val="5-10 "/>
      <sheetName val="BETON"/>
      <sheetName val="NHA VE SINH CN"/>
      <sheetName val="CHITIET VL-NC-TT1p"/>
      <sheetName val="TH VL, NC, DDHT Thanhphuoc"/>
      <sheetName val="bang tien luong"/>
      <sheetName val="GIALAPDT"/>
      <sheetName val="TONGKE3p"/>
      <sheetName val="CHITIET VL-NC"/>
      <sheetName val="giathanh1"/>
      <sheetName val="Dinh nghia"/>
      <sheetName val="PP1PXDM"/>
      <sheetName val="PP3PXDM"/>
      <sheetName val="phulucR"/>
      <sheetName val="DON GIA CAN THO"/>
      <sheetName val="TONG HOP T9"/>
      <sheetName val="Bang tra"/>
      <sheetName val="Giathang"/>
      <sheetName val="khung ten TD"/>
      <sheetName val="tOAN DON VI"/>
      <sheetName val="DT_XL"/>
      <sheetName val="GRAND REKAP"/>
      <sheetName val="KH-CHI-B"/>
      <sheetName val="46m x 120m"/>
      <sheetName val="TONG_HOP_VL-NC"/>
      <sheetName val="MTO_REV_2(ARMOR)"/>
      <sheetName val="MTO_REV_2_ARMOR_"/>
      <sheetName val="Dinh_nghia"/>
      <sheetName val="Trung_the_1_pha_"/>
      <sheetName val="Trung_the_3_pha"/>
      <sheetName val="Ha_the"/>
      <sheetName val="Gia_thanh_chuoi_su"/>
      <sheetName val="Tiep_dia"/>
      <sheetName val="Don_gia_vung_III-Can_Tho"/>
      <sheetName val="Data"/>
      <sheetName val="GRAND_REKAP"/>
      <sheetName val="Ked"/>
      <sheetName val="Cong trinh"/>
      <sheetName val="BCDCT"/>
      <sheetName val="Ngay"/>
      <sheetName val="DANHPHAP"/>
      <sheetName val="LKVL-CK-HT-GD1"/>
      <sheetName val="TONGKE-HT"/>
      <sheetName val="Dongia"/>
      <sheetName val="kinh_phí_XD1"/>
      <sheetName val="HA_NOI1"/>
      <sheetName val="Cao_su1"/>
      <sheetName val="CN_CK1"/>
      <sheetName val="tam_ung1"/>
      <sheetName val="SP_INLUA1"/>
      <sheetName val="SP_TPBK1"/>
      <sheetName val="SP_KHAUBONG1"/>
      <sheetName val="sp_cluyen1"/>
      <sheetName val="SP_RUOT1"/>
      <sheetName val="sp_vo1"/>
      <sheetName val="sp_tpcs1"/>
      <sheetName val="TONG_HOP_VL-NC1"/>
      <sheetName val="Don_gia_vung_III1"/>
      <sheetName val="MTO_REV_2(ARMOR)1"/>
      <sheetName val="MTO_REV_2_ARMOR_1"/>
      <sheetName val="Trung_the_1_pha_1"/>
      <sheetName val="Trung_the_3_pha1"/>
      <sheetName val="Ha_the1"/>
      <sheetName val="Gia_thanh_chuoi_su1"/>
      <sheetName val="Tiep_dia1"/>
      <sheetName val="Don_gia_vung_III-Can_Tho1"/>
      <sheetName val="Dinh_nghia1"/>
      <sheetName val="CHITIET_VL-NC"/>
      <sheetName val="5-10_"/>
      <sheetName val="bang_tien_luong"/>
      <sheetName val="kinh_phí_XD2"/>
      <sheetName val="HA_NOI2"/>
      <sheetName val="Cao_su2"/>
      <sheetName val="CN_CK2"/>
      <sheetName val="tam_ung2"/>
      <sheetName val="SP_INLUA2"/>
      <sheetName val="SP_TPBK2"/>
      <sheetName val="SP_KHAUBONG2"/>
      <sheetName val="sp_cluyen2"/>
      <sheetName val="SP_RUOT2"/>
      <sheetName val="sp_vo2"/>
      <sheetName val="sp_tpcs2"/>
      <sheetName val="TONG_HOP_VL-NC2"/>
      <sheetName val="Don_gia_vung_III2"/>
      <sheetName val="MTO_REV_2(ARMOR)2"/>
      <sheetName val="kinh_phí_XD3"/>
      <sheetName val="HA_NOI3"/>
      <sheetName val="Cao_su3"/>
      <sheetName val="CN_CK3"/>
      <sheetName val="tam_ung3"/>
      <sheetName val="SP_INLUA3"/>
      <sheetName val="SP_TPBK3"/>
      <sheetName val="SP_KHAUBONG3"/>
      <sheetName val="sp_cluyen3"/>
      <sheetName val="SP_RUOT3"/>
      <sheetName val="sp_vo3"/>
      <sheetName val="sp_tpcs3"/>
      <sheetName val="TONG_HOP_VL-NC3"/>
      <sheetName val="Don_gia_vung_III3"/>
      <sheetName val="MTO_REV_2(ARMOR)3"/>
      <sheetName val="kinh_phí_XD4"/>
      <sheetName val="HA_NOI4"/>
      <sheetName val="Cao_su4"/>
      <sheetName val="CN_CK4"/>
      <sheetName val="tam_ung4"/>
      <sheetName val="SP_INLUA4"/>
      <sheetName val="SP_TPBK4"/>
      <sheetName val="SP_KHAUBONG4"/>
      <sheetName val="sp_cluyen4"/>
      <sheetName val="SP_RUOT4"/>
      <sheetName val="sp_vo4"/>
      <sheetName val="sp_tpcs4"/>
      <sheetName val="TONG_HOP_VL-NC4"/>
      <sheetName val="Don_gia_vung_III4"/>
      <sheetName val="MTO_REV_2(ARMOR)4"/>
      <sheetName val="Co. Code"/>
      <sheetName val="pp1p"/>
      <sheetName val="pp3p "/>
      <sheetName val="ppht"/>
      <sheetName val="Bill of Qty MEP"/>
      <sheetName val="DS BO SUNG"/>
      <sheetName val="HA_NOI5"/>
      <sheetName val="Cao_su5"/>
      <sheetName val="CN_CK5"/>
      <sheetName val="tam_ung5"/>
      <sheetName val="SP_INLUA5"/>
      <sheetName val="SP_TPBK5"/>
      <sheetName val="SP_KHAUBONG5"/>
      <sheetName val="sp_cluyen5"/>
      <sheetName val="SP_RUOT5"/>
      <sheetName val="sp_vo5"/>
      <sheetName val="sp_tpcs5"/>
      <sheetName val="kinh_phí_XD5"/>
      <sheetName val="MTO_REV_2(ARMOR)5"/>
      <sheetName val="HA_NOI6"/>
      <sheetName val="Cao_su6"/>
      <sheetName val="CN_CK6"/>
      <sheetName val="tam_ung6"/>
      <sheetName val="SP_INLUA6"/>
      <sheetName val="SP_TPBK6"/>
      <sheetName val="SP_KHAUBONG6"/>
      <sheetName val="sp_cluyen6"/>
      <sheetName val="SP_RUOT6"/>
      <sheetName val="sp_vo6"/>
      <sheetName val="sp_tpcs6"/>
      <sheetName val="kinh_phí_XD6"/>
      <sheetName val="MTO_REV_2(ARMOR)6"/>
      <sheetName val="HA_NOI7"/>
      <sheetName val="Cao_su7"/>
      <sheetName val="CN_CK7"/>
      <sheetName val="tam_ung7"/>
      <sheetName val="SP_INLUA7"/>
      <sheetName val="SP_TPBK7"/>
      <sheetName val="SP_KHAUBONG7"/>
      <sheetName val="sp_cluyen7"/>
      <sheetName val="SP_RUOT7"/>
      <sheetName val="sp_vo7"/>
      <sheetName val="sp_tpcs7"/>
      <sheetName val="kinh_phí_XD7"/>
      <sheetName val="MTO_REV_2(ARMOR)7"/>
      <sheetName val="HA_NOI8"/>
      <sheetName val="Cao_su8"/>
      <sheetName val="CN_CK8"/>
      <sheetName val="tam_ung8"/>
      <sheetName val="SP_INLUA8"/>
      <sheetName val="SP_TPBK8"/>
      <sheetName val="SP_KHAUBONG8"/>
      <sheetName val="sp_cluyen8"/>
      <sheetName val="SP_RUOT8"/>
      <sheetName val="sp_vo8"/>
      <sheetName val="sp_tpcs8"/>
      <sheetName val="kinh_phí_XD8"/>
      <sheetName val="MTO_REV_2(ARMOR)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Q7">
            <v>0</v>
          </cell>
        </row>
        <row r="8">
          <cell r="Q8">
            <v>0</v>
          </cell>
        </row>
        <row r="9">
          <cell r="F9" t="str">
            <v>BA.1512</v>
          </cell>
          <cell r="Q9">
            <v>75.341999999999999</v>
          </cell>
        </row>
        <row r="10">
          <cell r="F10" t="str">
            <v>HA.1111SR</v>
          </cell>
          <cell r="Q10">
            <v>2.5200000000000005</v>
          </cell>
        </row>
        <row r="11">
          <cell r="F11" t="str">
            <v>KA.1110</v>
          </cell>
          <cell r="Q11">
            <v>1.915E-2</v>
          </cell>
        </row>
        <row r="12">
          <cell r="F12" t="str">
            <v>HA.5213</v>
          </cell>
          <cell r="Q12">
            <v>11.879999999999999</v>
          </cell>
        </row>
        <row r="13">
          <cell r="F13" t="str">
            <v>KA.2320</v>
          </cell>
          <cell r="Q13">
            <v>0.68799999999999994</v>
          </cell>
        </row>
        <row r="14">
          <cell r="F14" t="str">
            <v>IA.3511</v>
          </cell>
          <cell r="Q14">
            <v>1.1879999999999999</v>
          </cell>
        </row>
        <row r="15">
          <cell r="F15" t="str">
            <v>IA.3521</v>
          </cell>
          <cell r="Q15">
            <v>0</v>
          </cell>
        </row>
        <row r="16">
          <cell r="F16" t="str">
            <v>HA.2313</v>
          </cell>
          <cell r="Q16">
            <v>0.252</v>
          </cell>
        </row>
        <row r="17">
          <cell r="F17" t="str">
            <v>KA.2120</v>
          </cell>
          <cell r="Q17">
            <v>6.7199999999999996E-2</v>
          </cell>
        </row>
        <row r="18">
          <cell r="F18" t="str">
            <v>IA.2211</v>
          </cell>
          <cell r="Q18">
            <v>0</v>
          </cell>
        </row>
        <row r="19">
          <cell r="F19" t="str">
            <v>IA.2221</v>
          </cell>
          <cell r="Q19">
            <v>0</v>
          </cell>
        </row>
        <row r="20">
          <cell r="F20" t="str">
            <v>HA.3113</v>
          </cell>
          <cell r="Q20">
            <v>1.44</v>
          </cell>
        </row>
        <row r="21">
          <cell r="F21" t="str">
            <v>KA.2120</v>
          </cell>
          <cell r="Q21">
            <v>0.192</v>
          </cell>
        </row>
        <row r="22">
          <cell r="F22" t="str">
            <v>IA.2311</v>
          </cell>
          <cell r="Q22">
            <v>0</v>
          </cell>
        </row>
        <row r="23">
          <cell r="F23" t="str">
            <v>IA.2321</v>
          </cell>
          <cell r="Q23">
            <v>0</v>
          </cell>
        </row>
        <row r="24">
          <cell r="F24" t="str">
            <v>RB.2135</v>
          </cell>
          <cell r="Q24">
            <v>52</v>
          </cell>
        </row>
        <row r="25">
          <cell r="F25" t="str">
            <v>BB.1112</v>
          </cell>
          <cell r="Q25">
            <v>75.341999999999999</v>
          </cell>
        </row>
        <row r="26">
          <cell r="Q26">
            <v>0</v>
          </cell>
        </row>
        <row r="27">
          <cell r="F27" t="str">
            <v>BA.1512</v>
          </cell>
          <cell r="Q27">
            <v>0</v>
          </cell>
        </row>
        <row r="28">
          <cell r="F28" t="str">
            <v>HA.1111SR</v>
          </cell>
          <cell r="Q28">
            <v>0</v>
          </cell>
        </row>
        <row r="29">
          <cell r="F29" t="str">
            <v>KA.1110</v>
          </cell>
          <cell r="Q29">
            <v>0</v>
          </cell>
        </row>
        <row r="30">
          <cell r="F30" t="str">
            <v>RB.2135</v>
          </cell>
          <cell r="Q30">
            <v>0</v>
          </cell>
        </row>
        <row r="31">
          <cell r="F31" t="str">
            <v>GG.2214</v>
          </cell>
          <cell r="Q31">
            <v>0</v>
          </cell>
        </row>
        <row r="32">
          <cell r="F32" t="str">
            <v>PA.1214</v>
          </cell>
          <cell r="Q32">
            <v>0</v>
          </cell>
        </row>
        <row r="33">
          <cell r="F33" t="str">
            <v>BB.1112</v>
          </cell>
          <cell r="Q33">
            <v>0</v>
          </cell>
        </row>
        <row r="34">
          <cell r="F34" t="str">
            <v>VC-03</v>
          </cell>
          <cell r="Q34">
            <v>0</v>
          </cell>
        </row>
        <row r="35">
          <cell r="F35" t="str">
            <v>BB.1112</v>
          </cell>
          <cell r="Q35">
            <v>0</v>
          </cell>
        </row>
        <row r="36">
          <cell r="F36" t="str">
            <v>HG.4113</v>
          </cell>
          <cell r="Q36">
            <v>0</v>
          </cell>
        </row>
        <row r="37">
          <cell r="F37" t="str">
            <v>KP.2310</v>
          </cell>
          <cell r="Q37">
            <v>0</v>
          </cell>
        </row>
        <row r="38">
          <cell r="F38" t="str">
            <v>IB.2511</v>
          </cell>
          <cell r="Q38">
            <v>0</v>
          </cell>
        </row>
        <row r="39">
          <cell r="F39" t="str">
            <v>09-09</v>
          </cell>
          <cell r="Q39">
            <v>0</v>
          </cell>
        </row>
        <row r="41">
          <cell r="F41" t="str">
            <v>BA.1512</v>
          </cell>
          <cell r="Q41">
            <v>0</v>
          </cell>
        </row>
        <row r="42">
          <cell r="F42" t="str">
            <v>HA.1111SR</v>
          </cell>
          <cell r="Q42">
            <v>0</v>
          </cell>
        </row>
        <row r="43">
          <cell r="F43" t="str">
            <v>KA.1110</v>
          </cell>
          <cell r="Q43">
            <v>0</v>
          </cell>
        </row>
        <row r="44">
          <cell r="F44" t="str">
            <v>RB.2125</v>
          </cell>
          <cell r="Q44">
            <v>0</v>
          </cell>
        </row>
        <row r="45">
          <cell r="F45" t="str">
            <v>GG.2214</v>
          </cell>
          <cell r="Q45">
            <v>0</v>
          </cell>
        </row>
        <row r="46">
          <cell r="F46" t="str">
            <v>PA.1214</v>
          </cell>
          <cell r="Q46">
            <v>0</v>
          </cell>
        </row>
        <row r="47">
          <cell r="F47" t="str">
            <v>BB.1112</v>
          </cell>
          <cell r="Q47">
            <v>0</v>
          </cell>
        </row>
        <row r="48">
          <cell r="F48" t="str">
            <v>VC-03</v>
          </cell>
          <cell r="Q48">
            <v>0</v>
          </cell>
        </row>
        <row r="49">
          <cell r="F49" t="str">
            <v>BB.1112</v>
          </cell>
          <cell r="Q49">
            <v>0</v>
          </cell>
        </row>
        <row r="50">
          <cell r="F50" t="str">
            <v>HG.4113</v>
          </cell>
          <cell r="Q50">
            <v>0</v>
          </cell>
        </row>
        <row r="51">
          <cell r="F51" t="str">
            <v>KP.2310</v>
          </cell>
          <cell r="Q51">
            <v>0</v>
          </cell>
        </row>
        <row r="52">
          <cell r="F52" t="str">
            <v>IB.2511</v>
          </cell>
          <cell r="Q52">
            <v>0</v>
          </cell>
        </row>
        <row r="53">
          <cell r="F53" t="str">
            <v>09-09</v>
          </cell>
          <cell r="Q53">
            <v>0</v>
          </cell>
        </row>
        <row r="54">
          <cell r="F54" t="e">
            <v>#DIV/0!</v>
          </cell>
          <cell r="Q54">
            <v>0</v>
          </cell>
        </row>
        <row r="55">
          <cell r="F55" t="str">
            <v>BA.1512</v>
          </cell>
          <cell r="Q55">
            <v>22.823277749999999</v>
          </cell>
        </row>
        <row r="56">
          <cell r="F56" t="str">
            <v>BA.1512</v>
          </cell>
          <cell r="Q56">
            <v>0</v>
          </cell>
        </row>
        <row r="57">
          <cell r="F57" t="str">
            <v>HA.1111SR</v>
          </cell>
          <cell r="Q57">
            <v>0.60000000000000009</v>
          </cell>
        </row>
        <row r="58">
          <cell r="F58" t="str">
            <v>KA.1110</v>
          </cell>
          <cell r="Q58">
            <v>1.1199999999999998E-2</v>
          </cell>
        </row>
        <row r="59">
          <cell r="F59" t="str">
            <v>HA.5213</v>
          </cell>
          <cell r="Q59">
            <v>3.2399999999999993</v>
          </cell>
        </row>
        <row r="60">
          <cell r="F60" t="str">
            <v>KA.2320</v>
          </cell>
          <cell r="Q60">
            <v>0.36399999999999999</v>
          </cell>
        </row>
        <row r="61">
          <cell r="F61" t="str">
            <v>IA.3511</v>
          </cell>
          <cell r="Q61">
            <v>0.32399999999999995</v>
          </cell>
        </row>
        <row r="62">
          <cell r="F62" t="str">
            <v>IA.3521</v>
          </cell>
          <cell r="Q62">
            <v>0</v>
          </cell>
        </row>
        <row r="63">
          <cell r="F63" t="str">
            <v>RB.2135</v>
          </cell>
          <cell r="Q63">
            <v>29.4</v>
          </cell>
        </row>
        <row r="64">
          <cell r="F64" t="str">
            <v>BB.1112</v>
          </cell>
        </row>
        <row r="65">
          <cell r="F65" t="str">
            <v>VC-03</v>
          </cell>
          <cell r="Q65">
            <v>0</v>
          </cell>
        </row>
        <row r="66">
          <cell r="F66" t="str">
            <v>BB.1113</v>
          </cell>
          <cell r="Q66">
            <v>22.823277749999999</v>
          </cell>
        </row>
        <row r="67">
          <cell r="F67" t="str">
            <v>ZJ.7276</v>
          </cell>
          <cell r="Q67">
            <v>0</v>
          </cell>
        </row>
        <row r="68">
          <cell r="F68" t="str">
            <v>ZJ.7276</v>
          </cell>
          <cell r="Q68">
            <v>0</v>
          </cell>
        </row>
        <row r="69">
          <cell r="Q69">
            <v>0</v>
          </cell>
        </row>
        <row r="70">
          <cell r="F70" t="str">
            <v>BA.1512</v>
          </cell>
          <cell r="Q70">
            <v>208.19363174999998</v>
          </cell>
        </row>
        <row r="71">
          <cell r="F71" t="str">
            <v>BA.1512</v>
          </cell>
          <cell r="Q71">
            <v>0</v>
          </cell>
        </row>
        <row r="72">
          <cell r="F72" t="str">
            <v>HA.1111SR</v>
          </cell>
          <cell r="Q72">
            <v>5.3248000000000006</v>
          </cell>
        </row>
        <row r="73">
          <cell r="F73" t="str">
            <v>KA.1110</v>
          </cell>
          <cell r="Q73">
            <v>0.10344000000000002</v>
          </cell>
        </row>
        <row r="74">
          <cell r="F74" t="str">
            <v>HA.5213</v>
          </cell>
          <cell r="Q74">
            <v>27.525120000000001</v>
          </cell>
        </row>
        <row r="75">
          <cell r="F75" t="str">
            <v>KA.2320</v>
          </cell>
          <cell r="Q75">
            <v>3.1129600000000006</v>
          </cell>
        </row>
        <row r="76">
          <cell r="F76" t="str">
            <v>IA.3511</v>
          </cell>
          <cell r="Q76">
            <v>2.7525120000000003</v>
          </cell>
        </row>
        <row r="77">
          <cell r="F77" t="str">
            <v>IA.3521</v>
          </cell>
          <cell r="Q77">
            <v>0</v>
          </cell>
        </row>
        <row r="78">
          <cell r="F78" t="str">
            <v>RB.2135</v>
          </cell>
          <cell r="Q78">
            <v>253.952</v>
          </cell>
        </row>
        <row r="79">
          <cell r="F79" t="str">
            <v>BB.1112</v>
          </cell>
        </row>
        <row r="80">
          <cell r="F80" t="str">
            <v>VC-03</v>
          </cell>
        </row>
        <row r="81">
          <cell r="F81" t="str">
            <v>BB.1113</v>
          </cell>
          <cell r="Q81">
            <v>208.19363174999998</v>
          </cell>
        </row>
        <row r="82">
          <cell r="F82" t="str">
            <v>ZJ.7276</v>
          </cell>
          <cell r="Q82">
            <v>0</v>
          </cell>
        </row>
        <row r="83">
          <cell r="F83" t="str">
            <v>ZJ.7276</v>
          </cell>
          <cell r="Q83">
            <v>0</v>
          </cell>
        </row>
        <row r="84">
          <cell r="Q84">
            <v>0</v>
          </cell>
        </row>
        <row r="85">
          <cell r="F85" t="str">
            <v>BA.1512</v>
          </cell>
          <cell r="Q85">
            <v>61.142766749999986</v>
          </cell>
        </row>
        <row r="86">
          <cell r="F86" t="str">
            <v>BA.1512</v>
          </cell>
          <cell r="Q86">
            <v>0</v>
          </cell>
        </row>
        <row r="87">
          <cell r="F87" t="str">
            <v>HA.1111SR</v>
          </cell>
          <cell r="Q87">
            <v>1.7423999999999999</v>
          </cell>
        </row>
        <row r="88">
          <cell r="F88" t="str">
            <v>KA.1110</v>
          </cell>
          <cell r="Q88">
            <v>2.564E-2</v>
          </cell>
        </row>
        <row r="89">
          <cell r="F89" t="str">
            <v>HA.5213</v>
          </cell>
          <cell r="Q89">
            <v>9.4089599999999987</v>
          </cell>
        </row>
        <row r="90">
          <cell r="F90" t="str">
            <v>KA.2320</v>
          </cell>
          <cell r="Q90">
            <v>1.0260800000000001</v>
          </cell>
        </row>
        <row r="91">
          <cell r="F91" t="str">
            <v>IA.3511</v>
          </cell>
          <cell r="Q91">
            <v>0.94089599999999995</v>
          </cell>
        </row>
        <row r="92">
          <cell r="F92" t="str">
            <v>IA.3521</v>
          </cell>
          <cell r="Q92">
            <v>0</v>
          </cell>
        </row>
        <row r="93">
          <cell r="F93" t="str">
            <v>RB.2135</v>
          </cell>
          <cell r="Q93">
            <v>84.216000000000008</v>
          </cell>
        </row>
        <row r="94">
          <cell r="F94" t="str">
            <v>BB.1112</v>
          </cell>
        </row>
        <row r="95">
          <cell r="F95" t="str">
            <v>VC-03</v>
          </cell>
        </row>
        <row r="96">
          <cell r="F96" t="str">
            <v>BB.1113</v>
          </cell>
          <cell r="Q96">
            <v>61.142766749999986</v>
          </cell>
        </row>
        <row r="97">
          <cell r="F97" t="str">
            <v>ZJ.7276</v>
          </cell>
          <cell r="Q97">
            <v>0</v>
          </cell>
        </row>
        <row r="98">
          <cell r="F98" t="str">
            <v>ZJ.7276</v>
          </cell>
          <cell r="Q98">
            <v>0</v>
          </cell>
        </row>
        <row r="99">
          <cell r="Q99">
            <v>0</v>
          </cell>
        </row>
        <row r="100">
          <cell r="F100" t="str">
            <v>HG.4113</v>
          </cell>
          <cell r="Q100">
            <v>0</v>
          </cell>
        </row>
        <row r="101">
          <cell r="F101" t="str">
            <v>KP.2310</v>
          </cell>
          <cell r="Q101">
            <v>0</v>
          </cell>
        </row>
        <row r="102">
          <cell r="F102" t="str">
            <v>LA.5110</v>
          </cell>
          <cell r="Q102">
            <v>0</v>
          </cell>
        </row>
        <row r="103">
          <cell r="F103" t="str">
            <v>IB.2511</v>
          </cell>
          <cell r="Q103">
            <v>0</v>
          </cell>
        </row>
        <row r="104">
          <cell r="F104" t="str">
            <v>HG.4113</v>
          </cell>
          <cell r="Q104">
            <v>1.8480000000000005</v>
          </cell>
        </row>
        <row r="105">
          <cell r="F105" t="str">
            <v>KP.2310</v>
          </cell>
          <cell r="Q105">
            <v>0.12600000000000003</v>
          </cell>
        </row>
        <row r="106">
          <cell r="F106" t="str">
            <v>09-09</v>
          </cell>
          <cell r="Q106">
            <v>60</v>
          </cell>
        </row>
        <row r="107">
          <cell r="F107" t="str">
            <v>IB.2511</v>
          </cell>
          <cell r="Q107">
            <v>0.18480000000000008</v>
          </cell>
        </row>
        <row r="108">
          <cell r="F108" t="str">
            <v>IB.2511</v>
          </cell>
          <cell r="Q108">
            <v>0</v>
          </cell>
        </row>
        <row r="109">
          <cell r="F109" t="str">
            <v>HG.4113</v>
          </cell>
          <cell r="Q109">
            <v>5.0175999999999998</v>
          </cell>
        </row>
        <row r="110">
          <cell r="F110" t="str">
            <v>KP.2310</v>
          </cell>
          <cell r="Q110">
            <v>0.39424000000000009</v>
          </cell>
        </row>
        <row r="111">
          <cell r="F111" t="str">
            <v>09-09</v>
          </cell>
          <cell r="Q111">
            <v>256</v>
          </cell>
        </row>
        <row r="112">
          <cell r="F112" t="str">
            <v>IB.2511</v>
          </cell>
          <cell r="Q112">
            <v>0.50175999999999998</v>
          </cell>
        </row>
        <row r="113">
          <cell r="F113" t="str">
            <v>IB.2511</v>
          </cell>
          <cell r="Q113">
            <v>0</v>
          </cell>
        </row>
        <row r="114">
          <cell r="F114" t="str">
            <v>HG.4113</v>
          </cell>
          <cell r="Q114">
            <v>1.3312000000000002</v>
          </cell>
        </row>
        <row r="115">
          <cell r="F115" t="str">
            <v>KP.2310</v>
          </cell>
          <cell r="Q115">
            <v>0</v>
          </cell>
        </row>
        <row r="116">
          <cell r="F116" t="str">
            <v>09-09</v>
          </cell>
          <cell r="Q116">
            <v>26</v>
          </cell>
        </row>
        <row r="117">
          <cell r="F117" t="str">
            <v>IB.2511</v>
          </cell>
          <cell r="Q117">
            <v>0.13312000000000002</v>
          </cell>
        </row>
        <row r="118">
          <cell r="F118" t="str">
            <v>IB.2511</v>
          </cell>
          <cell r="Q118">
            <v>0</v>
          </cell>
        </row>
        <row r="119">
          <cell r="F119" t="str">
            <v>67/SON-BCN</v>
          </cell>
          <cell r="Q119">
            <v>0.52</v>
          </cell>
        </row>
        <row r="120">
          <cell r="F120" t="str">
            <v>67/SON-BCN</v>
          </cell>
          <cell r="Q120">
            <v>0.8</v>
          </cell>
        </row>
        <row r="121">
          <cell r="F121" t="str">
            <v>67/SON-BCN</v>
          </cell>
          <cell r="Q121">
            <v>0.8</v>
          </cell>
        </row>
        <row r="122">
          <cell r="F122" t="str">
            <v>67/SON-BCN</v>
          </cell>
          <cell r="Q122">
            <v>1</v>
          </cell>
        </row>
        <row r="123">
          <cell r="F123" t="str">
            <v>IB.2511</v>
          </cell>
          <cell r="Q123">
            <v>0</v>
          </cell>
        </row>
        <row r="124">
          <cell r="F124" t="str">
            <v>NB.1710</v>
          </cell>
          <cell r="Q124">
            <v>2.8400000000000003</v>
          </cell>
        </row>
        <row r="125">
          <cell r="F125" t="str">
            <v>TT</v>
          </cell>
          <cell r="Q125">
            <v>300</v>
          </cell>
        </row>
        <row r="126">
          <cell r="F126" t="str">
            <v>TT</v>
          </cell>
          <cell r="Q126">
            <v>0</v>
          </cell>
        </row>
        <row r="127">
          <cell r="F127" t="str">
            <v>UC.2230R</v>
          </cell>
          <cell r="Q127">
            <v>0</v>
          </cell>
        </row>
        <row r="128">
          <cell r="F128" t="str">
            <v>UC.2230</v>
          </cell>
          <cell r="Q128">
            <v>0</v>
          </cell>
        </row>
        <row r="129">
          <cell r="F129" t="str">
            <v>BB.1112</v>
          </cell>
          <cell r="Q129">
            <v>0</v>
          </cell>
        </row>
        <row r="130">
          <cell r="Q130">
            <v>0</v>
          </cell>
        </row>
        <row r="131">
          <cell r="Q131">
            <v>0</v>
          </cell>
        </row>
        <row r="132">
          <cell r="F132" t="str">
            <v>BA.1433</v>
          </cell>
          <cell r="Q132">
            <v>0</v>
          </cell>
        </row>
        <row r="133">
          <cell r="F133" t="str">
            <v>HA.1121SR</v>
          </cell>
          <cell r="Q133">
            <v>0</v>
          </cell>
        </row>
        <row r="134">
          <cell r="Q134">
            <v>0</v>
          </cell>
        </row>
        <row r="135">
          <cell r="Q135">
            <v>0</v>
          </cell>
        </row>
        <row r="136">
          <cell r="F136" t="str">
            <v>KA.1110</v>
          </cell>
          <cell r="Q136">
            <v>0</v>
          </cell>
        </row>
        <row r="137">
          <cell r="Q137">
            <v>0</v>
          </cell>
        </row>
        <row r="138">
          <cell r="Q138">
            <v>0</v>
          </cell>
        </row>
        <row r="139">
          <cell r="F139" t="str">
            <v>HA.1224</v>
          </cell>
          <cell r="Q139">
            <v>0</v>
          </cell>
        </row>
        <row r="140">
          <cell r="F140" t="str">
            <v>KA.1110</v>
          </cell>
          <cell r="Q140">
            <v>0</v>
          </cell>
        </row>
        <row r="141">
          <cell r="Q141">
            <v>0</v>
          </cell>
        </row>
        <row r="142">
          <cell r="Q142">
            <v>0</v>
          </cell>
        </row>
        <row r="143">
          <cell r="Q143">
            <v>0</v>
          </cell>
        </row>
        <row r="144">
          <cell r="F144" t="str">
            <v>IA.1110</v>
          </cell>
          <cell r="Q144">
            <v>0</v>
          </cell>
        </row>
        <row r="145">
          <cell r="F145" t="str">
            <v>IA.1120</v>
          </cell>
          <cell r="Q145">
            <v>0</v>
          </cell>
        </row>
        <row r="146">
          <cell r="F146" t="str">
            <v>HA.2314</v>
          </cell>
          <cell r="Q146">
            <v>0</v>
          </cell>
        </row>
        <row r="147">
          <cell r="F147" t="str">
            <v>KA.2120</v>
          </cell>
          <cell r="Q147">
            <v>0</v>
          </cell>
        </row>
        <row r="148">
          <cell r="F148" t="str">
            <v>IA.2211</v>
          </cell>
          <cell r="Q148">
            <v>0</v>
          </cell>
        </row>
        <row r="149">
          <cell r="F149" t="str">
            <v>IA.2221</v>
          </cell>
          <cell r="Q149">
            <v>0</v>
          </cell>
        </row>
        <row r="150">
          <cell r="F150" t="str">
            <v>HA.3114</v>
          </cell>
          <cell r="Q150">
            <v>0</v>
          </cell>
        </row>
        <row r="151">
          <cell r="F151" t="str">
            <v>KA.2120</v>
          </cell>
          <cell r="Q151">
            <v>0</v>
          </cell>
        </row>
        <row r="152">
          <cell r="F152" t="str">
            <v>IA.2311</v>
          </cell>
          <cell r="Q152">
            <v>0</v>
          </cell>
        </row>
        <row r="153">
          <cell r="F153" t="str">
            <v>IA.2321</v>
          </cell>
          <cell r="Q153">
            <v>0</v>
          </cell>
        </row>
        <row r="154">
          <cell r="F154" t="str">
            <v>GG.2214</v>
          </cell>
          <cell r="Q154">
            <v>0</v>
          </cell>
        </row>
        <row r="155">
          <cell r="F155" t="str">
            <v>PA.1214</v>
          </cell>
          <cell r="Q155">
            <v>0</v>
          </cell>
        </row>
        <row r="156">
          <cell r="Q156">
            <v>0</v>
          </cell>
        </row>
        <row r="157">
          <cell r="Q157">
            <v>0</v>
          </cell>
        </row>
        <row r="158">
          <cell r="Q158">
            <v>0</v>
          </cell>
        </row>
        <row r="159">
          <cell r="Q159">
            <v>0</v>
          </cell>
        </row>
        <row r="160">
          <cell r="F160" t="str">
            <v>67/MK-BCN</v>
          </cell>
          <cell r="Q160">
            <v>0</v>
          </cell>
        </row>
        <row r="161">
          <cell r="F161" t="str">
            <v>66/QÑ-BCN</v>
          </cell>
          <cell r="Q161">
            <v>0</v>
          </cell>
        </row>
        <row r="162">
          <cell r="F162" t="str">
            <v>TT</v>
          </cell>
          <cell r="Q162">
            <v>0</v>
          </cell>
        </row>
        <row r="163">
          <cell r="F163" t="str">
            <v>TT</v>
          </cell>
          <cell r="Q163">
            <v>0</v>
          </cell>
        </row>
        <row r="164">
          <cell r="F164" t="str">
            <v>ZJ.2109</v>
          </cell>
          <cell r="Q164">
            <v>0</v>
          </cell>
        </row>
        <row r="165">
          <cell r="F165" t="str">
            <v>ZK.4160X3</v>
          </cell>
          <cell r="Q165">
            <v>0</v>
          </cell>
        </row>
        <row r="166">
          <cell r="F166" t="str">
            <v>BB.1112</v>
          </cell>
        </row>
        <row r="167">
          <cell r="F167" t="str">
            <v>VC-03</v>
          </cell>
        </row>
        <row r="168">
          <cell r="F168" t="str">
            <v>BB.1113</v>
          </cell>
          <cell r="Q168">
            <v>0</v>
          </cell>
        </row>
        <row r="169">
          <cell r="F169" t="str">
            <v>UD.5122CC</v>
          </cell>
          <cell r="Q169">
            <v>0</v>
          </cell>
        </row>
        <row r="170">
          <cell r="Q170">
            <v>0</v>
          </cell>
        </row>
        <row r="171">
          <cell r="F171" t="str">
            <v>BA.1432</v>
          </cell>
          <cell r="Q171">
            <v>0</v>
          </cell>
        </row>
        <row r="172">
          <cell r="F172" t="str">
            <v>HA.1121SR</v>
          </cell>
          <cell r="Q172">
            <v>0</v>
          </cell>
        </row>
        <row r="173">
          <cell r="F173" t="str">
            <v>KA.1110</v>
          </cell>
          <cell r="Q173">
            <v>0</v>
          </cell>
        </row>
        <row r="174">
          <cell r="F174" t="str">
            <v>HA.1223</v>
          </cell>
          <cell r="Q174">
            <v>0</v>
          </cell>
        </row>
        <row r="175">
          <cell r="Q175">
            <v>0</v>
          </cell>
        </row>
        <row r="176">
          <cell r="Q176">
            <v>0</v>
          </cell>
        </row>
        <row r="177">
          <cell r="Q177">
            <v>0</v>
          </cell>
        </row>
        <row r="178">
          <cell r="F178" t="str">
            <v>KA.1110</v>
          </cell>
          <cell r="Q178">
            <v>0</v>
          </cell>
        </row>
        <row r="179">
          <cell r="F179">
            <v>0</v>
          </cell>
          <cell r="Q179">
            <v>0</v>
          </cell>
        </row>
        <row r="180">
          <cell r="Q180">
            <v>0</v>
          </cell>
        </row>
        <row r="181">
          <cell r="F181" t="str">
            <v>IA.1110</v>
          </cell>
          <cell r="Q181">
            <v>0</v>
          </cell>
        </row>
        <row r="182">
          <cell r="F182" t="str">
            <v>IA.1130</v>
          </cell>
          <cell r="Q182">
            <v>0</v>
          </cell>
        </row>
        <row r="183">
          <cell r="F183" t="str">
            <v>HA.2313</v>
          </cell>
          <cell r="Q183">
            <v>0</v>
          </cell>
        </row>
        <row r="184">
          <cell r="F184" t="str">
            <v>KA.2120</v>
          </cell>
          <cell r="Q184">
            <v>0</v>
          </cell>
        </row>
        <row r="185">
          <cell r="F185" t="str">
            <v>IA.2211</v>
          </cell>
          <cell r="Q185">
            <v>0</v>
          </cell>
        </row>
        <row r="186">
          <cell r="F186" t="str">
            <v>IA.2221</v>
          </cell>
          <cell r="Q186">
            <v>0</v>
          </cell>
        </row>
        <row r="187">
          <cell r="F187" t="str">
            <v>HA.3113</v>
          </cell>
          <cell r="Q187">
            <v>0</v>
          </cell>
        </row>
        <row r="188">
          <cell r="F188" t="str">
            <v>KA.2120</v>
          </cell>
          <cell r="Q188">
            <v>0</v>
          </cell>
        </row>
        <row r="189">
          <cell r="F189" t="str">
            <v>IA.2311</v>
          </cell>
          <cell r="Q189">
            <v>0</v>
          </cell>
        </row>
        <row r="190">
          <cell r="F190" t="str">
            <v>IA.2321</v>
          </cell>
          <cell r="Q190">
            <v>0</v>
          </cell>
        </row>
        <row r="191">
          <cell r="F191" t="str">
            <v>HA.2113</v>
          </cell>
          <cell r="Q191">
            <v>0</v>
          </cell>
        </row>
        <row r="192">
          <cell r="F192" t="str">
            <v>KA.2120</v>
          </cell>
          <cell r="Q192">
            <v>0</v>
          </cell>
        </row>
        <row r="193">
          <cell r="F193" t="str">
            <v>HA.3213</v>
          </cell>
          <cell r="Q193">
            <v>0</v>
          </cell>
        </row>
        <row r="194">
          <cell r="F194" t="str">
            <v>KA.2310</v>
          </cell>
          <cell r="Q194">
            <v>0</v>
          </cell>
        </row>
        <row r="195">
          <cell r="F195" t="str">
            <v>IA.2311</v>
          </cell>
          <cell r="Q195">
            <v>0</v>
          </cell>
        </row>
        <row r="196">
          <cell r="F196" t="str">
            <v>IA.2321</v>
          </cell>
          <cell r="Q196">
            <v>0</v>
          </cell>
        </row>
        <row r="197">
          <cell r="F197" t="str">
            <v>GG.2214</v>
          </cell>
          <cell r="Q197">
            <v>0</v>
          </cell>
        </row>
        <row r="198">
          <cell r="F198" t="str">
            <v>PA.1214</v>
          </cell>
          <cell r="Q198">
            <v>0</v>
          </cell>
        </row>
        <row r="199">
          <cell r="Q199">
            <v>0</v>
          </cell>
        </row>
        <row r="200">
          <cell r="Q200">
            <v>0</v>
          </cell>
        </row>
        <row r="201">
          <cell r="Q201">
            <v>0</v>
          </cell>
        </row>
        <row r="202">
          <cell r="F202" t="str">
            <v>67/MK-BCN</v>
          </cell>
          <cell r="Q202">
            <v>0</v>
          </cell>
        </row>
        <row r="203">
          <cell r="F203" t="str">
            <v>66/QÑ-BCN</v>
          </cell>
          <cell r="Q203">
            <v>0</v>
          </cell>
        </row>
        <row r="204">
          <cell r="F204" t="str">
            <v>TT</v>
          </cell>
          <cell r="Q204">
            <v>0</v>
          </cell>
        </row>
        <row r="205">
          <cell r="F205" t="str">
            <v>TT</v>
          </cell>
          <cell r="Q205">
            <v>0</v>
          </cell>
        </row>
        <row r="206">
          <cell r="F206" t="str">
            <v>ZJ.2109</v>
          </cell>
          <cell r="Q206">
            <v>0</v>
          </cell>
        </row>
        <row r="207">
          <cell r="F207" t="str">
            <v>ZK.4160X3</v>
          </cell>
          <cell r="Q207">
            <v>0</v>
          </cell>
        </row>
        <row r="208">
          <cell r="F208" t="str">
            <v>BA.1512</v>
          </cell>
          <cell r="Q208">
            <v>0</v>
          </cell>
        </row>
        <row r="209">
          <cell r="F209" t="str">
            <v>ZJ.2110</v>
          </cell>
          <cell r="Q209">
            <v>0</v>
          </cell>
        </row>
        <row r="210">
          <cell r="F210" t="str">
            <v>ZK.4160X4</v>
          </cell>
          <cell r="Q210">
            <v>0</v>
          </cell>
        </row>
        <row r="211">
          <cell r="F211" t="str">
            <v>UD.3110</v>
          </cell>
          <cell r="Q211">
            <v>0</v>
          </cell>
        </row>
        <row r="212">
          <cell r="F212" t="str">
            <v>BB.1112</v>
          </cell>
          <cell r="Q212">
            <v>0</v>
          </cell>
        </row>
        <row r="213">
          <cell r="F213" t="str">
            <v>VC-03</v>
          </cell>
          <cell r="Q213">
            <v>0</v>
          </cell>
        </row>
        <row r="214">
          <cell r="F214" t="str">
            <v>UD.5122CC</v>
          </cell>
          <cell r="Q214">
            <v>0</v>
          </cell>
        </row>
        <row r="215">
          <cell r="Q215">
            <v>0</v>
          </cell>
        </row>
        <row r="216">
          <cell r="F216" t="str">
            <v>BA.1432</v>
          </cell>
          <cell r="Q216">
            <v>0</v>
          </cell>
        </row>
        <row r="217">
          <cell r="F217" t="str">
            <v>HA.1121SR</v>
          </cell>
          <cell r="Q217">
            <v>0</v>
          </cell>
        </row>
        <row r="218">
          <cell r="F218" t="str">
            <v>KA.1110</v>
          </cell>
          <cell r="Q218">
            <v>0</v>
          </cell>
        </row>
        <row r="219">
          <cell r="Q219">
            <v>0</v>
          </cell>
        </row>
        <row r="220">
          <cell r="Q220">
            <v>0</v>
          </cell>
        </row>
        <row r="221">
          <cell r="F221" t="str">
            <v>HA.1223</v>
          </cell>
          <cell r="Q221">
            <v>0</v>
          </cell>
        </row>
        <row r="222">
          <cell r="Q222">
            <v>0</v>
          </cell>
        </row>
        <row r="223">
          <cell r="Q223">
            <v>0</v>
          </cell>
        </row>
        <row r="224">
          <cell r="F224" t="str">
            <v>KA.1110</v>
          </cell>
          <cell r="Q224">
            <v>0</v>
          </cell>
        </row>
        <row r="225">
          <cell r="Q225">
            <v>0</v>
          </cell>
        </row>
        <row r="226">
          <cell r="Q226">
            <v>0</v>
          </cell>
        </row>
        <row r="227">
          <cell r="F227" t="str">
            <v>HA.2314</v>
          </cell>
          <cell r="Q227">
            <v>0</v>
          </cell>
        </row>
        <row r="228">
          <cell r="Q228">
            <v>0</v>
          </cell>
        </row>
        <row r="229">
          <cell r="Q229">
            <v>0</v>
          </cell>
        </row>
        <row r="230">
          <cell r="F230" t="str">
            <v>KA.2120</v>
          </cell>
          <cell r="Q230">
            <v>0</v>
          </cell>
        </row>
        <row r="231">
          <cell r="Q231">
            <v>0</v>
          </cell>
        </row>
        <row r="232">
          <cell r="Q232">
            <v>0</v>
          </cell>
        </row>
        <row r="233">
          <cell r="F233" t="str">
            <v>HA.2113</v>
          </cell>
          <cell r="Q233">
            <v>0</v>
          </cell>
        </row>
        <row r="234">
          <cell r="F234" t="str">
            <v>KA.2310</v>
          </cell>
          <cell r="Q234">
            <v>0</v>
          </cell>
        </row>
        <row r="235">
          <cell r="F235" t="str">
            <v>HA.3213</v>
          </cell>
          <cell r="Q235">
            <v>0</v>
          </cell>
        </row>
        <row r="236">
          <cell r="F236" t="str">
            <v>KA.2310</v>
          </cell>
          <cell r="Q236">
            <v>0</v>
          </cell>
        </row>
        <row r="237">
          <cell r="F237" t="str">
            <v>HA.3114</v>
          </cell>
          <cell r="Q237">
            <v>0</v>
          </cell>
        </row>
        <row r="238">
          <cell r="Q238">
            <v>0</v>
          </cell>
        </row>
        <row r="239">
          <cell r="Q239">
            <v>0</v>
          </cell>
        </row>
        <row r="240">
          <cell r="Q240">
            <v>0</v>
          </cell>
        </row>
        <row r="241">
          <cell r="F241" t="str">
            <v>KA.2120</v>
          </cell>
          <cell r="Q241">
            <v>0</v>
          </cell>
        </row>
        <row r="242">
          <cell r="Q242">
            <v>0</v>
          </cell>
        </row>
        <row r="243">
          <cell r="Q243">
            <v>0</v>
          </cell>
        </row>
        <row r="244">
          <cell r="Q244">
            <v>0</v>
          </cell>
        </row>
        <row r="245">
          <cell r="F245" t="str">
            <v>HA.1111</v>
          </cell>
          <cell r="Q245">
            <v>0</v>
          </cell>
        </row>
        <row r="246">
          <cell r="F246" t="str">
            <v>IA.1110</v>
          </cell>
          <cell r="Q246">
            <v>0</v>
          </cell>
        </row>
        <row r="247">
          <cell r="F247" t="str">
            <v>IA.1120</v>
          </cell>
          <cell r="Q247">
            <v>0</v>
          </cell>
        </row>
        <row r="248">
          <cell r="F248" t="str">
            <v>GG.2214</v>
          </cell>
          <cell r="Q248">
            <v>0</v>
          </cell>
        </row>
        <row r="249">
          <cell r="F249" t="str">
            <v>PA.1214</v>
          </cell>
          <cell r="Q249">
            <v>0</v>
          </cell>
        </row>
        <row r="250">
          <cell r="F250" t="str">
            <v>67/MK-BCN</v>
          </cell>
          <cell r="Q250">
            <v>0</v>
          </cell>
        </row>
        <row r="251">
          <cell r="F251" t="str">
            <v>66/QÑ-BCN</v>
          </cell>
          <cell r="Q251">
            <v>0</v>
          </cell>
        </row>
        <row r="252">
          <cell r="F252" t="str">
            <v>TT</v>
          </cell>
          <cell r="Q252">
            <v>0</v>
          </cell>
        </row>
        <row r="253">
          <cell r="F253" t="str">
            <v>TT</v>
          </cell>
          <cell r="Q253">
            <v>0</v>
          </cell>
        </row>
        <row r="254">
          <cell r="F254" t="str">
            <v>ZJ.2109</v>
          </cell>
          <cell r="Q254">
            <v>0</v>
          </cell>
        </row>
        <row r="255">
          <cell r="F255" t="str">
            <v>UD.5122CC</v>
          </cell>
          <cell r="Q255">
            <v>0</v>
          </cell>
        </row>
        <row r="256">
          <cell r="Q256">
            <v>0</v>
          </cell>
        </row>
        <row r="257">
          <cell r="F257" t="str">
            <v>BA.1432</v>
          </cell>
          <cell r="Q257">
            <v>115</v>
          </cell>
        </row>
        <row r="258">
          <cell r="F258" t="str">
            <v>B3-13e/CÑ79/57C</v>
          </cell>
          <cell r="Q258">
            <v>0.49099999999999999</v>
          </cell>
        </row>
        <row r="259">
          <cell r="F259" t="str">
            <v>HA.1121SR</v>
          </cell>
          <cell r="Q259">
            <v>3.55</v>
          </cell>
        </row>
        <row r="260">
          <cell r="F260" t="str">
            <v>KA.1110</v>
          </cell>
          <cell r="Q260">
            <v>1.9499999999999997E-2</v>
          </cell>
        </row>
        <row r="261">
          <cell r="Q261">
            <v>1.6799999999999995E-2</v>
          </cell>
        </row>
        <row r="262">
          <cell r="Q262">
            <v>2.7000000000000001E-3</v>
          </cell>
        </row>
        <row r="263">
          <cell r="F263" t="str">
            <v>HA.1223</v>
          </cell>
          <cell r="Q263">
            <v>26.645999999999997</v>
          </cell>
        </row>
        <row r="264">
          <cell r="Q264">
            <v>26.495999999999999</v>
          </cell>
        </row>
        <row r="265">
          <cell r="Q265">
            <v>0.15</v>
          </cell>
        </row>
        <row r="266">
          <cell r="F266" t="str">
            <v>KA.1110</v>
          </cell>
          <cell r="Q266">
            <v>0.13719999999999999</v>
          </cell>
        </row>
        <row r="267">
          <cell r="Q267">
            <v>0.13119999999999998</v>
          </cell>
        </row>
        <row r="268">
          <cell r="Q268">
            <v>6.0000000000000001E-3</v>
          </cell>
        </row>
        <row r="269">
          <cell r="F269" t="str">
            <v>HA.2313</v>
          </cell>
          <cell r="Q269">
            <v>0.6160000000000001</v>
          </cell>
        </row>
        <row r="270">
          <cell r="F270" t="str">
            <v>KA.2120</v>
          </cell>
          <cell r="Q270">
            <v>0.1232</v>
          </cell>
        </row>
        <row r="271">
          <cell r="F271" t="str">
            <v>HA.2113</v>
          </cell>
          <cell r="Q271">
            <v>4.1800000000000006</v>
          </cell>
        </row>
        <row r="272">
          <cell r="Q272">
            <v>2.4640000000000004</v>
          </cell>
        </row>
        <row r="273">
          <cell r="Q273">
            <v>1.7160000000000002</v>
          </cell>
        </row>
        <row r="274">
          <cell r="F274" t="str">
            <v>KA.2310</v>
          </cell>
          <cell r="Q274">
            <v>0.41800000000000004</v>
          </cell>
        </row>
        <row r="275">
          <cell r="Q275">
            <v>0.24640000000000001</v>
          </cell>
        </row>
        <row r="276">
          <cell r="Q276">
            <v>0.17160000000000003</v>
          </cell>
        </row>
        <row r="277">
          <cell r="F277" t="str">
            <v>HA.3213</v>
          </cell>
          <cell r="Q277">
            <v>3.3599999999999994</v>
          </cell>
        </row>
        <row r="278">
          <cell r="F278" t="str">
            <v>KA.2310</v>
          </cell>
          <cell r="Q278">
            <v>3.44E-2</v>
          </cell>
        </row>
        <row r="279">
          <cell r="F279" t="str">
            <v>HA.3113</v>
          </cell>
          <cell r="Q279">
            <v>0.68400000000000005</v>
          </cell>
        </row>
        <row r="280">
          <cell r="Q280">
            <v>0.64</v>
          </cell>
        </row>
        <row r="281">
          <cell r="Q281">
            <v>4.4000000000000011E-2</v>
          </cell>
        </row>
        <row r="282">
          <cell r="F282" t="str">
            <v>KA.2210</v>
          </cell>
          <cell r="Q282">
            <v>6.8400000000000002E-2</v>
          </cell>
        </row>
        <row r="283">
          <cell r="Q283">
            <v>6.4000000000000001E-2</v>
          </cell>
        </row>
        <row r="284">
          <cell r="Q284">
            <v>4.4000000000000003E-3</v>
          </cell>
        </row>
        <row r="285">
          <cell r="F285" t="str">
            <v>HA.1111</v>
          </cell>
          <cell r="Q285">
            <v>14.3</v>
          </cell>
        </row>
        <row r="286">
          <cell r="F286" t="str">
            <v>IA.1110</v>
          </cell>
          <cell r="Q286">
            <v>4.4260699999999993</v>
          </cell>
        </row>
        <row r="287">
          <cell r="F287" t="str">
            <v>IA.1120</v>
          </cell>
          <cell r="Q287">
            <v>0</v>
          </cell>
        </row>
        <row r="288">
          <cell r="F288" t="str">
            <v>GG.2214</v>
          </cell>
          <cell r="Q288">
            <v>37.659999999999997</v>
          </cell>
        </row>
        <row r="289">
          <cell r="F289" t="str">
            <v>PA.1214</v>
          </cell>
          <cell r="Q289">
            <v>171.8</v>
          </cell>
        </row>
        <row r="290">
          <cell r="F290" t="str">
            <v>67/MK-BCN</v>
          </cell>
          <cell r="Q290">
            <v>2.2737099999999999</v>
          </cell>
        </row>
        <row r="291">
          <cell r="F291" t="str">
            <v>04.9102/66.BCN</v>
          </cell>
          <cell r="Q291">
            <v>2.2737099999999999</v>
          </cell>
        </row>
        <row r="292">
          <cell r="F292" t="str">
            <v>TT</v>
          </cell>
          <cell r="Q292">
            <v>24</v>
          </cell>
        </row>
        <row r="293">
          <cell r="F293" t="str">
            <v>TT</v>
          </cell>
          <cell r="Q293">
            <v>22</v>
          </cell>
        </row>
        <row r="294">
          <cell r="F294" t="str">
            <v>BA.1512</v>
          </cell>
          <cell r="Q294">
            <v>21.966583333333329</v>
          </cell>
        </row>
        <row r="295">
          <cell r="F295" t="str">
            <v>BB.1112</v>
          </cell>
          <cell r="Q295">
            <v>21.966583333333329</v>
          </cell>
        </row>
        <row r="296">
          <cell r="F296" t="str">
            <v>ZJ.2110</v>
          </cell>
          <cell r="Q296">
            <v>0.32</v>
          </cell>
        </row>
        <row r="297">
          <cell r="F297" t="str">
            <v>ZJ.2109</v>
          </cell>
          <cell r="Q297">
            <v>0</v>
          </cell>
        </row>
        <row r="298">
          <cell r="F298" t="str">
            <v>ZK.4160X3</v>
          </cell>
          <cell r="Q298">
            <v>7</v>
          </cell>
        </row>
        <row r="299">
          <cell r="F299" t="str">
            <v>ZK.4160X3</v>
          </cell>
          <cell r="Q299">
            <v>0</v>
          </cell>
        </row>
        <row r="300">
          <cell r="F300" t="str">
            <v>BB.1112</v>
          </cell>
          <cell r="Q300">
            <v>30</v>
          </cell>
        </row>
        <row r="301">
          <cell r="F301" t="str">
            <v>VC-03</v>
          </cell>
          <cell r="Q301">
            <v>85</v>
          </cell>
        </row>
        <row r="302">
          <cell r="F302" t="str">
            <v>BB.1112</v>
          </cell>
        </row>
        <row r="303">
          <cell r="F303" t="str">
            <v>UD.5122CC</v>
          </cell>
          <cell r="Q303">
            <v>8.6</v>
          </cell>
        </row>
        <row r="304">
          <cell r="Q304">
            <v>0</v>
          </cell>
        </row>
        <row r="305">
          <cell r="F305" t="str">
            <v>BA.1432</v>
          </cell>
          <cell r="Q305">
            <v>0</v>
          </cell>
        </row>
        <row r="306">
          <cell r="F306" t="str">
            <v>B3-13e/CÑ79/57C</v>
          </cell>
          <cell r="Q306">
            <v>0</v>
          </cell>
        </row>
        <row r="307">
          <cell r="F307" t="str">
            <v>HA.1121SR</v>
          </cell>
          <cell r="Q307">
            <v>0</v>
          </cell>
        </row>
        <row r="308">
          <cell r="F308" t="str">
            <v>KA.1110</v>
          </cell>
          <cell r="Q308">
            <v>0</v>
          </cell>
        </row>
        <row r="309">
          <cell r="Q309">
            <v>0</v>
          </cell>
        </row>
        <row r="310">
          <cell r="Q310">
            <v>0</v>
          </cell>
        </row>
        <row r="311">
          <cell r="F311" t="str">
            <v>HA.1223</v>
          </cell>
          <cell r="Q311">
            <v>0</v>
          </cell>
        </row>
        <row r="312">
          <cell r="Q312">
            <v>0</v>
          </cell>
        </row>
        <row r="313">
          <cell r="Q313">
            <v>0</v>
          </cell>
        </row>
        <row r="314">
          <cell r="Q314">
            <v>0</v>
          </cell>
        </row>
        <row r="315">
          <cell r="F315" t="str">
            <v>KA.1110</v>
          </cell>
          <cell r="Q315">
            <v>0</v>
          </cell>
        </row>
        <row r="316">
          <cell r="Q316">
            <v>0</v>
          </cell>
        </row>
        <row r="317">
          <cell r="Q317">
            <v>0</v>
          </cell>
        </row>
        <row r="318">
          <cell r="Q318">
            <v>0</v>
          </cell>
        </row>
        <row r="319">
          <cell r="F319" t="str">
            <v>HA.2313</v>
          </cell>
          <cell r="Q319">
            <v>0</v>
          </cell>
        </row>
        <row r="320">
          <cell r="F320" t="str">
            <v>KA.2120</v>
          </cell>
          <cell r="Q320">
            <v>0</v>
          </cell>
        </row>
        <row r="321">
          <cell r="F321" t="str">
            <v>HA.2313</v>
          </cell>
          <cell r="Q321">
            <v>0</v>
          </cell>
        </row>
        <row r="322">
          <cell r="F322" t="str">
            <v>KA.2120</v>
          </cell>
          <cell r="Q322">
            <v>0</v>
          </cell>
        </row>
        <row r="323">
          <cell r="F323" t="str">
            <v>HA.2113</v>
          </cell>
          <cell r="Q323">
            <v>0</v>
          </cell>
        </row>
        <row r="324">
          <cell r="Q324">
            <v>0</v>
          </cell>
        </row>
        <row r="325">
          <cell r="Q325">
            <v>0</v>
          </cell>
        </row>
        <row r="326">
          <cell r="F326" t="str">
            <v>KA.2310</v>
          </cell>
          <cell r="Q326">
            <v>0</v>
          </cell>
        </row>
        <row r="327">
          <cell r="Q327">
            <v>0</v>
          </cell>
        </row>
        <row r="328">
          <cell r="Q328">
            <v>0</v>
          </cell>
        </row>
        <row r="329">
          <cell r="F329" t="str">
            <v>HA.3213</v>
          </cell>
          <cell r="Q329">
            <v>0</v>
          </cell>
        </row>
        <row r="330">
          <cell r="F330" t="str">
            <v>KA.2310</v>
          </cell>
          <cell r="Q330">
            <v>0</v>
          </cell>
        </row>
        <row r="331">
          <cell r="F331" t="str">
            <v>HA.3113</v>
          </cell>
          <cell r="Q331">
            <v>0</v>
          </cell>
        </row>
        <row r="332">
          <cell r="Q332">
            <v>0</v>
          </cell>
        </row>
        <row r="333">
          <cell r="Q333">
            <v>0</v>
          </cell>
        </row>
        <row r="334">
          <cell r="Q334">
            <v>0</v>
          </cell>
        </row>
        <row r="335">
          <cell r="F335" t="str">
            <v>KA.2210</v>
          </cell>
          <cell r="Q335">
            <v>0</v>
          </cell>
        </row>
        <row r="336">
          <cell r="Q336">
            <v>0</v>
          </cell>
        </row>
        <row r="337">
          <cell r="Q337">
            <v>0</v>
          </cell>
        </row>
        <row r="338">
          <cell r="Q338">
            <v>0</v>
          </cell>
        </row>
        <row r="339">
          <cell r="F339" t="str">
            <v>HA.1111</v>
          </cell>
          <cell r="Q339">
            <v>0</v>
          </cell>
        </row>
        <row r="340">
          <cell r="F340" t="str">
            <v>IA.1110</v>
          </cell>
          <cell r="Q340">
            <v>0</v>
          </cell>
        </row>
        <row r="341">
          <cell r="F341" t="str">
            <v>IA.1120</v>
          </cell>
          <cell r="Q341">
            <v>0</v>
          </cell>
        </row>
        <row r="342">
          <cell r="F342" t="str">
            <v>GG.2214</v>
          </cell>
          <cell r="Q342">
            <v>0</v>
          </cell>
        </row>
        <row r="343">
          <cell r="F343" t="str">
            <v>PA.1214</v>
          </cell>
          <cell r="Q343">
            <v>0</v>
          </cell>
        </row>
        <row r="344">
          <cell r="F344" t="str">
            <v>67/MK-BCN</v>
          </cell>
          <cell r="Q344">
            <v>0</v>
          </cell>
        </row>
        <row r="345">
          <cell r="F345" t="str">
            <v>04.9102/66.BCN</v>
          </cell>
          <cell r="Q345">
            <v>0</v>
          </cell>
        </row>
        <row r="346">
          <cell r="F346" t="str">
            <v>TT</v>
          </cell>
          <cell r="Q346">
            <v>0</v>
          </cell>
        </row>
        <row r="347">
          <cell r="F347" t="str">
            <v>TT</v>
          </cell>
          <cell r="Q347">
            <v>0</v>
          </cell>
        </row>
        <row r="348">
          <cell r="F348" t="str">
            <v>ZJ.2109</v>
          </cell>
          <cell r="Q348">
            <v>0</v>
          </cell>
        </row>
        <row r="349">
          <cell r="F349" t="str">
            <v>ZJ.2109</v>
          </cell>
          <cell r="Q349">
            <v>0</v>
          </cell>
        </row>
        <row r="350">
          <cell r="F350" t="str">
            <v>ZK.4160X3</v>
          </cell>
          <cell r="Q350">
            <v>0</v>
          </cell>
        </row>
        <row r="351">
          <cell r="F351" t="str">
            <v>ZK.4160X3</v>
          </cell>
          <cell r="Q351">
            <v>0</v>
          </cell>
        </row>
        <row r="352">
          <cell r="F352" t="str">
            <v>BB.1112</v>
          </cell>
          <cell r="Q352">
            <v>0</v>
          </cell>
        </row>
        <row r="353">
          <cell r="F353" t="str">
            <v>VC-03/100</v>
          </cell>
          <cell r="Q353">
            <v>0</v>
          </cell>
        </row>
        <row r="354">
          <cell r="F354" t="str">
            <v>BB.1112</v>
          </cell>
          <cell r="Q354">
            <v>0</v>
          </cell>
        </row>
        <row r="355">
          <cell r="F355" t="str">
            <v>UD.5122CC</v>
          </cell>
          <cell r="Q355">
            <v>0</v>
          </cell>
        </row>
        <row r="356">
          <cell r="Q356">
            <v>0</v>
          </cell>
        </row>
        <row r="357">
          <cell r="F357" t="str">
            <v>BA.1432</v>
          </cell>
          <cell r="Q357">
            <v>0</v>
          </cell>
        </row>
        <row r="358">
          <cell r="F358" t="str">
            <v>B3-13e/CÑ79/57C</v>
          </cell>
          <cell r="Q358">
            <v>0</v>
          </cell>
        </row>
        <row r="359">
          <cell r="F359" t="str">
            <v>HA.1121SR</v>
          </cell>
          <cell r="Q359">
            <v>0</v>
          </cell>
        </row>
        <row r="360">
          <cell r="F360" t="str">
            <v>KA.1110</v>
          </cell>
          <cell r="Q360">
            <v>0</v>
          </cell>
        </row>
        <row r="361">
          <cell r="Q361">
            <v>0</v>
          </cell>
        </row>
        <row r="362">
          <cell r="Q362">
            <v>0</v>
          </cell>
        </row>
        <row r="363">
          <cell r="F363" t="str">
            <v>HA.1223</v>
          </cell>
          <cell r="Q363">
            <v>0</v>
          </cell>
        </row>
        <row r="364">
          <cell r="Q364">
            <v>0</v>
          </cell>
        </row>
        <row r="365">
          <cell r="Q365">
            <v>0</v>
          </cell>
        </row>
        <row r="366">
          <cell r="F366" t="str">
            <v>KA.1110</v>
          </cell>
          <cell r="Q366">
            <v>0</v>
          </cell>
        </row>
        <row r="367">
          <cell r="Q367">
            <v>0</v>
          </cell>
        </row>
        <row r="368">
          <cell r="Q368">
            <v>0</v>
          </cell>
        </row>
        <row r="369">
          <cell r="F369" t="str">
            <v>HA.2313</v>
          </cell>
          <cell r="Q369">
            <v>0</v>
          </cell>
        </row>
        <row r="370">
          <cell r="F370" t="str">
            <v>KA.2120</v>
          </cell>
          <cell r="Q370">
            <v>0</v>
          </cell>
        </row>
        <row r="371">
          <cell r="F371" t="str">
            <v>HA.2313</v>
          </cell>
          <cell r="Q371">
            <v>0</v>
          </cell>
        </row>
        <row r="372">
          <cell r="F372" t="str">
            <v>KA.2120</v>
          </cell>
          <cell r="Q372">
            <v>0</v>
          </cell>
        </row>
        <row r="373">
          <cell r="F373" t="str">
            <v>HA.2113</v>
          </cell>
          <cell r="Q373">
            <v>0</v>
          </cell>
        </row>
        <row r="374">
          <cell r="Q374">
            <v>0</v>
          </cell>
        </row>
        <row r="375">
          <cell r="Q375">
            <v>0</v>
          </cell>
        </row>
        <row r="376">
          <cell r="F376" t="str">
            <v>KA.2310</v>
          </cell>
          <cell r="Q376">
            <v>0</v>
          </cell>
        </row>
        <row r="377">
          <cell r="Q377">
            <v>0</v>
          </cell>
        </row>
        <row r="378">
          <cell r="Q378">
            <v>0</v>
          </cell>
        </row>
        <row r="379">
          <cell r="F379" t="str">
            <v>HA.3213</v>
          </cell>
          <cell r="Q379">
            <v>0</v>
          </cell>
        </row>
        <row r="380">
          <cell r="F380" t="str">
            <v>KA.2310</v>
          </cell>
          <cell r="Q380">
            <v>0</v>
          </cell>
        </row>
        <row r="381">
          <cell r="F381" t="str">
            <v>HA.3113</v>
          </cell>
          <cell r="Q381">
            <v>0</v>
          </cell>
        </row>
        <row r="382">
          <cell r="Q382">
            <v>0</v>
          </cell>
        </row>
        <row r="383">
          <cell r="Q383">
            <v>0</v>
          </cell>
        </row>
        <row r="384">
          <cell r="Q384">
            <v>0</v>
          </cell>
        </row>
        <row r="385">
          <cell r="F385" t="str">
            <v>KA.2210</v>
          </cell>
          <cell r="Q385">
            <v>0</v>
          </cell>
        </row>
        <row r="386">
          <cell r="Q386">
            <v>0</v>
          </cell>
        </row>
        <row r="387">
          <cell r="Q387">
            <v>0</v>
          </cell>
        </row>
        <row r="388">
          <cell r="Q388">
            <v>0</v>
          </cell>
        </row>
        <row r="389">
          <cell r="F389" t="str">
            <v>HA.1111</v>
          </cell>
          <cell r="Q389">
            <v>0</v>
          </cell>
        </row>
        <row r="390">
          <cell r="F390" t="str">
            <v>IA.1110</v>
          </cell>
          <cell r="Q390">
            <v>0</v>
          </cell>
        </row>
        <row r="391">
          <cell r="F391" t="str">
            <v>IA.1120</v>
          </cell>
          <cell r="Q391">
            <v>0</v>
          </cell>
        </row>
        <row r="392">
          <cell r="F392" t="str">
            <v>GG.2214</v>
          </cell>
          <cell r="Q392">
            <v>0</v>
          </cell>
        </row>
        <row r="393">
          <cell r="F393" t="str">
            <v>PA.1214</v>
          </cell>
          <cell r="Q393">
            <v>0</v>
          </cell>
        </row>
        <row r="394">
          <cell r="F394" t="str">
            <v>67/MK-BCN</v>
          </cell>
          <cell r="Q394">
            <v>0</v>
          </cell>
        </row>
        <row r="395">
          <cell r="F395" t="str">
            <v>04.9102/66.BCN</v>
          </cell>
          <cell r="Q395">
            <v>0</v>
          </cell>
        </row>
        <row r="396">
          <cell r="F396" t="str">
            <v>TT</v>
          </cell>
          <cell r="Q396">
            <v>0</v>
          </cell>
        </row>
        <row r="397">
          <cell r="F397" t="str">
            <v>TT</v>
          </cell>
          <cell r="Q397">
            <v>0</v>
          </cell>
        </row>
        <row r="398">
          <cell r="F398" t="str">
            <v>ZJ.2109</v>
          </cell>
          <cell r="Q398">
            <v>0</v>
          </cell>
        </row>
        <row r="399">
          <cell r="F399" t="str">
            <v>ZK.4160X3</v>
          </cell>
          <cell r="Q399">
            <v>0</v>
          </cell>
        </row>
        <row r="400">
          <cell r="F400" t="str">
            <v>BB.1112</v>
          </cell>
          <cell r="Q400">
            <v>0</v>
          </cell>
        </row>
        <row r="401">
          <cell r="F401" t="str">
            <v>VC-03/100</v>
          </cell>
          <cell r="Q401">
            <v>0</v>
          </cell>
        </row>
        <row r="402">
          <cell r="F402" t="str">
            <v>BB.1112</v>
          </cell>
        </row>
        <row r="403">
          <cell r="F403" t="str">
            <v>UD.5122CC</v>
          </cell>
          <cell r="Q403">
            <v>0</v>
          </cell>
        </row>
        <row r="404">
          <cell r="Q404">
            <v>0</v>
          </cell>
        </row>
        <row r="405">
          <cell r="F405" t="str">
            <v>BA.1432</v>
          </cell>
          <cell r="Q405">
            <v>0</v>
          </cell>
        </row>
        <row r="406">
          <cell r="F406" t="str">
            <v>HA.1121SR</v>
          </cell>
          <cell r="Q406">
            <v>0</v>
          </cell>
        </row>
        <row r="407">
          <cell r="F407" t="str">
            <v>KA.1110</v>
          </cell>
          <cell r="Q407">
            <v>0</v>
          </cell>
        </row>
        <row r="408">
          <cell r="Q408">
            <v>0</v>
          </cell>
        </row>
        <row r="409">
          <cell r="Q409">
            <v>0</v>
          </cell>
        </row>
        <row r="410">
          <cell r="F410" t="str">
            <v>HA.1223</v>
          </cell>
          <cell r="Q410">
            <v>0</v>
          </cell>
        </row>
        <row r="411">
          <cell r="Q411">
            <v>0</v>
          </cell>
        </row>
        <row r="412">
          <cell r="Q412">
            <v>0</v>
          </cell>
        </row>
        <row r="413">
          <cell r="F413" t="str">
            <v>KA.1110</v>
          </cell>
          <cell r="Q413">
            <v>0</v>
          </cell>
        </row>
        <row r="414">
          <cell r="Q414">
            <v>0</v>
          </cell>
        </row>
        <row r="415">
          <cell r="Q415">
            <v>0</v>
          </cell>
        </row>
        <row r="416">
          <cell r="F416" t="str">
            <v>HA.2314</v>
          </cell>
          <cell r="Q416">
            <v>0</v>
          </cell>
        </row>
        <row r="417">
          <cell r="Q417">
            <v>0</v>
          </cell>
        </row>
        <row r="418">
          <cell r="Q418">
            <v>0</v>
          </cell>
        </row>
        <row r="419">
          <cell r="F419" t="str">
            <v>KA.2120</v>
          </cell>
          <cell r="Q419">
            <v>0</v>
          </cell>
        </row>
        <row r="420">
          <cell r="Q420">
            <v>0</v>
          </cell>
        </row>
        <row r="421">
          <cell r="Q421">
            <v>0</v>
          </cell>
        </row>
        <row r="422">
          <cell r="F422" t="str">
            <v>HA.2113</v>
          </cell>
          <cell r="Q422">
            <v>0</v>
          </cell>
        </row>
        <row r="423">
          <cell r="F423" t="str">
            <v>KA.2310</v>
          </cell>
          <cell r="Q423">
            <v>0</v>
          </cell>
        </row>
        <row r="424">
          <cell r="F424" t="str">
            <v>HA.3213</v>
          </cell>
          <cell r="Q424">
            <v>0</v>
          </cell>
        </row>
        <row r="425">
          <cell r="F425" t="str">
            <v>KA.2310</v>
          </cell>
          <cell r="Q425">
            <v>0</v>
          </cell>
        </row>
        <row r="426">
          <cell r="F426" t="str">
            <v>HA.3114</v>
          </cell>
          <cell r="Q426">
            <v>0</v>
          </cell>
        </row>
        <row r="427">
          <cell r="Q427">
            <v>0</v>
          </cell>
        </row>
        <row r="428">
          <cell r="Q428">
            <v>0</v>
          </cell>
        </row>
        <row r="429">
          <cell r="Q429">
            <v>0</v>
          </cell>
        </row>
        <row r="430">
          <cell r="F430" t="str">
            <v>KA.2210</v>
          </cell>
          <cell r="Q430">
            <v>0</v>
          </cell>
        </row>
        <row r="431">
          <cell r="Q431">
            <v>0</v>
          </cell>
        </row>
        <row r="432">
          <cell r="Q432">
            <v>0</v>
          </cell>
        </row>
        <row r="433">
          <cell r="Q433">
            <v>0</v>
          </cell>
        </row>
        <row r="434">
          <cell r="F434" t="str">
            <v>HA.1111</v>
          </cell>
          <cell r="Q434">
            <v>0</v>
          </cell>
        </row>
        <row r="435">
          <cell r="F435" t="str">
            <v>IA.1110</v>
          </cell>
          <cell r="Q435">
            <v>0</v>
          </cell>
        </row>
        <row r="436">
          <cell r="F436" t="str">
            <v>IA.1120</v>
          </cell>
          <cell r="Q436">
            <v>0</v>
          </cell>
        </row>
        <row r="437">
          <cell r="F437" t="str">
            <v>GG.2214</v>
          </cell>
          <cell r="Q437">
            <v>0</v>
          </cell>
        </row>
        <row r="438">
          <cell r="F438" t="str">
            <v>PA.1214</v>
          </cell>
          <cell r="Q438">
            <v>0</v>
          </cell>
        </row>
        <row r="439">
          <cell r="F439" t="str">
            <v>67/MK-BCN</v>
          </cell>
          <cell r="Q439">
            <v>0</v>
          </cell>
        </row>
        <row r="440">
          <cell r="F440" t="str">
            <v>66/QÑ-BCN</v>
          </cell>
          <cell r="Q440">
            <v>0</v>
          </cell>
        </row>
        <row r="441">
          <cell r="F441" t="str">
            <v>TT</v>
          </cell>
          <cell r="Q441">
            <v>0</v>
          </cell>
        </row>
        <row r="442">
          <cell r="F442" t="str">
            <v>TT</v>
          </cell>
          <cell r="Q442">
            <v>0</v>
          </cell>
        </row>
        <row r="443">
          <cell r="F443" t="str">
            <v>ZJ.2109</v>
          </cell>
          <cell r="Q443">
            <v>0</v>
          </cell>
        </row>
        <row r="444">
          <cell r="F444" t="str">
            <v>UD.5122CC</v>
          </cell>
          <cell r="Q444">
            <v>0</v>
          </cell>
        </row>
        <row r="445">
          <cell r="Q445">
            <v>0</v>
          </cell>
        </row>
        <row r="446">
          <cell r="F446" t="str">
            <v>BA.1412</v>
          </cell>
          <cell r="Q446">
            <v>0</v>
          </cell>
        </row>
        <row r="447">
          <cell r="F447" t="str">
            <v>HA.1111SR</v>
          </cell>
          <cell r="Q447">
            <v>0</v>
          </cell>
        </row>
        <row r="448">
          <cell r="F448" t="str">
            <v>HA.1111SR</v>
          </cell>
          <cell r="Q448">
            <v>0</v>
          </cell>
        </row>
        <row r="449">
          <cell r="F449" t="str">
            <v>HA.1213</v>
          </cell>
          <cell r="Q449">
            <v>0</v>
          </cell>
        </row>
        <row r="450">
          <cell r="F450" t="str">
            <v>KA.1220</v>
          </cell>
          <cell r="Q450">
            <v>0</v>
          </cell>
        </row>
        <row r="451">
          <cell r="F451" t="str">
            <v>KA.1220</v>
          </cell>
          <cell r="Q451">
            <v>0</v>
          </cell>
        </row>
        <row r="452">
          <cell r="F452" t="str">
            <v>IA.1110</v>
          </cell>
          <cell r="Q452">
            <v>0</v>
          </cell>
        </row>
        <row r="453">
          <cell r="F453" t="str">
            <v>IA.1120</v>
          </cell>
          <cell r="Q453">
            <v>0</v>
          </cell>
        </row>
        <row r="454">
          <cell r="F454" t="str">
            <v>BA.1432</v>
          </cell>
          <cell r="Q454">
            <v>0</v>
          </cell>
        </row>
        <row r="455">
          <cell r="F455" t="str">
            <v>HA.1111SR</v>
          </cell>
          <cell r="Q455">
            <v>0</v>
          </cell>
        </row>
        <row r="456">
          <cell r="F456" t="str">
            <v>HA.1213</v>
          </cell>
          <cell r="Q456">
            <v>0</v>
          </cell>
        </row>
        <row r="457">
          <cell r="F457" t="str">
            <v>KA.1220</v>
          </cell>
          <cell r="Q457">
            <v>0</v>
          </cell>
        </row>
        <row r="458">
          <cell r="Q458">
            <v>0</v>
          </cell>
        </row>
        <row r="459">
          <cell r="Q459">
            <v>0</v>
          </cell>
        </row>
        <row r="460">
          <cell r="Q460">
            <v>0</v>
          </cell>
        </row>
        <row r="461">
          <cell r="F461" t="str">
            <v>IA.1110</v>
          </cell>
          <cell r="Q461">
            <v>0</v>
          </cell>
        </row>
        <row r="462">
          <cell r="F462" t="str">
            <v>RA.1215</v>
          </cell>
          <cell r="Q462">
            <v>0</v>
          </cell>
        </row>
        <row r="463">
          <cell r="F463" t="str">
            <v>BB.1112</v>
          </cell>
          <cell r="Q463">
            <v>0</v>
          </cell>
        </row>
        <row r="464">
          <cell r="F464" t="str">
            <v>NA.1530</v>
          </cell>
          <cell r="Q464">
            <v>0</v>
          </cell>
        </row>
        <row r="465">
          <cell r="F465" t="str">
            <v>NA.1610SR</v>
          </cell>
          <cell r="Q465">
            <v>0</v>
          </cell>
        </row>
        <row r="466">
          <cell r="F466" t="str">
            <v>TT</v>
          </cell>
          <cell r="Q466">
            <v>0</v>
          </cell>
        </row>
        <row r="467">
          <cell r="F467" t="str">
            <v>NB.3110</v>
          </cell>
          <cell r="Q467">
            <v>0</v>
          </cell>
        </row>
        <row r="468">
          <cell r="F468" t="str">
            <v>UC.2230R</v>
          </cell>
          <cell r="Q468">
            <v>0</v>
          </cell>
        </row>
        <row r="469">
          <cell r="F469" t="str">
            <v>UC.2230</v>
          </cell>
          <cell r="Q469">
            <v>0</v>
          </cell>
        </row>
        <row r="470">
          <cell r="Q470">
            <v>0</v>
          </cell>
        </row>
        <row r="471">
          <cell r="F471" t="str">
            <v>BA.1433</v>
          </cell>
          <cell r="Q471">
            <v>0</v>
          </cell>
        </row>
        <row r="472">
          <cell r="F472" t="str">
            <v>HA.1111SR</v>
          </cell>
          <cell r="Q472">
            <v>0</v>
          </cell>
        </row>
        <row r="473">
          <cell r="F473" t="str">
            <v>HA.1213</v>
          </cell>
          <cell r="Q473">
            <v>0</v>
          </cell>
        </row>
        <row r="474">
          <cell r="F474" t="str">
            <v>KA.1220</v>
          </cell>
          <cell r="Q474">
            <v>0</v>
          </cell>
        </row>
        <row r="475">
          <cell r="Q475">
            <v>0</v>
          </cell>
        </row>
        <row r="476">
          <cell r="Q476">
            <v>0</v>
          </cell>
        </row>
        <row r="477">
          <cell r="F477" t="str">
            <v>IA.1110</v>
          </cell>
          <cell r="Q477">
            <v>0</v>
          </cell>
        </row>
        <row r="478">
          <cell r="F478" t="str">
            <v>IA.1120</v>
          </cell>
          <cell r="Q478">
            <v>0</v>
          </cell>
        </row>
        <row r="479">
          <cell r="F479" t="str">
            <v>67/BL-BCN</v>
          </cell>
          <cell r="Q479">
            <v>0</v>
          </cell>
        </row>
        <row r="480">
          <cell r="F480" t="str">
            <v>RA.1215</v>
          </cell>
          <cell r="Q480">
            <v>0</v>
          </cell>
        </row>
        <row r="481">
          <cell r="F481" t="str">
            <v>BB.1113</v>
          </cell>
          <cell r="Q481">
            <v>0</v>
          </cell>
        </row>
        <row r="482">
          <cell r="Q482">
            <v>0</v>
          </cell>
        </row>
        <row r="483">
          <cell r="F483" t="str">
            <v>BA.1412</v>
          </cell>
          <cell r="Q483">
            <v>0</v>
          </cell>
        </row>
        <row r="484">
          <cell r="Q484">
            <v>0</v>
          </cell>
        </row>
        <row r="485">
          <cell r="Q485">
            <v>0</v>
          </cell>
        </row>
        <row r="486">
          <cell r="Q486">
            <v>0</v>
          </cell>
        </row>
        <row r="487">
          <cell r="Q487">
            <v>0</v>
          </cell>
        </row>
        <row r="488">
          <cell r="F488" t="str">
            <v>HA.1111SR</v>
          </cell>
          <cell r="Q488">
            <v>0</v>
          </cell>
        </row>
        <row r="489">
          <cell r="Q489">
            <v>0</v>
          </cell>
        </row>
        <row r="490">
          <cell r="Q490">
            <v>0</v>
          </cell>
        </row>
        <row r="491">
          <cell r="Q491">
            <v>0</v>
          </cell>
        </row>
        <row r="492">
          <cell r="Q492">
            <v>0</v>
          </cell>
        </row>
        <row r="493">
          <cell r="F493" t="str">
            <v>HA.1111SR</v>
          </cell>
          <cell r="Q493">
            <v>0</v>
          </cell>
        </row>
        <row r="494">
          <cell r="Q494">
            <v>0</v>
          </cell>
        </row>
        <row r="495">
          <cell r="Q495">
            <v>0</v>
          </cell>
        </row>
        <row r="496">
          <cell r="F496" t="str">
            <v>HA.1213</v>
          </cell>
          <cell r="Q496">
            <v>0</v>
          </cell>
        </row>
        <row r="497">
          <cell r="F497" t="str">
            <v>HA.1213</v>
          </cell>
          <cell r="Q497">
            <v>0</v>
          </cell>
        </row>
        <row r="498">
          <cell r="Q498">
            <v>0</v>
          </cell>
        </row>
        <row r="499">
          <cell r="Q499">
            <v>0</v>
          </cell>
        </row>
        <row r="500">
          <cell r="F500" t="str">
            <v>KA.1220</v>
          </cell>
          <cell r="Q500">
            <v>0</v>
          </cell>
        </row>
        <row r="501">
          <cell r="Q501">
            <v>0</v>
          </cell>
        </row>
        <row r="502">
          <cell r="Q502">
            <v>0</v>
          </cell>
        </row>
        <row r="503">
          <cell r="Q503">
            <v>0</v>
          </cell>
        </row>
        <row r="504">
          <cell r="Q504">
            <v>0</v>
          </cell>
        </row>
        <row r="505">
          <cell r="F505" t="str">
            <v>KA.1220</v>
          </cell>
          <cell r="Q505">
            <v>0</v>
          </cell>
        </row>
        <row r="506">
          <cell r="Q506">
            <v>0</v>
          </cell>
        </row>
        <row r="507">
          <cell r="Q507">
            <v>0</v>
          </cell>
        </row>
        <row r="508">
          <cell r="Q508">
            <v>0</v>
          </cell>
        </row>
        <row r="509">
          <cell r="F509" t="str">
            <v>HA.3113</v>
          </cell>
          <cell r="Q509">
            <v>0</v>
          </cell>
        </row>
        <row r="510">
          <cell r="F510" t="str">
            <v>KA.2120</v>
          </cell>
          <cell r="Q510">
            <v>0</v>
          </cell>
        </row>
        <row r="511">
          <cell r="F511" t="str">
            <v>HA.3113</v>
          </cell>
          <cell r="Q511">
            <v>0</v>
          </cell>
        </row>
        <row r="512">
          <cell r="Q512">
            <v>0</v>
          </cell>
        </row>
        <row r="513">
          <cell r="Q513">
            <v>0</v>
          </cell>
        </row>
        <row r="514">
          <cell r="Q514">
            <v>0</v>
          </cell>
        </row>
        <row r="515">
          <cell r="Q515">
            <v>0</v>
          </cell>
        </row>
        <row r="516">
          <cell r="F516" t="str">
            <v>KA.2120</v>
          </cell>
          <cell r="Q516">
            <v>0</v>
          </cell>
        </row>
        <row r="517">
          <cell r="Q517">
            <v>0</v>
          </cell>
        </row>
        <row r="518">
          <cell r="Q518">
            <v>0</v>
          </cell>
        </row>
        <row r="519">
          <cell r="Q519">
            <v>0</v>
          </cell>
        </row>
        <row r="520">
          <cell r="F520">
            <v>0</v>
          </cell>
          <cell r="Q520">
            <v>0</v>
          </cell>
        </row>
        <row r="521">
          <cell r="F521" t="str">
            <v>IA.1130</v>
          </cell>
          <cell r="Q521">
            <v>0</v>
          </cell>
        </row>
        <row r="522">
          <cell r="F522" t="str">
            <v>IA.1130</v>
          </cell>
          <cell r="Q522">
            <v>0</v>
          </cell>
        </row>
        <row r="523">
          <cell r="F523" t="str">
            <v>RA.1215</v>
          </cell>
          <cell r="Q523">
            <v>0</v>
          </cell>
        </row>
        <row r="524">
          <cell r="F524" t="str">
            <v>GG.2114</v>
          </cell>
          <cell r="Q524">
            <v>0</v>
          </cell>
        </row>
        <row r="525">
          <cell r="F525" t="str">
            <v>PA.1214</v>
          </cell>
          <cell r="Q525">
            <v>0</v>
          </cell>
        </row>
        <row r="526">
          <cell r="F526" t="str">
            <v>UB.1110</v>
          </cell>
          <cell r="Q526">
            <v>0</v>
          </cell>
        </row>
        <row r="527">
          <cell r="F527" t="str">
            <v>UC.3110</v>
          </cell>
          <cell r="Q527">
            <v>0</v>
          </cell>
        </row>
        <row r="528">
          <cell r="F528" t="str">
            <v>BA.1512</v>
          </cell>
          <cell r="Q528">
            <v>0</v>
          </cell>
        </row>
        <row r="529">
          <cell r="F529" t="str">
            <v>ZJ.7275</v>
          </cell>
          <cell r="Q529">
            <v>0</v>
          </cell>
        </row>
        <row r="530">
          <cell r="F530" t="str">
            <v>BB.1112</v>
          </cell>
          <cell r="Q530">
            <v>0</v>
          </cell>
        </row>
        <row r="531">
          <cell r="F531" t="str">
            <v>NA.1530</v>
          </cell>
        </row>
        <row r="532">
          <cell r="F532" t="str">
            <v>NA.1610SR</v>
          </cell>
        </row>
        <row r="533">
          <cell r="F533" t="str">
            <v>TT</v>
          </cell>
        </row>
        <row r="534">
          <cell r="F534" t="str">
            <v>NB.3110</v>
          </cell>
        </row>
        <row r="535">
          <cell r="F535" t="str">
            <v>UC.2230R</v>
          </cell>
        </row>
        <row r="536">
          <cell r="F536" t="str">
            <v>UC.2230</v>
          </cell>
        </row>
        <row r="537">
          <cell r="Q537">
            <v>0</v>
          </cell>
        </row>
        <row r="538">
          <cell r="F538" t="str">
            <v>BD.1312</v>
          </cell>
          <cell r="Q538">
            <v>6.97</v>
          </cell>
        </row>
        <row r="539">
          <cell r="F539" t="str">
            <v>BB.1212</v>
          </cell>
          <cell r="Q539">
            <v>400</v>
          </cell>
        </row>
        <row r="540">
          <cell r="F540" t="str">
            <v>TT</v>
          </cell>
          <cell r="Q540">
            <v>520</v>
          </cell>
        </row>
        <row r="541">
          <cell r="F541" t="str">
            <v>BK.5112</v>
          </cell>
          <cell r="Q541">
            <v>40.229999999999997</v>
          </cell>
        </row>
        <row r="542">
          <cell r="F542" t="str">
            <v>B13-4/CÑ79/12</v>
          </cell>
          <cell r="Q542">
            <v>295</v>
          </cell>
        </row>
        <row r="543">
          <cell r="F543" t="str">
            <v>B3-13e/CÑ79/12</v>
          </cell>
          <cell r="Q543">
            <v>0.2</v>
          </cell>
        </row>
        <row r="544">
          <cell r="F544" t="str">
            <v>ZJ.7272</v>
          </cell>
          <cell r="Q544">
            <v>0.55000000000000004</v>
          </cell>
        </row>
        <row r="545">
          <cell r="F545" t="str">
            <v>VB.4111</v>
          </cell>
          <cell r="Q545">
            <v>0</v>
          </cell>
        </row>
        <row r="546">
          <cell r="F546" t="str">
            <v>TT</v>
          </cell>
          <cell r="Q546">
            <v>0</v>
          </cell>
        </row>
        <row r="547">
          <cell r="Q547">
            <v>0</v>
          </cell>
        </row>
        <row r="548">
          <cell r="Q548">
            <v>0</v>
          </cell>
        </row>
        <row r="549">
          <cell r="F549" t="str">
            <v>BA.1442</v>
          </cell>
          <cell r="Q549">
            <v>15.310156250000002</v>
          </cell>
        </row>
        <row r="550">
          <cell r="F550" t="str">
            <v>HA.1111SR</v>
          </cell>
          <cell r="Q550">
            <v>0.33750000000000002</v>
          </cell>
        </row>
        <row r="551">
          <cell r="F551" t="str">
            <v>HA.1213</v>
          </cell>
          <cell r="Q551">
            <v>1.2675000000000001</v>
          </cell>
        </row>
        <row r="552">
          <cell r="F552" t="str">
            <v>KA.1220</v>
          </cell>
          <cell r="Q552">
            <v>4.8000000000000008E-2</v>
          </cell>
        </row>
        <row r="553">
          <cell r="Q553">
            <v>9.0000000000000011E-3</v>
          </cell>
        </row>
        <row r="554">
          <cell r="Q554">
            <v>3.9000000000000007E-2</v>
          </cell>
        </row>
        <row r="555">
          <cell r="F555" t="str">
            <v>HA.2313</v>
          </cell>
          <cell r="Q555">
            <v>0.98549999999999982</v>
          </cell>
        </row>
        <row r="556">
          <cell r="F556" t="str">
            <v>KA.2120</v>
          </cell>
          <cell r="Q556">
            <v>0.13139999999999999</v>
          </cell>
        </row>
        <row r="557">
          <cell r="F557" t="str">
            <v>IA.2311</v>
          </cell>
          <cell r="Q557">
            <v>1.566E-2</v>
          </cell>
        </row>
        <row r="558">
          <cell r="F558" t="str">
            <v>IA.2321</v>
          </cell>
          <cell r="Q558">
            <v>0.19496999999999998</v>
          </cell>
        </row>
        <row r="559">
          <cell r="F559" t="str">
            <v>PA.1214</v>
          </cell>
          <cell r="Q559">
            <v>10.35</v>
          </cell>
        </row>
        <row r="560">
          <cell r="Q560">
            <v>10.08</v>
          </cell>
        </row>
        <row r="561">
          <cell r="Q561">
            <v>0.27</v>
          </cell>
        </row>
        <row r="562">
          <cell r="F562" t="str">
            <v>UB.1110</v>
          </cell>
          <cell r="Q562">
            <v>0</v>
          </cell>
        </row>
        <row r="563">
          <cell r="F563" t="str">
            <v>UC.3110</v>
          </cell>
          <cell r="Q563">
            <v>0</v>
          </cell>
        </row>
        <row r="564">
          <cell r="F564" t="str">
            <v>BB.1111</v>
          </cell>
          <cell r="Q564">
            <v>0</v>
          </cell>
        </row>
        <row r="565">
          <cell r="F565" t="str">
            <v>NA.1530</v>
          </cell>
          <cell r="Q565">
            <v>0.33868999999999999</v>
          </cell>
        </row>
        <row r="566">
          <cell r="F566" t="str">
            <v>NB.3110</v>
          </cell>
          <cell r="Q566">
            <v>0</v>
          </cell>
        </row>
        <row r="567">
          <cell r="F567" t="str">
            <v>TT</v>
          </cell>
          <cell r="Q567">
            <v>0</v>
          </cell>
        </row>
        <row r="568">
          <cell r="F568" t="str">
            <v>TT</v>
          </cell>
          <cell r="Q568">
            <v>0</v>
          </cell>
        </row>
        <row r="569">
          <cell r="F569" t="str">
            <v>TT</v>
          </cell>
          <cell r="Q569">
            <v>0</v>
          </cell>
        </row>
        <row r="570">
          <cell r="Q570">
            <v>0</v>
          </cell>
        </row>
        <row r="571">
          <cell r="F571" t="str">
            <v>BA.1312</v>
          </cell>
          <cell r="Q571">
            <v>0</v>
          </cell>
        </row>
        <row r="572">
          <cell r="Q572">
            <v>14.665875000000003</v>
          </cell>
        </row>
        <row r="573">
          <cell r="Q573">
            <v>193.24265625000001</v>
          </cell>
        </row>
        <row r="574">
          <cell r="Q574">
            <v>24.345562500000003</v>
          </cell>
        </row>
        <row r="575">
          <cell r="Q575">
            <v>21.208000000000002</v>
          </cell>
        </row>
        <row r="576">
          <cell r="F576" t="str">
            <v>HA.1111SR</v>
          </cell>
          <cell r="Q576">
            <v>0</v>
          </cell>
        </row>
        <row r="577">
          <cell r="Q577">
            <v>0.28799999999999998</v>
          </cell>
        </row>
        <row r="578">
          <cell r="Q578">
            <v>3.2160000000000002</v>
          </cell>
        </row>
        <row r="579">
          <cell r="Q579">
            <v>0.504</v>
          </cell>
        </row>
        <row r="580">
          <cell r="F580" t="str">
            <v>HA.1213</v>
          </cell>
          <cell r="Q580">
            <v>0</v>
          </cell>
        </row>
        <row r="581">
          <cell r="Q581">
            <v>0.6</v>
          </cell>
        </row>
        <row r="582">
          <cell r="Q582">
            <v>6.0299999999999994</v>
          </cell>
        </row>
        <row r="583">
          <cell r="Q583">
            <v>1.08</v>
          </cell>
        </row>
        <row r="584">
          <cell r="F584" t="str">
            <v>KA.1220</v>
          </cell>
          <cell r="Q584">
            <v>0</v>
          </cell>
        </row>
        <row r="585">
          <cell r="Q585">
            <v>9.5999999999999992E-3</v>
          </cell>
        </row>
        <row r="586">
          <cell r="Q586">
            <v>0.13400000000000001</v>
          </cell>
        </row>
        <row r="587">
          <cell r="Q587">
            <v>1.5599999999999996E-2</v>
          </cell>
        </row>
        <row r="588">
          <cell r="F588" t="str">
            <v>KA.1220</v>
          </cell>
          <cell r="Q588">
            <v>0</v>
          </cell>
        </row>
        <row r="589">
          <cell r="Q589">
            <v>2.4E-2</v>
          </cell>
        </row>
        <row r="590">
          <cell r="Q590">
            <v>0.3216</v>
          </cell>
        </row>
        <row r="591">
          <cell r="Q591">
            <v>3.9599999999999996E-2</v>
          </cell>
        </row>
        <row r="592">
          <cell r="F592" t="str">
            <v>HA.3113</v>
          </cell>
          <cell r="Q592">
            <v>8.636000000000001</v>
          </cell>
        </row>
        <row r="593">
          <cell r="F593" t="str">
            <v>KA.2510</v>
          </cell>
          <cell r="Q593">
            <v>0</v>
          </cell>
        </row>
        <row r="594">
          <cell r="F594" t="str">
            <v>IA.2311</v>
          </cell>
          <cell r="Q594">
            <v>0.13038999999999998</v>
          </cell>
        </row>
        <row r="595">
          <cell r="F595" t="str">
            <v>IA.2321</v>
          </cell>
          <cell r="Q595">
            <v>0.55161000000000004</v>
          </cell>
        </row>
        <row r="596">
          <cell r="F596" t="str">
            <v>GG.2114</v>
          </cell>
          <cell r="Q596">
            <v>15.113</v>
          </cell>
        </row>
        <row r="597">
          <cell r="F597" t="str">
            <v>PA.1214</v>
          </cell>
          <cell r="Q597">
            <v>323.84999999999997</v>
          </cell>
        </row>
        <row r="598">
          <cell r="F598" t="str">
            <v>UB.1110</v>
          </cell>
          <cell r="Q598">
            <v>323.84999999999997</v>
          </cell>
        </row>
        <row r="599">
          <cell r="F599" t="str">
            <v>UC.3110</v>
          </cell>
          <cell r="Q599">
            <v>323.84999999999997</v>
          </cell>
        </row>
        <row r="600">
          <cell r="F600" t="str">
            <v>BB.1111</v>
          </cell>
          <cell r="Q600">
            <v>0</v>
          </cell>
        </row>
        <row r="601">
          <cell r="F601" t="str">
            <v>NA.1530</v>
          </cell>
          <cell r="Q601">
            <v>5.4208800000000004</v>
          </cell>
        </row>
        <row r="602">
          <cell r="F602" t="str">
            <v>NB.3110</v>
          </cell>
          <cell r="Q602">
            <v>0</v>
          </cell>
        </row>
        <row r="603">
          <cell r="F603" t="str">
            <v>UC.2230</v>
          </cell>
          <cell r="Q603">
            <v>0</v>
          </cell>
        </row>
        <row r="604">
          <cell r="F604" t="str">
            <v>UC.2230</v>
          </cell>
          <cell r="Q604">
            <v>0</v>
          </cell>
        </row>
        <row r="605">
          <cell r="Q605">
            <v>0</v>
          </cell>
        </row>
        <row r="606">
          <cell r="F606" t="str">
            <v>.2230_x0002_TT_x0008__x0007_NB.3110_x0007_UC.2230_x0007_UC.22	HA.1121SR	HA.1121SR_x0007_HA.1223_x0007_KA.1220</v>
          </cell>
          <cell r="Q606">
            <v>0</v>
          </cell>
        </row>
        <row r="607">
          <cell r="F607" t="str">
            <v>BA.1442</v>
          </cell>
          <cell r="Q607">
            <v>29.647479166666667</v>
          </cell>
        </row>
        <row r="608">
          <cell r="F608" t="str">
            <v>HA.1121SR</v>
          </cell>
          <cell r="Q608">
            <v>0.79900000000000004</v>
          </cell>
        </row>
        <row r="609">
          <cell r="F609" t="str">
            <v>HA.1223</v>
          </cell>
          <cell r="Q609">
            <v>4.05</v>
          </cell>
        </row>
        <row r="610">
          <cell r="F610" t="str">
            <v>KA.1220</v>
          </cell>
          <cell r="Q610">
            <v>0</v>
          </cell>
        </row>
        <row r="611">
          <cell r="Q611">
            <v>1.2800000000000002E-2</v>
          </cell>
        </row>
        <row r="612">
          <cell r="Q612">
            <v>7.1999999999999995E-2</v>
          </cell>
        </row>
        <row r="613">
          <cell r="F613" t="str">
            <v>HA.2333</v>
          </cell>
          <cell r="Q613">
            <v>2.2931999999999997</v>
          </cell>
        </row>
        <row r="614">
          <cell r="F614" t="str">
            <v>KA.2120</v>
          </cell>
          <cell r="Q614">
            <v>0.13103999999999999</v>
          </cell>
        </row>
        <row r="615">
          <cell r="F615" t="str">
            <v>IA.1110</v>
          </cell>
          <cell r="Q615">
            <v>4.2340000000000003E-2</v>
          </cell>
        </row>
        <row r="616">
          <cell r="F616" t="str">
            <v>IA.1120</v>
          </cell>
          <cell r="Q616">
            <v>0.37439999999999996</v>
          </cell>
        </row>
        <row r="617">
          <cell r="F617" t="str">
            <v>TT</v>
          </cell>
          <cell r="Q617">
            <v>54.4</v>
          </cell>
        </row>
        <row r="618">
          <cell r="F618" t="str">
            <v>RA.1215</v>
          </cell>
          <cell r="Q618">
            <v>1.9599999999999997</v>
          </cell>
        </row>
        <row r="619">
          <cell r="F619" t="str">
            <v>BB.1112</v>
          </cell>
          <cell r="Q619">
            <v>0</v>
          </cell>
        </row>
        <row r="620">
          <cell r="Q620">
            <v>0</v>
          </cell>
        </row>
        <row r="621">
          <cell r="F621" t="str">
            <v>BA.1442</v>
          </cell>
          <cell r="Q621">
            <v>39.472041666666669</v>
          </cell>
        </row>
        <row r="622">
          <cell r="F622" t="str">
            <v>HA.1121SR</v>
          </cell>
          <cell r="Q622">
            <v>0.71250000000000002</v>
          </cell>
        </row>
        <row r="623">
          <cell r="F623" t="str">
            <v>HA.1223</v>
          </cell>
          <cell r="Q623">
            <v>3.7949999999999995</v>
          </cell>
        </row>
        <row r="624">
          <cell r="F624" t="str">
            <v>KA.1220</v>
          </cell>
          <cell r="Q624">
            <v>0</v>
          </cell>
        </row>
        <row r="625">
          <cell r="Q625">
            <v>8.199999999999999E-3</v>
          </cell>
        </row>
        <row r="626">
          <cell r="Q626">
            <v>4.6799999999999994E-2</v>
          </cell>
        </row>
        <row r="627">
          <cell r="F627" t="str">
            <v>HA.2333</v>
          </cell>
          <cell r="Q627">
            <v>1.4405999999999999</v>
          </cell>
        </row>
        <row r="628">
          <cell r="F628" t="str">
            <v>KA.2120</v>
          </cell>
          <cell r="Q628">
            <v>8.231999999999999E-2</v>
          </cell>
        </row>
        <row r="629">
          <cell r="F629" t="str">
            <v>IA.1110</v>
          </cell>
          <cell r="Q629">
            <v>2.3280000000000002E-2</v>
          </cell>
        </row>
        <row r="630">
          <cell r="F630" t="str">
            <v>IA.1120</v>
          </cell>
          <cell r="Q630">
            <v>0.29837000000000002</v>
          </cell>
        </row>
        <row r="631">
          <cell r="F631" t="str">
            <v>TT</v>
          </cell>
          <cell r="Q631">
            <v>38.159999999999997</v>
          </cell>
        </row>
        <row r="632">
          <cell r="F632" t="str">
            <v>RA.1215</v>
          </cell>
          <cell r="Q632">
            <v>0.97999999999999987</v>
          </cell>
        </row>
        <row r="633">
          <cell r="F633" t="str">
            <v>BB.1112</v>
          </cell>
          <cell r="Q633">
            <v>0</v>
          </cell>
        </row>
        <row r="634">
          <cell r="Q634">
            <v>0</v>
          </cell>
        </row>
        <row r="635">
          <cell r="F635" t="str">
            <v>BA.1442</v>
          </cell>
          <cell r="Q635">
            <v>94.153645833333343</v>
          </cell>
        </row>
        <row r="636">
          <cell r="F636" t="str">
            <v>HA.1111SR</v>
          </cell>
          <cell r="Q636">
            <v>7.6799999999999988</v>
          </cell>
        </row>
        <row r="637">
          <cell r="F637" t="str">
            <v>HA.1213</v>
          </cell>
          <cell r="Q637">
            <v>23.519999999999996</v>
          </cell>
        </row>
        <row r="638">
          <cell r="F638" t="str">
            <v>KA.1220</v>
          </cell>
          <cell r="Q638">
            <v>0</v>
          </cell>
        </row>
        <row r="639">
          <cell r="Q639">
            <v>0.192</v>
          </cell>
        </row>
        <row r="640">
          <cell r="Q640">
            <v>0.67199999999999993</v>
          </cell>
        </row>
        <row r="641">
          <cell r="F641" t="str">
            <v>HA.2333</v>
          </cell>
          <cell r="Q641">
            <v>6.4008000000000003</v>
          </cell>
        </row>
        <row r="642">
          <cell r="F642" t="str">
            <v>KA.2120</v>
          </cell>
          <cell r="Q642">
            <v>0.42671999999999999</v>
          </cell>
        </row>
        <row r="643">
          <cell r="F643" t="str">
            <v>IA.1130</v>
          </cell>
          <cell r="Q643">
            <v>0.378</v>
          </cell>
        </row>
        <row r="644">
          <cell r="F644" t="str">
            <v>IA.1130</v>
          </cell>
          <cell r="Q644">
            <v>3.5802</v>
          </cell>
        </row>
        <row r="645">
          <cell r="F645" t="str">
            <v>TT</v>
          </cell>
          <cell r="Q645">
            <v>816</v>
          </cell>
        </row>
        <row r="646">
          <cell r="F646" t="str">
            <v>RA.1215</v>
          </cell>
          <cell r="Q646">
            <v>21.599999999999998</v>
          </cell>
        </row>
        <row r="647">
          <cell r="F647" t="str">
            <v>BB.1112</v>
          </cell>
          <cell r="Q647">
            <v>475.89062500000011</v>
          </cell>
        </row>
        <row r="648">
          <cell r="Q648">
            <v>0</v>
          </cell>
        </row>
        <row r="649">
          <cell r="F649" t="str">
            <v>67/QÑ-BCN</v>
          </cell>
          <cell r="Q649">
            <v>0</v>
          </cell>
        </row>
        <row r="650">
          <cell r="Q650">
            <v>4.1360799999999998</v>
          </cell>
        </row>
        <row r="651">
          <cell r="Q651">
            <v>2.0072E-2</v>
          </cell>
        </row>
        <row r="652">
          <cell r="Q652">
            <v>2.2048000000000002E-2</v>
          </cell>
        </row>
        <row r="653">
          <cell r="Q653">
            <v>5.3508000000000007E-2</v>
          </cell>
        </row>
        <row r="654">
          <cell r="F654" t="str">
            <v>67/QÑ-BCN</v>
          </cell>
          <cell r="Q654">
            <v>0</v>
          </cell>
        </row>
        <row r="655">
          <cell r="Q655">
            <v>5.1116000000000001</v>
          </cell>
        </row>
        <row r="656">
          <cell r="Q656">
            <v>2.0072E-2</v>
          </cell>
        </row>
        <row r="657">
          <cell r="Q657">
            <v>2.2048000000000002E-2</v>
          </cell>
        </row>
        <row r="658">
          <cell r="Q658">
            <v>7.3892000000000013E-2</v>
          </cell>
        </row>
        <row r="659">
          <cell r="F659" t="str">
            <v>67/QÑ-BCN</v>
          </cell>
          <cell r="Q659">
            <v>0</v>
          </cell>
        </row>
        <row r="660">
          <cell r="Q660">
            <v>0</v>
          </cell>
        </row>
        <row r="661">
          <cell r="Q661">
            <v>0</v>
          </cell>
        </row>
        <row r="662">
          <cell r="Q662">
            <v>0</v>
          </cell>
        </row>
        <row r="663">
          <cell r="Q663">
            <v>0</v>
          </cell>
        </row>
        <row r="664">
          <cell r="F664" t="str">
            <v>66/QÑ-BCN</v>
          </cell>
          <cell r="Q664">
            <v>0</v>
          </cell>
        </row>
        <row r="665">
          <cell r="Q665">
            <v>0</v>
          </cell>
        </row>
        <row r="666">
          <cell r="F666" t="str">
            <v>BA.1442</v>
          </cell>
          <cell r="Q666">
            <v>0</v>
          </cell>
        </row>
        <row r="667">
          <cell r="F667" t="str">
            <v>HA.1111SR</v>
          </cell>
          <cell r="Q667">
            <v>0</v>
          </cell>
        </row>
        <row r="668">
          <cell r="F668" t="str">
            <v>HA.1213</v>
          </cell>
          <cell r="Q668">
            <v>0</v>
          </cell>
        </row>
        <row r="669">
          <cell r="F669" t="str">
            <v>KA.1220</v>
          </cell>
          <cell r="Q669">
            <v>0</v>
          </cell>
        </row>
        <row r="670">
          <cell r="Q670">
            <v>0</v>
          </cell>
        </row>
        <row r="671">
          <cell r="Q671">
            <v>0</v>
          </cell>
        </row>
        <row r="672">
          <cell r="F672" t="str">
            <v>HA.2333</v>
          </cell>
          <cell r="Q672">
            <v>0</v>
          </cell>
        </row>
        <row r="673">
          <cell r="F673" t="str">
            <v>KA.2120</v>
          </cell>
          <cell r="Q673">
            <v>0</v>
          </cell>
        </row>
        <row r="674">
          <cell r="F674" t="str">
            <v>IA.1110</v>
          </cell>
          <cell r="Q674">
            <v>0</v>
          </cell>
        </row>
        <row r="675">
          <cell r="F675" t="str">
            <v>IA.1120</v>
          </cell>
          <cell r="Q675">
            <v>0</v>
          </cell>
        </row>
        <row r="676">
          <cell r="F676" t="str">
            <v>TT</v>
          </cell>
          <cell r="Q676">
            <v>0</v>
          </cell>
        </row>
        <row r="677">
          <cell r="F677" t="str">
            <v>RA.1215</v>
          </cell>
          <cell r="Q677">
            <v>0</v>
          </cell>
        </row>
        <row r="678">
          <cell r="Q678">
            <v>0</v>
          </cell>
        </row>
        <row r="679">
          <cell r="F679" t="str">
            <v>BA.1442</v>
          </cell>
          <cell r="Q679">
            <v>11.171448750000003</v>
          </cell>
        </row>
        <row r="680">
          <cell r="F680" t="str">
            <v>HA.1111SR</v>
          </cell>
          <cell r="Q680">
            <v>0.33265500000000009</v>
          </cell>
        </row>
        <row r="681">
          <cell r="F681" t="str">
            <v>HA.1213</v>
          </cell>
          <cell r="Q681">
            <v>1.12582</v>
          </cell>
        </row>
        <row r="682">
          <cell r="F682" t="str">
            <v>KA.1220</v>
          </cell>
          <cell r="Q682">
            <v>0</v>
          </cell>
        </row>
        <row r="683">
          <cell r="Q683">
            <v>5.3200000000000001E-3</v>
          </cell>
        </row>
        <row r="684">
          <cell r="Q684">
            <v>1.968E-2</v>
          </cell>
        </row>
        <row r="685">
          <cell r="F685" t="str">
            <v>HA.2333</v>
          </cell>
          <cell r="Q685">
            <v>0.40739999999999998</v>
          </cell>
        </row>
        <row r="686">
          <cell r="F686" t="str">
            <v>KA.2120</v>
          </cell>
          <cell r="Q686">
            <v>3.2980000000000002E-2</v>
          </cell>
        </row>
        <row r="687">
          <cell r="F687" t="str">
            <v>IA.1110</v>
          </cell>
          <cell r="Q687">
            <v>0.12494</v>
          </cell>
        </row>
        <row r="688">
          <cell r="F688" t="str">
            <v>TT</v>
          </cell>
          <cell r="Q688">
            <v>11.16</v>
          </cell>
        </row>
        <row r="689">
          <cell r="F689" t="str">
            <v>RA.1215</v>
          </cell>
          <cell r="Q689">
            <v>0.42</v>
          </cell>
        </row>
        <row r="690">
          <cell r="F690" t="str">
            <v>BB.1111</v>
          </cell>
          <cell r="Q690">
            <v>0</v>
          </cell>
        </row>
        <row r="691">
          <cell r="F691" t="str">
            <v>67/QÑ-BCN</v>
          </cell>
          <cell r="Q691">
            <v>0</v>
          </cell>
        </row>
        <row r="692">
          <cell r="Q692">
            <v>0.20044999999999999</v>
          </cell>
        </row>
        <row r="693">
          <cell r="Q693">
            <v>0.28488000000000002</v>
          </cell>
        </row>
        <row r="694">
          <cell r="Q694">
            <v>2.7264000000000004E-3</v>
          </cell>
        </row>
        <row r="695">
          <cell r="Q695">
            <v>2.9780000000000002E-3</v>
          </cell>
        </row>
        <row r="696">
          <cell r="Q696">
            <v>1.5407999999999999E-3</v>
          </cell>
        </row>
        <row r="697">
          <cell r="Q697">
            <v>6.2111999999999992E-3</v>
          </cell>
        </row>
        <row r="698">
          <cell r="Q698">
            <v>1.2672E-3</v>
          </cell>
        </row>
        <row r="699">
          <cell r="F699" t="str">
            <v>66/QÑ-BCN</v>
          </cell>
          <cell r="Q699">
            <v>0</v>
          </cell>
        </row>
        <row r="700">
          <cell r="Q700">
            <v>0</v>
          </cell>
        </row>
        <row r="701">
          <cell r="F701" t="str">
            <v>BA.1442</v>
          </cell>
          <cell r="Q701">
            <v>0</v>
          </cell>
        </row>
        <row r="702">
          <cell r="F702" t="str">
            <v>HA.1111SR</v>
          </cell>
          <cell r="Q702">
            <v>0</v>
          </cell>
        </row>
        <row r="703">
          <cell r="F703" t="str">
            <v>HA.1213</v>
          </cell>
          <cell r="Q703">
            <v>0</v>
          </cell>
        </row>
        <row r="704">
          <cell r="F704" t="str">
            <v>KA.1220</v>
          </cell>
          <cell r="Q704">
            <v>0</v>
          </cell>
        </row>
        <row r="705">
          <cell r="Q705">
            <v>0</v>
          </cell>
        </row>
        <row r="706">
          <cell r="Q706">
            <v>0</v>
          </cell>
        </row>
        <row r="707">
          <cell r="F707" t="str">
            <v>HA.2333</v>
          </cell>
          <cell r="Q707">
            <v>0</v>
          </cell>
        </row>
        <row r="708">
          <cell r="F708" t="str">
            <v>KA.2120</v>
          </cell>
          <cell r="Q708">
            <v>0</v>
          </cell>
        </row>
        <row r="709">
          <cell r="F709" t="str">
            <v>IA.1130</v>
          </cell>
          <cell r="Q709">
            <v>0</v>
          </cell>
        </row>
        <row r="710">
          <cell r="F710" t="str">
            <v>IA.1130</v>
          </cell>
          <cell r="Q710">
            <v>0</v>
          </cell>
        </row>
        <row r="711">
          <cell r="F711" t="str">
            <v>TT</v>
          </cell>
          <cell r="Q711">
            <v>0</v>
          </cell>
        </row>
        <row r="712">
          <cell r="F712" t="str">
            <v>RA.1215</v>
          </cell>
          <cell r="Q712">
            <v>0</v>
          </cell>
        </row>
        <row r="713">
          <cell r="F713" t="str">
            <v>BB.1111</v>
          </cell>
          <cell r="Q713">
            <v>0</v>
          </cell>
        </row>
        <row r="714">
          <cell r="Q714">
            <v>0</v>
          </cell>
        </row>
        <row r="715">
          <cell r="F715" t="str">
            <v>BA.1442</v>
          </cell>
          <cell r="Q715">
            <v>509.57698353333342</v>
          </cell>
        </row>
        <row r="716">
          <cell r="F716" t="str">
            <v>HA.1121SR</v>
          </cell>
          <cell r="Q716">
            <v>4.3680000000000012</v>
          </cell>
        </row>
        <row r="717">
          <cell r="F717" t="str">
            <v>HA.1223</v>
          </cell>
          <cell r="Q717">
            <v>32</v>
          </cell>
        </row>
        <row r="718">
          <cell r="F718" t="str">
            <v>KA.1220</v>
          </cell>
          <cell r="Q718">
            <v>0</v>
          </cell>
        </row>
        <row r="719">
          <cell r="Q719">
            <v>3.7600000000000001E-2</v>
          </cell>
        </row>
        <row r="720">
          <cell r="Q720">
            <v>0.28800000000000003</v>
          </cell>
        </row>
        <row r="721">
          <cell r="F721" t="str">
            <v>HA.2333</v>
          </cell>
          <cell r="Q721">
            <v>21.330000000000002</v>
          </cell>
        </row>
        <row r="722">
          <cell r="F722" t="str">
            <v>KA.2120</v>
          </cell>
          <cell r="Q722">
            <v>0.56879999999999997</v>
          </cell>
        </row>
        <row r="723">
          <cell r="F723" t="str">
            <v>IA.1130</v>
          </cell>
          <cell r="Q723">
            <v>0.48704000000000003</v>
          </cell>
        </row>
        <row r="724">
          <cell r="F724" t="str">
            <v>IA.1130</v>
          </cell>
          <cell r="Q724">
            <v>2.2308400000000002</v>
          </cell>
        </row>
        <row r="725">
          <cell r="F725" t="str">
            <v>IA.1130</v>
          </cell>
          <cell r="Q725">
            <v>0.99199999999999999</v>
          </cell>
        </row>
        <row r="726">
          <cell r="F726" t="str">
            <v>TT</v>
          </cell>
          <cell r="Q726">
            <v>723.2</v>
          </cell>
        </row>
        <row r="727">
          <cell r="F727" t="str">
            <v>RA.1215</v>
          </cell>
          <cell r="Q727">
            <v>9</v>
          </cell>
        </row>
        <row r="728">
          <cell r="F728" t="str">
            <v>BB.1112</v>
          </cell>
          <cell r="Q728">
            <v>509.57698353333342</v>
          </cell>
        </row>
        <row r="729">
          <cell r="F729" t="str">
            <v>CA.2213</v>
          </cell>
          <cell r="Q729">
            <v>64</v>
          </cell>
        </row>
        <row r="730">
          <cell r="F730" t="str">
            <v>BB.1111</v>
          </cell>
          <cell r="Q730">
            <v>17.472000000000005</v>
          </cell>
        </row>
        <row r="731">
          <cell r="Q731">
            <v>0</v>
          </cell>
        </row>
        <row r="732">
          <cell r="F732" t="str">
            <v>BA.1442</v>
          </cell>
          <cell r="Q732">
            <v>146.88400243333336</v>
          </cell>
        </row>
        <row r="733">
          <cell r="F733" t="str">
            <v>HA.1121SR</v>
          </cell>
          <cell r="Q733">
            <v>1.5540000000000003</v>
          </cell>
        </row>
        <row r="734">
          <cell r="F734" t="str">
            <v>HA.1223</v>
          </cell>
          <cell r="Q734">
            <v>11.200000000000001</v>
          </cell>
        </row>
        <row r="735">
          <cell r="F735" t="str">
            <v>KA.1220</v>
          </cell>
          <cell r="Q735">
            <v>0</v>
          </cell>
        </row>
        <row r="736">
          <cell r="Q736">
            <v>1.5800000000000002E-2</v>
          </cell>
        </row>
        <row r="737">
          <cell r="Q737">
            <v>0.12</v>
          </cell>
        </row>
        <row r="738">
          <cell r="F738" t="str">
            <v>HA.2333</v>
          </cell>
          <cell r="Q738">
            <v>8.4150000000000009</v>
          </cell>
        </row>
        <row r="739">
          <cell r="F739" t="str">
            <v>KA.2120</v>
          </cell>
          <cell r="Q739">
            <v>0.22440000000000002</v>
          </cell>
        </row>
        <row r="740">
          <cell r="F740" t="str">
            <v>IA.1110</v>
          </cell>
          <cell r="Q740">
            <v>0.19059999999999999</v>
          </cell>
        </row>
        <row r="741">
          <cell r="F741" t="str">
            <v>IA.1120</v>
          </cell>
          <cell r="Q741">
            <v>0.78483999999999998</v>
          </cell>
        </row>
        <row r="742">
          <cell r="F742" t="str">
            <v>IA.1130</v>
          </cell>
          <cell r="Q742">
            <v>0.41599999999999998</v>
          </cell>
        </row>
        <row r="743">
          <cell r="F743" t="str">
            <v>TT</v>
          </cell>
          <cell r="Q743">
            <v>361.6</v>
          </cell>
        </row>
        <row r="744">
          <cell r="F744" t="str">
            <v>RA.1215</v>
          </cell>
          <cell r="Q744">
            <v>4.5</v>
          </cell>
        </row>
        <row r="745">
          <cell r="F745" t="str">
            <v>BB.1111</v>
          </cell>
          <cell r="Q745">
            <v>146.88400243333336</v>
          </cell>
        </row>
        <row r="746">
          <cell r="F746" t="str">
            <v>CA.2213</v>
          </cell>
          <cell r="Q746">
            <v>22.400000000000002</v>
          </cell>
        </row>
        <row r="747">
          <cell r="F747" t="str">
            <v>BB.1111</v>
          </cell>
          <cell r="Q747">
            <v>6.2160000000000011</v>
          </cell>
        </row>
        <row r="748">
          <cell r="Q748">
            <v>0</v>
          </cell>
        </row>
        <row r="749">
          <cell r="F749" t="str">
            <v>67/QÑ-BCN</v>
          </cell>
          <cell r="Q749">
            <v>0</v>
          </cell>
        </row>
        <row r="750">
          <cell r="Q750">
            <v>2.564E-2</v>
          </cell>
        </row>
        <row r="751">
          <cell r="Q751">
            <v>0.56279999999999997</v>
          </cell>
        </row>
        <row r="752">
          <cell r="Q752">
            <v>2.6257300000000003</v>
          </cell>
        </row>
        <row r="753">
          <cell r="Q753">
            <v>5.5036700000000005</v>
          </cell>
        </row>
        <row r="754">
          <cell r="Q754">
            <v>2.1024599999999998</v>
          </cell>
        </row>
        <row r="755">
          <cell r="Q755">
            <v>0.180169</v>
          </cell>
        </row>
        <row r="756">
          <cell r="Q756">
            <v>7.4496000000000007E-2</v>
          </cell>
        </row>
        <row r="757">
          <cell r="Q757">
            <v>9.3799999999999994E-2</v>
          </cell>
        </row>
        <row r="758">
          <cell r="F758" t="str">
            <v>66/QÑ-BCN</v>
          </cell>
          <cell r="Q758">
            <v>0</v>
          </cell>
        </row>
        <row r="759">
          <cell r="Q759">
            <v>0</v>
          </cell>
        </row>
        <row r="760">
          <cell r="F760" t="str">
            <v>BA.1442</v>
          </cell>
          <cell r="Q760">
            <v>33.207687499999999</v>
          </cell>
        </row>
        <row r="761">
          <cell r="F761" t="str">
            <v>HA.1111SR</v>
          </cell>
          <cell r="Q761">
            <v>0.67500000000000004</v>
          </cell>
        </row>
        <row r="762">
          <cell r="F762" t="str">
            <v>HA.1213</v>
          </cell>
          <cell r="Q762">
            <v>2.0280000000000005</v>
          </cell>
        </row>
        <row r="763">
          <cell r="F763" t="str">
            <v>KA.1220</v>
          </cell>
          <cell r="Q763">
            <v>0</v>
          </cell>
        </row>
        <row r="764">
          <cell r="Q764">
            <v>1.8000000000000002E-2</v>
          </cell>
        </row>
        <row r="765">
          <cell r="Q765">
            <v>6.2399999999999997E-2</v>
          </cell>
        </row>
        <row r="766">
          <cell r="F766" t="str">
            <v>HA.2333</v>
          </cell>
          <cell r="Q766">
            <v>1.7549999999999999</v>
          </cell>
        </row>
        <row r="767">
          <cell r="F767" t="str">
            <v>KA.2120</v>
          </cell>
          <cell r="Q767">
            <v>0.14039999999999997</v>
          </cell>
        </row>
        <row r="768">
          <cell r="F768" t="str">
            <v>IA.1110</v>
          </cell>
          <cell r="Q768">
            <v>4.4580000000000002E-2</v>
          </cell>
        </row>
        <row r="769">
          <cell r="F769" t="str">
            <v>IA.1120</v>
          </cell>
          <cell r="Q769">
            <v>0.29879999999999995</v>
          </cell>
        </row>
        <row r="770">
          <cell r="F770" t="str">
            <v>TT</v>
          </cell>
          <cell r="Q770">
            <v>44.64</v>
          </cell>
        </row>
        <row r="771">
          <cell r="F771" t="str">
            <v>RA.1215</v>
          </cell>
          <cell r="Q771">
            <v>1.5</v>
          </cell>
        </row>
        <row r="772">
          <cell r="F772" t="str">
            <v>BB.1111</v>
          </cell>
          <cell r="Q772">
            <v>33.207687499999999</v>
          </cell>
        </row>
        <row r="773">
          <cell r="F773" t="str">
            <v>ZJ.7272</v>
          </cell>
          <cell r="Q773">
            <v>0.06</v>
          </cell>
        </row>
        <row r="774">
          <cell r="Q774">
            <v>0</v>
          </cell>
        </row>
        <row r="775">
          <cell r="F775" t="str">
            <v>BA.1442</v>
          </cell>
          <cell r="Q775">
            <v>8.7437812499999996</v>
          </cell>
        </row>
        <row r="776">
          <cell r="F776" t="str">
            <v>HA.1111SR</v>
          </cell>
          <cell r="Q776">
            <v>0.16200000000000003</v>
          </cell>
        </row>
        <row r="777">
          <cell r="F777" t="str">
            <v>HA.1213</v>
          </cell>
          <cell r="Q777">
            <v>0.76800000000000013</v>
          </cell>
        </row>
        <row r="778">
          <cell r="F778" t="str">
            <v>KA.1220</v>
          </cell>
          <cell r="Q778">
            <v>0</v>
          </cell>
        </row>
        <row r="779">
          <cell r="Q779">
            <v>3.6000000000000003E-3</v>
          </cell>
        </row>
        <row r="780">
          <cell r="Q780">
            <v>1.9199999999999998E-2</v>
          </cell>
        </row>
        <row r="781">
          <cell r="F781" t="str">
            <v>HA.2333</v>
          </cell>
          <cell r="Q781">
            <v>0.35392500000000005</v>
          </cell>
        </row>
        <row r="782">
          <cell r="F782" t="str">
            <v>KA.2120</v>
          </cell>
          <cell r="Q782">
            <v>2.5739999999999999E-2</v>
          </cell>
        </row>
        <row r="783">
          <cell r="F783" t="str">
            <v>IA.1110</v>
          </cell>
          <cell r="Q783">
            <v>6.6100000000000004E-3</v>
          </cell>
        </row>
        <row r="784">
          <cell r="F784" t="str">
            <v>IA.1120</v>
          </cell>
          <cell r="Q784">
            <v>9.0660000000000004E-2</v>
          </cell>
        </row>
        <row r="785">
          <cell r="F785" t="str">
            <v>TT</v>
          </cell>
          <cell r="Q785">
            <v>8.9600000000000009</v>
          </cell>
        </row>
        <row r="786">
          <cell r="F786" t="str">
            <v>RA.1215</v>
          </cell>
          <cell r="Q786">
            <v>0.30250000000000005</v>
          </cell>
        </row>
        <row r="787">
          <cell r="F787" t="str">
            <v>BB.1111</v>
          </cell>
          <cell r="Q787">
            <v>8.7437812499999996</v>
          </cell>
        </row>
        <row r="788">
          <cell r="Q788">
            <v>0</v>
          </cell>
        </row>
        <row r="789">
          <cell r="F789" t="str">
            <v>67/QÑ-BCN</v>
          </cell>
          <cell r="Q789">
            <v>0</v>
          </cell>
        </row>
        <row r="790">
          <cell r="Q790">
            <v>0.13841999999999999</v>
          </cell>
        </row>
        <row r="791">
          <cell r="Q791">
            <v>1.4760000000000001E-3</v>
          </cell>
        </row>
        <row r="792">
          <cell r="Q792">
            <v>4.5440000000000004E-4</v>
          </cell>
        </row>
        <row r="793">
          <cell r="Q793">
            <v>3.5632000000000003E-3</v>
          </cell>
        </row>
        <row r="794">
          <cell r="Q794">
            <v>1.1496E-3</v>
          </cell>
        </row>
        <row r="795">
          <cell r="Q795">
            <v>2.7456000000000001E-2</v>
          </cell>
        </row>
        <row r="796">
          <cell r="F796" t="str">
            <v>66/QÑ-BCN</v>
          </cell>
          <cell r="Q796">
            <v>0</v>
          </cell>
        </row>
        <row r="797">
          <cell r="Q797">
            <v>0</v>
          </cell>
        </row>
        <row r="798">
          <cell r="Q798">
            <v>0</v>
          </cell>
        </row>
        <row r="799">
          <cell r="Q799">
            <v>0</v>
          </cell>
        </row>
        <row r="800">
          <cell r="F800" t="str">
            <v>BA.1442</v>
          </cell>
          <cell r="Q800">
            <v>11.605999999999998</v>
          </cell>
        </row>
        <row r="801">
          <cell r="F801" t="str">
            <v>HA.1111SR</v>
          </cell>
          <cell r="Q801">
            <v>0.12149999999999998</v>
          </cell>
        </row>
        <row r="802">
          <cell r="F802" t="str">
            <v>HA.1213</v>
          </cell>
          <cell r="Q802">
            <v>0.29399999999999998</v>
          </cell>
        </row>
        <row r="803">
          <cell r="F803" t="str">
            <v>KA.1220</v>
          </cell>
          <cell r="Q803">
            <v>0</v>
          </cell>
        </row>
        <row r="804">
          <cell r="Q804">
            <v>5.4000000000000003E-3</v>
          </cell>
        </row>
        <row r="805">
          <cell r="Q805">
            <v>1.6799999999999995E-2</v>
          </cell>
        </row>
        <row r="806">
          <cell r="F806" t="str">
            <v>HA.2313</v>
          </cell>
          <cell r="Q806">
            <v>0.13200000000000003</v>
          </cell>
        </row>
        <row r="807">
          <cell r="F807" t="str">
            <v>KA.2120</v>
          </cell>
          <cell r="Q807">
            <v>2.64E-2</v>
          </cell>
        </row>
        <row r="808">
          <cell r="F808" t="str">
            <v>B3-13e/CÑ79/57C</v>
          </cell>
          <cell r="Q808">
            <v>0.36499999999999999</v>
          </cell>
        </row>
        <row r="809">
          <cell r="Q809">
            <v>0</v>
          </cell>
        </row>
        <row r="810">
          <cell r="F810" t="str">
            <v>BA.1442</v>
          </cell>
          <cell r="Q810">
            <v>38.789333333333332</v>
          </cell>
        </row>
        <row r="811">
          <cell r="F811" t="str">
            <v>HA.1111SR</v>
          </cell>
          <cell r="Q811">
            <v>0.4840000000000001</v>
          </cell>
        </row>
        <row r="812">
          <cell r="F812" t="str">
            <v>HA.1213</v>
          </cell>
          <cell r="Q812">
            <v>1.2960000000000003</v>
          </cell>
        </row>
        <row r="813">
          <cell r="F813" t="str">
            <v>KA.1220</v>
          </cell>
          <cell r="Q813">
            <v>0</v>
          </cell>
        </row>
        <row r="814">
          <cell r="Q814">
            <v>1.7600000000000001E-2</v>
          </cell>
        </row>
        <row r="815">
          <cell r="Q815">
            <v>5.7600000000000005E-2</v>
          </cell>
        </row>
        <row r="816">
          <cell r="F816" t="str">
            <v>HA.2313</v>
          </cell>
          <cell r="Q816">
            <v>0.48000000000000009</v>
          </cell>
        </row>
        <row r="817">
          <cell r="F817" t="str">
            <v>KA.2120</v>
          </cell>
          <cell r="Q817">
            <v>9.6000000000000016E-2</v>
          </cell>
        </row>
        <row r="818">
          <cell r="F818" t="str">
            <v>B3-13e/CÑ79/57C</v>
          </cell>
          <cell r="Q818">
            <v>1.452</v>
          </cell>
        </row>
        <row r="819">
          <cell r="Q819">
            <v>0</v>
          </cell>
        </row>
        <row r="820">
          <cell r="F820" t="str">
            <v>BA.1442</v>
          </cell>
          <cell r="Q820">
            <v>5.9406666666666679</v>
          </cell>
        </row>
        <row r="821">
          <cell r="F821" t="str">
            <v>HA.1111SR</v>
          </cell>
          <cell r="Q821">
            <v>8.450000000000002E-2</v>
          </cell>
        </row>
        <row r="822">
          <cell r="F822" t="str">
            <v>HA.1213</v>
          </cell>
          <cell r="Q822">
            <v>0.27225000000000005</v>
          </cell>
        </row>
        <row r="823">
          <cell r="F823" t="str">
            <v>KA.1220</v>
          </cell>
          <cell r="Q823">
            <v>0</v>
          </cell>
        </row>
        <row r="824">
          <cell r="Q824">
            <v>2.5999999999999999E-3</v>
          </cell>
        </row>
        <row r="825">
          <cell r="Q825">
            <v>9.9000000000000008E-3</v>
          </cell>
        </row>
        <row r="826">
          <cell r="F826" t="str">
            <v>HA.2313</v>
          </cell>
          <cell r="Q826">
            <v>6.0000000000000012E-2</v>
          </cell>
        </row>
        <row r="827">
          <cell r="F827" t="str">
            <v>KA.2120</v>
          </cell>
          <cell r="Q827">
            <v>1.2000000000000002E-2</v>
          </cell>
        </row>
        <row r="828">
          <cell r="F828" t="str">
            <v>B3-13e/CÑ79/57C</v>
          </cell>
          <cell r="Q828">
            <v>0.254</v>
          </cell>
        </row>
        <row r="829">
          <cell r="Q829">
            <v>0</v>
          </cell>
        </row>
        <row r="830">
          <cell r="F830" t="str">
            <v>BA.1442</v>
          </cell>
          <cell r="Q830">
            <v>19.394666666666666</v>
          </cell>
        </row>
        <row r="831">
          <cell r="F831" t="str">
            <v>HA.1111SR</v>
          </cell>
          <cell r="Q831">
            <v>0.24200000000000005</v>
          </cell>
        </row>
        <row r="832">
          <cell r="F832" t="str">
            <v>HA.1213</v>
          </cell>
          <cell r="Q832">
            <v>0.64800000000000013</v>
          </cell>
        </row>
        <row r="833">
          <cell r="F833" t="str">
            <v>KA.1220</v>
          </cell>
          <cell r="Q833">
            <v>0</v>
          </cell>
        </row>
        <row r="834">
          <cell r="Q834">
            <v>8.8000000000000005E-3</v>
          </cell>
        </row>
        <row r="835">
          <cell r="Q835">
            <v>2.8800000000000003E-2</v>
          </cell>
        </row>
        <row r="836">
          <cell r="F836" t="str">
            <v>HA.2313</v>
          </cell>
          <cell r="Q836">
            <v>0.36</v>
          </cell>
        </row>
        <row r="837">
          <cell r="F837" t="str">
            <v>KA.2120</v>
          </cell>
          <cell r="Q837">
            <v>0.06</v>
          </cell>
        </row>
        <row r="838">
          <cell r="F838" t="str">
            <v>B3-13e/CÑ79/57C</v>
          </cell>
          <cell r="Q838">
            <v>0.72599999999999998</v>
          </cell>
        </row>
        <row r="839">
          <cell r="Q839">
            <v>0</v>
          </cell>
        </row>
        <row r="840">
          <cell r="F840" t="str">
            <v>BA.1442</v>
          </cell>
          <cell r="Q840">
            <v>17.822000000000003</v>
          </cell>
        </row>
        <row r="841">
          <cell r="F841" t="str">
            <v>HA.1111SR</v>
          </cell>
          <cell r="Q841">
            <v>0.25350000000000006</v>
          </cell>
        </row>
        <row r="842">
          <cell r="F842" t="str">
            <v>HA.1213</v>
          </cell>
          <cell r="Q842">
            <v>0.81675000000000009</v>
          </cell>
        </row>
        <row r="843">
          <cell r="F843" t="str">
            <v>KA.1220</v>
          </cell>
          <cell r="Q843">
            <v>0</v>
          </cell>
        </row>
        <row r="844">
          <cell r="Q844">
            <v>7.7999999999999996E-3</v>
          </cell>
        </row>
        <row r="845">
          <cell r="Q845">
            <v>2.9700000000000004E-2</v>
          </cell>
        </row>
        <row r="846">
          <cell r="F846" t="str">
            <v>HA.2313</v>
          </cell>
          <cell r="Q846">
            <v>0.27</v>
          </cell>
        </row>
        <row r="847">
          <cell r="F847" t="str">
            <v>KA.2120</v>
          </cell>
          <cell r="Q847">
            <v>4.4999999999999998E-2</v>
          </cell>
        </row>
        <row r="848">
          <cell r="F848" t="str">
            <v>B3-13e/CÑ79/57C</v>
          </cell>
          <cell r="Q848">
            <v>0.76200000000000001</v>
          </cell>
        </row>
        <row r="849">
          <cell r="Q849">
            <v>0</v>
          </cell>
        </row>
        <row r="850">
          <cell r="F850" t="str">
            <v>BA.1442</v>
          </cell>
          <cell r="Q850">
            <v>23.762666666666671</v>
          </cell>
        </row>
        <row r="851">
          <cell r="F851" t="str">
            <v>HA.1111SR</v>
          </cell>
          <cell r="Q851">
            <v>0.33800000000000008</v>
          </cell>
        </row>
        <row r="852">
          <cell r="F852" t="str">
            <v>HA.1213</v>
          </cell>
          <cell r="Q852">
            <v>1.0890000000000002</v>
          </cell>
        </row>
        <row r="853">
          <cell r="F853" t="str">
            <v>KA.1220</v>
          </cell>
          <cell r="Q853">
            <v>0</v>
          </cell>
        </row>
        <row r="854">
          <cell r="Q854">
            <v>1.04E-2</v>
          </cell>
        </row>
        <row r="855">
          <cell r="Q855">
            <v>3.9600000000000003E-2</v>
          </cell>
        </row>
        <row r="856">
          <cell r="F856" t="str">
            <v>HA.2313</v>
          </cell>
          <cell r="Q856">
            <v>0.44999999999999996</v>
          </cell>
        </row>
        <row r="857">
          <cell r="F857" t="str">
            <v>KA.2120</v>
          </cell>
          <cell r="Q857">
            <v>6.6000000000000003E-2</v>
          </cell>
        </row>
        <row r="858">
          <cell r="F858" t="str">
            <v>B3-13e/CÑ79/57C</v>
          </cell>
          <cell r="Q858">
            <v>1.014</v>
          </cell>
        </row>
        <row r="859">
          <cell r="Q859">
            <v>0</v>
          </cell>
        </row>
        <row r="860">
          <cell r="F860" t="str">
            <v>BA.1442</v>
          </cell>
          <cell r="Q860">
            <v>32.573333333333338</v>
          </cell>
        </row>
        <row r="861">
          <cell r="F861" t="str">
            <v>HA.1111SR</v>
          </cell>
          <cell r="Q861">
            <v>0.4875000000000001</v>
          </cell>
        </row>
        <row r="862">
          <cell r="F862" t="str">
            <v>HA.1213</v>
          </cell>
          <cell r="Q862">
            <v>1.6087500000000001</v>
          </cell>
        </row>
        <row r="863">
          <cell r="F863" t="str">
            <v>KA.1220</v>
          </cell>
          <cell r="Q863">
            <v>0</v>
          </cell>
        </row>
        <row r="864">
          <cell r="Q864">
            <v>1.3999999999999999E-2</v>
          </cell>
        </row>
        <row r="865">
          <cell r="Q865">
            <v>5.4000000000000013E-2</v>
          </cell>
        </row>
        <row r="866">
          <cell r="F866" t="str">
            <v>HA.2313</v>
          </cell>
          <cell r="Q866">
            <v>0.46875</v>
          </cell>
        </row>
        <row r="867">
          <cell r="F867" t="str">
            <v>KA.2120</v>
          </cell>
          <cell r="Q867">
            <v>7.4999999999999997E-2</v>
          </cell>
        </row>
        <row r="868">
          <cell r="F868" t="str">
            <v>B3-13e/CÑ79/57C</v>
          </cell>
          <cell r="Q868">
            <v>1.464</v>
          </cell>
        </row>
        <row r="869">
          <cell r="Q869">
            <v>0</v>
          </cell>
        </row>
        <row r="870">
          <cell r="F870" t="str">
            <v>IA.1110</v>
          </cell>
          <cell r="Q870">
            <v>0.15073</v>
          </cell>
        </row>
        <row r="871">
          <cell r="F871" t="str">
            <v>IA.1120</v>
          </cell>
          <cell r="Q871">
            <v>0.70115000000000005</v>
          </cell>
        </row>
        <row r="872">
          <cell r="F872" t="str">
            <v>IA.1130</v>
          </cell>
          <cell r="Q872">
            <v>2.5649999999999999E-2</v>
          </cell>
        </row>
        <row r="873">
          <cell r="Q873">
            <v>0</v>
          </cell>
        </row>
        <row r="874">
          <cell r="F874" t="str">
            <v>HA.2313</v>
          </cell>
          <cell r="Q874">
            <v>0.17750812500000002</v>
          </cell>
        </row>
        <row r="875">
          <cell r="F875" t="str">
            <v>HA.2313</v>
          </cell>
          <cell r="Q875">
            <v>0</v>
          </cell>
        </row>
        <row r="876">
          <cell r="Q876">
            <v>0.11400000000000003</v>
          </cell>
        </row>
        <row r="877">
          <cell r="Q877">
            <v>0.30800000000000005</v>
          </cell>
        </row>
        <row r="878">
          <cell r="Q878">
            <v>0.94560000000000011</v>
          </cell>
        </row>
        <row r="879">
          <cell r="Q879">
            <v>1.1549999999999998</v>
          </cell>
        </row>
        <row r="880">
          <cell r="Q880">
            <v>1.155</v>
          </cell>
        </row>
        <row r="881">
          <cell r="F881" t="str">
            <v>HA.2313</v>
          </cell>
          <cell r="Q881">
            <v>0</v>
          </cell>
        </row>
        <row r="882">
          <cell r="Q882">
            <v>0.48599999999999999</v>
          </cell>
        </row>
        <row r="883">
          <cell r="Q883">
            <v>1.265625</v>
          </cell>
        </row>
        <row r="884">
          <cell r="F884" t="str">
            <v>KA.2120</v>
          </cell>
          <cell r="Q884">
            <v>0</v>
          </cell>
        </row>
        <row r="885">
          <cell r="Q885">
            <v>2.2800000000000001E-2</v>
          </cell>
        </row>
        <row r="886">
          <cell r="Q886">
            <v>6.1600000000000002E-2</v>
          </cell>
        </row>
        <row r="887">
          <cell r="Q887">
            <v>0.18912000000000001</v>
          </cell>
        </row>
        <row r="888">
          <cell r="Q888">
            <v>0.1925</v>
          </cell>
        </row>
        <row r="889">
          <cell r="Q889">
            <v>0.16940000000000002</v>
          </cell>
        </row>
        <row r="890">
          <cell r="Q890">
            <v>8.1000000000000003E-2</v>
          </cell>
        </row>
        <row r="891">
          <cell r="Q891">
            <v>0.20250000000000001</v>
          </cell>
        </row>
        <row r="892">
          <cell r="Q892">
            <v>0</v>
          </cell>
        </row>
        <row r="893">
          <cell r="F893" t="str">
            <v>IA.2211</v>
          </cell>
          <cell r="Q893">
            <v>0.22339999999999999</v>
          </cell>
        </row>
        <row r="894">
          <cell r="F894" t="str">
            <v>IA.2221</v>
          </cell>
          <cell r="Q894">
            <v>0.84001999999999999</v>
          </cell>
        </row>
        <row r="895">
          <cell r="F895" t="str">
            <v>ZJ.1170x2</v>
          </cell>
          <cell r="Q895">
            <v>9.1499999999999998E-2</v>
          </cell>
        </row>
        <row r="896">
          <cell r="Q896">
            <v>0</v>
          </cell>
        </row>
        <row r="897">
          <cell r="F897" t="str">
            <v>HA.3113</v>
          </cell>
          <cell r="Q897">
            <v>0</v>
          </cell>
        </row>
        <row r="898">
          <cell r="Q898">
            <v>0.55600000000000005</v>
          </cell>
        </row>
        <row r="899">
          <cell r="Q899">
            <v>0.222</v>
          </cell>
        </row>
        <row r="900">
          <cell r="Q900">
            <v>0.222</v>
          </cell>
        </row>
        <row r="901">
          <cell r="Q901">
            <v>0.378</v>
          </cell>
        </row>
        <row r="902">
          <cell r="Q902">
            <v>0.39</v>
          </cell>
        </row>
        <row r="903">
          <cell r="Q903">
            <v>0.72399999999999998</v>
          </cell>
        </row>
        <row r="904">
          <cell r="Q904">
            <v>1.2</v>
          </cell>
        </row>
        <row r="905">
          <cell r="Q905">
            <v>1.2</v>
          </cell>
        </row>
        <row r="906">
          <cell r="Q906">
            <v>0.13200000000000001</v>
          </cell>
        </row>
        <row r="907">
          <cell r="Q907">
            <v>0.67200000000000004</v>
          </cell>
        </row>
        <row r="908">
          <cell r="Q908">
            <v>0.27200000000000002</v>
          </cell>
        </row>
        <row r="909">
          <cell r="Q909">
            <v>0.65600000000000003</v>
          </cell>
        </row>
        <row r="910">
          <cell r="Q910">
            <v>0.189</v>
          </cell>
        </row>
        <row r="911">
          <cell r="F911" t="str">
            <v>KA.2120</v>
          </cell>
          <cell r="Q911">
            <v>0</v>
          </cell>
        </row>
        <row r="912">
          <cell r="Q912">
            <v>6.9599999999999995E-2</v>
          </cell>
        </row>
        <row r="913">
          <cell r="Q913">
            <v>3.1200000000000002E-2</v>
          </cell>
        </row>
        <row r="914">
          <cell r="Q914">
            <v>3.1200000000000002E-2</v>
          </cell>
        </row>
        <row r="915">
          <cell r="Q915">
            <v>5.5200000000000006E-2</v>
          </cell>
        </row>
        <row r="916">
          <cell r="Q916">
            <v>5.5200000000000006E-2</v>
          </cell>
        </row>
        <row r="917">
          <cell r="Q917">
            <v>9.3599999999999989E-2</v>
          </cell>
        </row>
        <row r="918">
          <cell r="Q918">
            <v>0.17280000000000001</v>
          </cell>
        </row>
        <row r="919">
          <cell r="Q919">
            <v>0.17280000000000001</v>
          </cell>
        </row>
        <row r="920">
          <cell r="Q920">
            <v>1.9199999999999998E-2</v>
          </cell>
        </row>
        <row r="921">
          <cell r="Q921">
            <v>9.6000000000000016E-2</v>
          </cell>
        </row>
        <row r="922">
          <cell r="Q922">
            <v>4.3200000000000009E-2</v>
          </cell>
        </row>
        <row r="923">
          <cell r="Q923">
            <v>0.1008</v>
          </cell>
        </row>
        <row r="924">
          <cell r="Q924">
            <v>3.2400000000000005E-2</v>
          </cell>
        </row>
        <row r="925">
          <cell r="Q925">
            <v>0</v>
          </cell>
        </row>
        <row r="926">
          <cell r="F926" t="str">
            <v>IA.2311</v>
          </cell>
          <cell r="Q926">
            <v>0.21381</v>
          </cell>
        </row>
        <row r="927">
          <cell r="F927" t="str">
            <v>IA.2321</v>
          </cell>
          <cell r="Q927">
            <v>0.72297999999999996</v>
          </cell>
        </row>
        <row r="928">
          <cell r="F928" t="str">
            <v>IA.2331</v>
          </cell>
          <cell r="Q928">
            <v>2.9100000000000001E-2</v>
          </cell>
        </row>
        <row r="929">
          <cell r="Q929">
            <v>0</v>
          </cell>
        </row>
        <row r="930">
          <cell r="F930" t="str">
            <v>HA.3113</v>
          </cell>
          <cell r="Q930">
            <v>0</v>
          </cell>
        </row>
        <row r="931">
          <cell r="Q931">
            <v>0.69599999999999995</v>
          </cell>
        </row>
        <row r="932">
          <cell r="Q932">
            <v>0.52800000000000002</v>
          </cell>
        </row>
        <row r="933">
          <cell r="Q933">
            <v>0.246</v>
          </cell>
        </row>
        <row r="934">
          <cell r="Q934">
            <v>0.39200000000000002</v>
          </cell>
        </row>
        <row r="935">
          <cell r="Q935">
            <v>0.26400000000000001</v>
          </cell>
        </row>
        <row r="936">
          <cell r="Q936">
            <v>0.249</v>
          </cell>
        </row>
        <row r="937">
          <cell r="Q937">
            <v>0.108</v>
          </cell>
        </row>
        <row r="938">
          <cell r="Q938">
            <v>0.52200000000000002</v>
          </cell>
        </row>
        <row r="939">
          <cell r="Q939">
            <v>0.70199999999999996</v>
          </cell>
        </row>
        <row r="940">
          <cell r="Q940">
            <v>0.39800000000000002</v>
          </cell>
        </row>
        <row r="941">
          <cell r="Q941">
            <v>0.20100000000000001</v>
          </cell>
        </row>
        <row r="942">
          <cell r="Q942">
            <v>0.11600000000000001</v>
          </cell>
        </row>
        <row r="943">
          <cell r="Q943">
            <v>0.156</v>
          </cell>
        </row>
        <row r="944">
          <cell r="F944" t="str">
            <v>KA.2210</v>
          </cell>
          <cell r="Q944">
            <v>0</v>
          </cell>
        </row>
        <row r="945">
          <cell r="Q945">
            <v>7.5600000000000001E-2</v>
          </cell>
        </row>
        <row r="946">
          <cell r="Q946">
            <v>5.16E-2</v>
          </cell>
        </row>
        <row r="947">
          <cell r="Q947">
            <v>2.4000000000000004E-2</v>
          </cell>
        </row>
        <row r="948">
          <cell r="Q948">
            <v>4.5000000000000012E-2</v>
          </cell>
        </row>
        <row r="949">
          <cell r="Q949">
            <v>2.7000000000000003E-2</v>
          </cell>
        </row>
        <row r="950">
          <cell r="Q950">
            <v>2.7000000000000003E-2</v>
          </cell>
        </row>
        <row r="951">
          <cell r="Q951">
            <v>1.6200000000000003E-2</v>
          </cell>
        </row>
        <row r="952">
          <cell r="Q952">
            <v>0</v>
          </cell>
        </row>
        <row r="953">
          <cell r="Q953">
            <v>0</v>
          </cell>
        </row>
        <row r="954">
          <cell r="Q954">
            <v>0</v>
          </cell>
        </row>
        <row r="955">
          <cell r="Q955">
            <v>0</v>
          </cell>
        </row>
        <row r="956">
          <cell r="Q956">
            <v>0</v>
          </cell>
        </row>
        <row r="957">
          <cell r="Q957">
            <v>0</v>
          </cell>
        </row>
        <row r="958">
          <cell r="Q958">
            <v>0</v>
          </cell>
        </row>
        <row r="959">
          <cell r="F959" t="str">
            <v>IA.2311</v>
          </cell>
          <cell r="Q959">
            <v>9.937E-2</v>
          </cell>
        </row>
        <row r="960">
          <cell r="F960" t="str">
            <v>IA.2321</v>
          </cell>
          <cell r="Q960">
            <v>0.42752000000000001</v>
          </cell>
        </row>
        <row r="961">
          <cell r="Q961">
            <v>0</v>
          </cell>
        </row>
        <row r="962">
          <cell r="F962" t="str">
            <v>HA.3213</v>
          </cell>
          <cell r="Q962">
            <v>3.3</v>
          </cell>
        </row>
        <row r="963">
          <cell r="F963" t="str">
            <v>KA.2310</v>
          </cell>
          <cell r="Q963">
            <v>0</v>
          </cell>
        </row>
        <row r="964">
          <cell r="Q964">
            <v>0.33279999999999998</v>
          </cell>
        </row>
        <row r="965">
          <cell r="Q965">
            <v>0.08</v>
          </cell>
        </row>
        <row r="966">
          <cell r="F966" t="str">
            <v>IA.2511</v>
          </cell>
          <cell r="Q966">
            <v>0.28689999999999999</v>
          </cell>
        </row>
        <row r="967">
          <cell r="Q967">
            <v>0</v>
          </cell>
        </row>
        <row r="968">
          <cell r="F968" t="str">
            <v>HA.3113</v>
          </cell>
          <cell r="Q968">
            <v>0</v>
          </cell>
        </row>
        <row r="969">
          <cell r="Q969">
            <v>1.206</v>
          </cell>
        </row>
        <row r="970">
          <cell r="Q970">
            <v>1.206</v>
          </cell>
        </row>
        <row r="971">
          <cell r="Q971">
            <v>1.5680000000000001</v>
          </cell>
        </row>
        <row r="972">
          <cell r="Q972">
            <v>1.206</v>
          </cell>
        </row>
        <row r="973">
          <cell r="Q973">
            <v>0.76700000000000002</v>
          </cell>
        </row>
        <row r="974">
          <cell r="Q974">
            <v>2.2709999999999999</v>
          </cell>
        </row>
        <row r="975">
          <cell r="Q975">
            <v>0.19</v>
          </cell>
        </row>
        <row r="976">
          <cell r="Q976">
            <v>1.1779999999999999</v>
          </cell>
        </row>
        <row r="977">
          <cell r="Q977">
            <v>1.1779999999999999</v>
          </cell>
        </row>
        <row r="978">
          <cell r="Q978">
            <v>0.92800000000000005</v>
          </cell>
        </row>
        <row r="979">
          <cell r="F979" t="str">
            <v>KA.2210</v>
          </cell>
          <cell r="Q979">
            <v>0</v>
          </cell>
        </row>
        <row r="980">
          <cell r="Q980">
            <v>0.12960000000000002</v>
          </cell>
        </row>
        <row r="981">
          <cell r="Q981">
            <v>0.12960000000000002</v>
          </cell>
        </row>
        <row r="982">
          <cell r="Q982">
            <v>0.16848000000000002</v>
          </cell>
        </row>
        <row r="983">
          <cell r="Q983">
            <v>5.4000000000000006E-2</v>
          </cell>
        </row>
        <row r="984">
          <cell r="Q984">
            <v>8.6999999999999994E-2</v>
          </cell>
        </row>
        <row r="985">
          <cell r="Q985">
            <v>0.26100000000000001</v>
          </cell>
        </row>
        <row r="986">
          <cell r="Q986">
            <v>2.3399999999999997E-2</v>
          </cell>
        </row>
        <row r="987">
          <cell r="Q987">
            <v>0.1404</v>
          </cell>
        </row>
        <row r="988">
          <cell r="Q988">
            <v>0.1404</v>
          </cell>
        </row>
        <row r="989">
          <cell r="Q989">
            <v>0.11699999999999999</v>
          </cell>
        </row>
        <row r="990">
          <cell r="Q990">
            <v>0</v>
          </cell>
        </row>
        <row r="991">
          <cell r="F991" t="str">
            <v>IA.2311</v>
          </cell>
          <cell r="Q991">
            <v>0.20530000000000001</v>
          </cell>
        </row>
        <row r="992">
          <cell r="F992" t="str">
            <v>IA.2321</v>
          </cell>
          <cell r="Q992">
            <v>1.11334</v>
          </cell>
        </row>
        <row r="993">
          <cell r="F993" t="str">
            <v>IA.2331</v>
          </cell>
          <cell r="Q993">
            <v>2.4170000000000001E-2</v>
          </cell>
        </row>
        <row r="994">
          <cell r="Q994">
            <v>0</v>
          </cell>
        </row>
        <row r="995">
          <cell r="F995" t="str">
            <v>HA.3213</v>
          </cell>
          <cell r="Q995">
            <v>34.130000000000003</v>
          </cell>
        </row>
        <row r="996">
          <cell r="F996" t="str">
            <v>KA.2310</v>
          </cell>
          <cell r="Q996">
            <v>0</v>
          </cell>
        </row>
        <row r="997">
          <cell r="Q997">
            <v>2.5251999999999999</v>
          </cell>
        </row>
        <row r="998">
          <cell r="Q998">
            <v>0.33</v>
          </cell>
        </row>
        <row r="999">
          <cell r="F999" t="str">
            <v>IA.2531</v>
          </cell>
          <cell r="Q999">
            <v>2.37643</v>
          </cell>
        </row>
        <row r="1000">
          <cell r="Q1000">
            <v>0</v>
          </cell>
        </row>
        <row r="1001">
          <cell r="F1001" t="str">
            <v>BA.1412</v>
          </cell>
          <cell r="Q1001">
            <v>0</v>
          </cell>
        </row>
        <row r="1002">
          <cell r="F1002" t="str">
            <v>BA.1412</v>
          </cell>
          <cell r="Q1002">
            <v>36.587238716666668</v>
          </cell>
        </row>
        <row r="1003">
          <cell r="Q1003">
            <v>1.0506666666666669</v>
          </cell>
        </row>
        <row r="1004">
          <cell r="F1004" t="str">
            <v>HA.1111SR</v>
          </cell>
          <cell r="Q1004">
            <v>0</v>
          </cell>
        </row>
        <row r="1005">
          <cell r="Q1005">
            <v>0.33800000000000008</v>
          </cell>
        </row>
        <row r="1006">
          <cell r="Q1006">
            <v>7.1500000000000008E-2</v>
          </cell>
        </row>
        <row r="1007">
          <cell r="F1007" t="str">
            <v>KA.1110</v>
          </cell>
          <cell r="Q1007">
            <v>0</v>
          </cell>
        </row>
        <row r="1008">
          <cell r="Q1008">
            <v>5.1999999999999998E-3</v>
          </cell>
        </row>
        <row r="1009">
          <cell r="Q1009">
            <v>2.4000000000000007E-3</v>
          </cell>
        </row>
        <row r="1010">
          <cell r="F1010" t="str">
            <v>HA.3313</v>
          </cell>
          <cell r="Q1010">
            <v>0</v>
          </cell>
        </row>
        <row r="1011">
          <cell r="Q1011">
            <v>1.1519999999999999</v>
          </cell>
        </row>
        <row r="1012">
          <cell r="Q1012">
            <v>0.22000000000000003</v>
          </cell>
        </row>
        <row r="1013">
          <cell r="F1013" t="str">
            <v>KA.1110</v>
          </cell>
          <cell r="Q1013">
            <v>0</v>
          </cell>
        </row>
        <row r="1014">
          <cell r="Q1014">
            <v>1.9199999999999998E-2</v>
          </cell>
        </row>
        <row r="1015">
          <cell r="Q1015">
            <v>8.4000000000000012E-3</v>
          </cell>
        </row>
        <row r="1016">
          <cell r="F1016" t="str">
            <v>IA.2511</v>
          </cell>
          <cell r="Q1016">
            <v>4.5050000000000007E-2</v>
          </cell>
        </row>
        <row r="1017">
          <cell r="F1017" t="str">
            <v>HG.4113</v>
          </cell>
          <cell r="Q1017">
            <v>0</v>
          </cell>
        </row>
        <row r="1018">
          <cell r="Q1018">
            <v>0.2772</v>
          </cell>
        </row>
        <row r="1019">
          <cell r="Q1019">
            <v>4.8999999999999995E-2</v>
          </cell>
        </row>
        <row r="1020">
          <cell r="Q1020">
            <v>6.0840000000000005E-2</v>
          </cell>
        </row>
        <row r="1021">
          <cell r="F1021" t="str">
            <v>KP.2310</v>
          </cell>
          <cell r="Q1021">
            <v>0</v>
          </cell>
        </row>
        <row r="1022">
          <cell r="Q1022">
            <v>2.4720000000000002E-2</v>
          </cell>
        </row>
        <row r="1023">
          <cell r="Q1023">
            <v>2.7999999999999995E-3</v>
          </cell>
        </row>
        <row r="1024">
          <cell r="Q1024">
            <v>3.1200000000000004E-3</v>
          </cell>
        </row>
        <row r="1025">
          <cell r="F1025" t="str">
            <v>IA.3511</v>
          </cell>
          <cell r="Q1025">
            <v>2.6269999999999998E-2</v>
          </cell>
        </row>
        <row r="1026">
          <cell r="F1026" t="str">
            <v>09-09</v>
          </cell>
          <cell r="Q1026">
            <v>196</v>
          </cell>
        </row>
        <row r="1027">
          <cell r="F1027" t="str">
            <v>HA.3113</v>
          </cell>
          <cell r="Q1027">
            <v>0.45</v>
          </cell>
        </row>
        <row r="1028">
          <cell r="F1028" t="str">
            <v>KA.2210</v>
          </cell>
          <cell r="Q1028">
            <v>0</v>
          </cell>
        </row>
        <row r="1029">
          <cell r="F1029" t="str">
            <v>IA.2311</v>
          </cell>
          <cell r="Q1029">
            <v>1.9609999999999999E-2</v>
          </cell>
        </row>
        <row r="1030">
          <cell r="F1030" t="str">
            <v>GG.2214</v>
          </cell>
          <cell r="Q1030">
            <v>0</v>
          </cell>
        </row>
        <row r="1031">
          <cell r="Q1031">
            <v>3.4980000000000011</v>
          </cell>
        </row>
        <row r="1032">
          <cell r="Q1032">
            <v>0.13299999999999998</v>
          </cell>
        </row>
        <row r="1033">
          <cell r="F1033" t="str">
            <v>PA.1214</v>
          </cell>
          <cell r="Q1033">
            <v>0</v>
          </cell>
        </row>
        <row r="1034">
          <cell r="F1034" t="str">
            <v>RB.2125</v>
          </cell>
          <cell r="Q1034">
            <v>3.1200000000000006</v>
          </cell>
        </row>
        <row r="1035">
          <cell r="F1035" t="str">
            <v>TT</v>
          </cell>
          <cell r="Q1035">
            <v>1</v>
          </cell>
        </row>
        <row r="1036">
          <cell r="Q1036">
            <v>0</v>
          </cell>
        </row>
        <row r="1037">
          <cell r="F1037" t="str">
            <v>ZI.2110</v>
          </cell>
          <cell r="Q1037">
            <v>1</v>
          </cell>
        </row>
        <row r="1038">
          <cell r="F1038" t="str">
            <v>ZI.1110</v>
          </cell>
          <cell r="Q1038">
            <v>1</v>
          </cell>
        </row>
        <row r="1039">
          <cell r="F1039" t="str">
            <v>ZI.3110</v>
          </cell>
          <cell r="Q1039">
            <v>1</v>
          </cell>
        </row>
        <row r="1040">
          <cell r="F1040" t="str">
            <v>ZI.6140</v>
          </cell>
          <cell r="Q1040">
            <v>1</v>
          </cell>
        </row>
        <row r="1041">
          <cell r="F1041" t="str">
            <v>ZI.6110</v>
          </cell>
          <cell r="Q1041">
            <v>1</v>
          </cell>
        </row>
        <row r="1042">
          <cell r="F1042" t="str">
            <v>ZI.8110</v>
          </cell>
          <cell r="Q1042">
            <v>1</v>
          </cell>
        </row>
        <row r="1043">
          <cell r="F1043" t="str">
            <v>TT</v>
          </cell>
          <cell r="Q1043">
            <v>1</v>
          </cell>
        </row>
        <row r="1044">
          <cell r="F1044" t="str">
            <v>ZJ.7220</v>
          </cell>
          <cell r="Q1044">
            <v>7.1999999999999995E-2</v>
          </cell>
        </row>
        <row r="1045">
          <cell r="F1045" t="str">
            <v>ZM.1210</v>
          </cell>
          <cell r="Q1045">
            <v>8</v>
          </cell>
        </row>
        <row r="1046">
          <cell r="F1046" t="str">
            <v>ZM.2110</v>
          </cell>
          <cell r="Q1046">
            <v>2</v>
          </cell>
        </row>
        <row r="1047">
          <cell r="F1047" t="str">
            <v>TT</v>
          </cell>
          <cell r="Q1047">
            <v>0</v>
          </cell>
        </row>
        <row r="1048">
          <cell r="F1048" t="str">
            <v>ZJ.7272</v>
          </cell>
          <cell r="Q1048">
            <v>0.15</v>
          </cell>
        </row>
        <row r="1049">
          <cell r="F1049" t="str">
            <v>ZM.1272</v>
          </cell>
          <cell r="Q1049">
            <v>3</v>
          </cell>
        </row>
        <row r="1050">
          <cell r="F1050" t="str">
            <v>ZM.1160</v>
          </cell>
          <cell r="Q1050">
            <v>2</v>
          </cell>
        </row>
        <row r="1051">
          <cell r="F1051" t="str">
            <v>ZI.5120</v>
          </cell>
          <cell r="Q1051">
            <v>1</v>
          </cell>
        </row>
        <row r="1052">
          <cell r="F1052" t="str">
            <v>ZJ.7275</v>
          </cell>
          <cell r="Q1052">
            <v>0.44</v>
          </cell>
        </row>
        <row r="1053">
          <cell r="F1053" t="str">
            <v>ZM.1275</v>
          </cell>
          <cell r="Q1053">
            <v>16</v>
          </cell>
        </row>
        <row r="1054">
          <cell r="F1054" t="str">
            <v>ZM.2240</v>
          </cell>
          <cell r="Q1054">
            <v>16</v>
          </cell>
        </row>
        <row r="1055">
          <cell r="F1055" t="str">
            <v>ZM.1160</v>
          </cell>
          <cell r="Q1055">
            <v>16</v>
          </cell>
        </row>
        <row r="1056">
          <cell r="F1056" t="str">
            <v>TT</v>
          </cell>
          <cell r="Q1056">
            <v>1</v>
          </cell>
        </row>
        <row r="1057">
          <cell r="Q1057">
            <v>0</v>
          </cell>
        </row>
        <row r="1058">
          <cell r="F1058" t="str">
            <v>NB.2120</v>
          </cell>
          <cell r="Q1058">
            <v>0</v>
          </cell>
        </row>
        <row r="1059">
          <cell r="Q1059">
            <v>16</v>
          </cell>
        </row>
        <row r="1060">
          <cell r="Q1060">
            <v>8</v>
          </cell>
        </row>
        <row r="1061">
          <cell r="F1061" t="str">
            <v>NB.2120</v>
          </cell>
          <cell r="Q1061">
            <v>0</v>
          </cell>
        </row>
        <row r="1062">
          <cell r="Q1062">
            <v>19.200000000000003</v>
          </cell>
        </row>
        <row r="1063">
          <cell r="Q1063">
            <v>4.8000000000000007</v>
          </cell>
        </row>
        <row r="1064">
          <cell r="Q1064">
            <v>0.8</v>
          </cell>
        </row>
        <row r="1065">
          <cell r="F1065" t="str">
            <v>NB.2120</v>
          </cell>
          <cell r="Q1065">
            <v>1.4</v>
          </cell>
        </row>
        <row r="1066">
          <cell r="Q1066">
            <v>0</v>
          </cell>
        </row>
        <row r="1067">
          <cell r="F1067" t="str">
            <v>BA.1442</v>
          </cell>
          <cell r="Q1067">
            <v>12.881999999999998</v>
          </cell>
        </row>
        <row r="1068">
          <cell r="F1068" t="str">
            <v>HA.1111</v>
          </cell>
          <cell r="Q1068">
            <v>0</v>
          </cell>
        </row>
        <row r="1069">
          <cell r="Q1069">
            <v>17.809999999999999</v>
          </cell>
        </row>
        <row r="1070">
          <cell r="Q1070">
            <v>11.66</v>
          </cell>
        </row>
        <row r="1071">
          <cell r="Q1071">
            <v>-6</v>
          </cell>
        </row>
        <row r="1072">
          <cell r="F1072" t="str">
            <v>HA.3213</v>
          </cell>
          <cell r="Q1072">
            <v>8.8200000000000014E-2</v>
          </cell>
        </row>
        <row r="1073">
          <cell r="F1073" t="str">
            <v>KP.2310</v>
          </cell>
          <cell r="Q1073">
            <v>1.26E-2</v>
          </cell>
        </row>
        <row r="1074">
          <cell r="F1074" t="str">
            <v>GI.1114</v>
          </cell>
          <cell r="Q1074">
            <v>0.126</v>
          </cell>
        </row>
        <row r="1075">
          <cell r="F1075" t="str">
            <v>GI.2114</v>
          </cell>
          <cell r="Q1075">
            <v>0</v>
          </cell>
        </row>
        <row r="1076">
          <cell r="Q1076">
            <v>7.7</v>
          </cell>
        </row>
        <row r="1077">
          <cell r="Q1077">
            <v>4.62</v>
          </cell>
        </row>
        <row r="1078">
          <cell r="Q1078">
            <v>7.7700000000000014</v>
          </cell>
        </row>
        <row r="1079">
          <cell r="Q1079">
            <v>5.7399999999999993</v>
          </cell>
        </row>
        <row r="1080">
          <cell r="Q1080">
            <v>28.56</v>
          </cell>
        </row>
        <row r="1081">
          <cell r="Q1081">
            <v>1.5400000000000003</v>
          </cell>
        </row>
        <row r="1082">
          <cell r="Q1082">
            <v>5.8100000000000014</v>
          </cell>
        </row>
        <row r="1083">
          <cell r="Q1083">
            <v>6.8600000000000012</v>
          </cell>
        </row>
        <row r="1084">
          <cell r="Q1084">
            <v>-10.040000000000001</v>
          </cell>
        </row>
        <row r="1085">
          <cell r="F1085" t="str">
            <v>GG.2214</v>
          </cell>
          <cell r="Q1085">
            <v>0</v>
          </cell>
        </row>
        <row r="1086">
          <cell r="Q1086">
            <v>5.2219999999999995</v>
          </cell>
        </row>
        <row r="1087">
          <cell r="Q1087">
            <v>4.6619999999999999</v>
          </cell>
        </row>
        <row r="1088">
          <cell r="Q1088">
            <v>2.6640000000000001</v>
          </cell>
        </row>
        <row r="1089">
          <cell r="F1089" t="str">
            <v>GG.2114</v>
          </cell>
          <cell r="Q1089">
            <v>0.35000000000000003</v>
          </cell>
        </row>
        <row r="1090">
          <cell r="F1090" t="str">
            <v>PA.1214</v>
          </cell>
          <cell r="Q1090">
            <v>0</v>
          </cell>
        </row>
        <row r="1091">
          <cell r="F1091" t="str">
            <v>PA.3114</v>
          </cell>
          <cell r="Q1091">
            <v>0</v>
          </cell>
        </row>
        <row r="1092">
          <cell r="Q1092">
            <v>56.7</v>
          </cell>
        </row>
        <row r="1093">
          <cell r="Q1093">
            <v>90.3</v>
          </cell>
        </row>
        <row r="1094">
          <cell r="Q1094">
            <v>38.880000000000003</v>
          </cell>
        </row>
        <row r="1095">
          <cell r="Q1095">
            <v>150.69999999999999</v>
          </cell>
        </row>
        <row r="1096">
          <cell r="Q1096">
            <v>137.34000000000003</v>
          </cell>
        </row>
        <row r="1097">
          <cell r="Q1097">
            <v>18</v>
          </cell>
        </row>
        <row r="1098">
          <cell r="Q1098">
            <v>19.779999999999998</v>
          </cell>
        </row>
        <row r="1099">
          <cell r="Q1099">
            <v>52.219999999999992</v>
          </cell>
        </row>
        <row r="1100">
          <cell r="Q1100">
            <v>6</v>
          </cell>
        </row>
        <row r="1101">
          <cell r="Q1101">
            <v>21.1</v>
          </cell>
        </row>
        <row r="1102">
          <cell r="F1102" t="str">
            <v>PA.4214</v>
          </cell>
          <cell r="Q1102">
            <v>120</v>
          </cell>
        </row>
        <row r="1103">
          <cell r="F1103" t="str">
            <v>QB.4110SR</v>
          </cell>
          <cell r="Q1103">
            <v>0</v>
          </cell>
        </row>
        <row r="1104">
          <cell r="Q1104">
            <v>12.299999999999999</v>
          </cell>
        </row>
        <row r="1105">
          <cell r="Q1105">
            <v>19.5</v>
          </cell>
        </row>
        <row r="1106">
          <cell r="Q1106">
            <v>-1.0499999999999998</v>
          </cell>
        </row>
        <row r="1107">
          <cell r="Q1107">
            <v>-1.2000000000000002</v>
          </cell>
        </row>
        <row r="1108">
          <cell r="F1108" t="str">
            <v>QB.1210</v>
          </cell>
          <cell r="Q1108">
            <v>3.57</v>
          </cell>
        </row>
        <row r="1109">
          <cell r="F1109" t="str">
            <v>RB.2125</v>
          </cell>
          <cell r="Q1109">
            <v>0</v>
          </cell>
        </row>
        <row r="1110">
          <cell r="Q1110">
            <v>109.47999999999999</v>
          </cell>
        </row>
        <row r="1111">
          <cell r="Q1111">
            <v>112.14000000000001</v>
          </cell>
        </row>
        <row r="1112">
          <cell r="Q1112">
            <v>123.2</v>
          </cell>
        </row>
        <row r="1113">
          <cell r="Q1113">
            <v>18</v>
          </cell>
        </row>
        <row r="1114">
          <cell r="Q1114">
            <v>19.779999999999998</v>
          </cell>
        </row>
        <row r="1115">
          <cell r="F1115" t="str">
            <v>UD.3220SR1</v>
          </cell>
          <cell r="Q1115">
            <v>0</v>
          </cell>
        </row>
        <row r="1116">
          <cell r="F1116" t="str">
            <v>UC.4210SR</v>
          </cell>
          <cell r="Q1116">
            <v>0</v>
          </cell>
        </row>
        <row r="1117">
          <cell r="F1117" t="str">
            <v>SA.4110</v>
          </cell>
          <cell r="Q1117">
            <v>0</v>
          </cell>
        </row>
        <row r="1118">
          <cell r="F1118" t="str">
            <v>SA.7111</v>
          </cell>
          <cell r="Q1118">
            <v>0</v>
          </cell>
        </row>
        <row r="1119">
          <cell r="Q1119">
            <v>0</v>
          </cell>
        </row>
        <row r="1120">
          <cell r="Q1120">
            <v>98.439999999999984</v>
          </cell>
        </row>
        <row r="1121">
          <cell r="Q1121">
            <v>58.960000000000008</v>
          </cell>
        </row>
        <row r="1122">
          <cell r="Q1122">
            <v>10.36</v>
          </cell>
        </row>
        <row r="1123">
          <cell r="Q1123">
            <v>8.14</v>
          </cell>
        </row>
        <row r="1124">
          <cell r="Q1124">
            <v>18.130000000000003</v>
          </cell>
        </row>
        <row r="1125">
          <cell r="Q1125">
            <v>-50</v>
          </cell>
        </row>
        <row r="1126">
          <cell r="F1126" t="str">
            <v>SA.7111</v>
          </cell>
          <cell r="Q1126">
            <v>4.18</v>
          </cell>
        </row>
        <row r="1127">
          <cell r="F1127" t="str">
            <v>SA.4110</v>
          </cell>
          <cell r="Q1127">
            <v>45</v>
          </cell>
        </row>
        <row r="1128">
          <cell r="F1128" t="str">
            <v>RC.1110</v>
          </cell>
          <cell r="Q1128">
            <v>0</v>
          </cell>
        </row>
        <row r="1129">
          <cell r="Q1129">
            <v>14.4</v>
          </cell>
        </row>
        <row r="1130">
          <cell r="Q1130">
            <v>13.86</v>
          </cell>
        </row>
        <row r="1131">
          <cell r="Q1131">
            <v>0</v>
          </cell>
        </row>
        <row r="1132">
          <cell r="Q1132">
            <v>0</v>
          </cell>
        </row>
        <row r="1133">
          <cell r="F1133" t="str">
            <v>67/MK-BCN</v>
          </cell>
          <cell r="Q1133">
            <v>0</v>
          </cell>
        </row>
        <row r="1134">
          <cell r="Q1134">
            <v>0</v>
          </cell>
        </row>
        <row r="1135">
          <cell r="Q1135">
            <v>0</v>
          </cell>
        </row>
        <row r="1136">
          <cell r="Q1136">
            <v>0</v>
          </cell>
        </row>
        <row r="1137">
          <cell r="Q1137">
            <v>0</v>
          </cell>
        </row>
        <row r="1138">
          <cell r="F1138" t="str">
            <v>ZM.2120</v>
          </cell>
          <cell r="Q1138">
            <v>0</v>
          </cell>
        </row>
        <row r="1139">
          <cell r="F1139" t="str">
            <v>04.9302/66.BCN</v>
          </cell>
          <cell r="Q1139">
            <v>0</v>
          </cell>
        </row>
        <row r="1140">
          <cell r="Q1140">
            <v>0</v>
          </cell>
        </row>
        <row r="1141">
          <cell r="F1141" t="str">
            <v>67/MK-BCN</v>
          </cell>
          <cell r="Q1141">
            <v>0</v>
          </cell>
        </row>
        <row r="1142">
          <cell r="Q1142">
            <v>0</v>
          </cell>
        </row>
        <row r="1143">
          <cell r="Q1143">
            <v>0</v>
          </cell>
        </row>
        <row r="1144">
          <cell r="Q1144">
            <v>0</v>
          </cell>
        </row>
        <row r="1145">
          <cell r="Q1145">
            <v>0</v>
          </cell>
        </row>
        <row r="1146">
          <cell r="F1146" t="str">
            <v>04.9302/66.BCN</v>
          </cell>
          <cell r="Q1146" t="e">
            <v>#REF!</v>
          </cell>
        </row>
        <row r="1147">
          <cell r="Q1147">
            <v>0</v>
          </cell>
        </row>
        <row r="1148">
          <cell r="F1148" t="str">
            <v>67/MK-BCN</v>
          </cell>
          <cell r="Q1148">
            <v>0</v>
          </cell>
        </row>
        <row r="1149">
          <cell r="Q1149">
            <v>0</v>
          </cell>
        </row>
        <row r="1150">
          <cell r="Q1150">
            <v>0</v>
          </cell>
        </row>
        <row r="1151">
          <cell r="Q1151">
            <v>0</v>
          </cell>
        </row>
        <row r="1152">
          <cell r="Q1152">
            <v>0</v>
          </cell>
        </row>
        <row r="1153">
          <cell r="F1153" t="str">
            <v>04.9302/66.BCN</v>
          </cell>
          <cell r="Q1153" t="e">
            <v>#REF!</v>
          </cell>
        </row>
        <row r="1154">
          <cell r="Q1154">
            <v>0</v>
          </cell>
        </row>
        <row r="1155">
          <cell r="F1155" t="str">
            <v>67/MK-BCN</v>
          </cell>
          <cell r="Q1155">
            <v>0</v>
          </cell>
        </row>
        <row r="1156">
          <cell r="Q1156">
            <v>0</v>
          </cell>
        </row>
        <row r="1157">
          <cell r="Q1157">
            <v>0</v>
          </cell>
        </row>
        <row r="1158">
          <cell r="Q1158">
            <v>0</v>
          </cell>
        </row>
        <row r="1159">
          <cell r="Q1159">
            <v>0</v>
          </cell>
        </row>
        <row r="1160">
          <cell r="Q1160">
            <v>0</v>
          </cell>
        </row>
        <row r="1161">
          <cell r="F1161" t="str">
            <v>04.9302/66.BCN</v>
          </cell>
          <cell r="Q1161" t="e">
            <v>#REF!</v>
          </cell>
        </row>
        <row r="1162">
          <cell r="Q1162">
            <v>0</v>
          </cell>
        </row>
        <row r="1163">
          <cell r="F1163" t="str">
            <v>67/MK-BCN</v>
          </cell>
          <cell r="Q1163">
            <v>0</v>
          </cell>
        </row>
        <row r="1164">
          <cell r="Q1164">
            <v>0</v>
          </cell>
        </row>
        <row r="1165">
          <cell r="Q1165">
            <v>0</v>
          </cell>
        </row>
        <row r="1166">
          <cell r="Q1166">
            <v>0</v>
          </cell>
        </row>
        <row r="1167">
          <cell r="Q1167">
            <v>0</v>
          </cell>
        </row>
        <row r="1168">
          <cell r="F1168" t="str">
            <v>04.9302/66.BCN</v>
          </cell>
          <cell r="Q1168">
            <v>0</v>
          </cell>
        </row>
        <row r="1169">
          <cell r="Q1169">
            <v>0</v>
          </cell>
        </row>
        <row r="1170">
          <cell r="F1170" t="str">
            <v>67/MK-BCN</v>
          </cell>
          <cell r="Q1170">
            <v>0</v>
          </cell>
        </row>
        <row r="1171">
          <cell r="Q1171">
            <v>0</v>
          </cell>
        </row>
        <row r="1172">
          <cell r="Q1172">
            <v>0</v>
          </cell>
        </row>
        <row r="1173">
          <cell r="Q1173">
            <v>0</v>
          </cell>
        </row>
        <row r="1174">
          <cell r="Q1174">
            <v>0</v>
          </cell>
        </row>
        <row r="1175">
          <cell r="F1175" t="str">
            <v>04.9302/66.BCN</v>
          </cell>
          <cell r="Q1175">
            <v>0</v>
          </cell>
        </row>
        <row r="1176">
          <cell r="Q1176">
            <v>0</v>
          </cell>
        </row>
        <row r="1177">
          <cell r="F1177" t="str">
            <v>67/MK-BCN</v>
          </cell>
          <cell r="Q1177">
            <v>0.603186</v>
          </cell>
        </row>
        <row r="1178">
          <cell r="Q1178">
            <v>0.58979999999999999</v>
          </cell>
        </row>
        <row r="1179">
          <cell r="Q1179">
            <v>2.3159999999999999E-3</v>
          </cell>
        </row>
        <row r="1180">
          <cell r="Q1180">
            <v>2.5440000000000003E-3</v>
          </cell>
        </row>
        <row r="1181">
          <cell r="Q1181">
            <v>8.5260000000000006E-3</v>
          </cell>
        </row>
        <row r="1182">
          <cell r="F1182" t="str">
            <v>04.9302/66.BCN</v>
          </cell>
          <cell r="Q1182">
            <v>0.58979999999999999</v>
          </cell>
        </row>
        <row r="1183">
          <cell r="Q1183">
            <v>0</v>
          </cell>
        </row>
        <row r="1184">
          <cell r="F1184" t="str">
            <v>67/MK-BCN</v>
          </cell>
          <cell r="Q1184">
            <v>0</v>
          </cell>
        </row>
        <row r="1185">
          <cell r="Q1185">
            <v>0</v>
          </cell>
        </row>
        <row r="1186">
          <cell r="Q1186">
            <v>0</v>
          </cell>
        </row>
        <row r="1187">
          <cell r="Q1187">
            <v>0</v>
          </cell>
        </row>
        <row r="1188">
          <cell r="Q1188">
            <v>0</v>
          </cell>
        </row>
        <row r="1189">
          <cell r="Q1189">
            <v>0</v>
          </cell>
        </row>
        <row r="1190">
          <cell r="F1190" t="str">
            <v>04.9302/66.BCN</v>
          </cell>
          <cell r="Q1190">
            <v>0</v>
          </cell>
        </row>
        <row r="1191">
          <cell r="Q1191">
            <v>0</v>
          </cell>
        </row>
        <row r="1192">
          <cell r="F1192" t="str">
            <v>67/MK-BCN</v>
          </cell>
          <cell r="Q1192">
            <v>0.50470740000000003</v>
          </cell>
        </row>
        <row r="1193">
          <cell r="Q1193">
            <v>0.20044999999999999</v>
          </cell>
        </row>
        <row r="1194">
          <cell r="Q1194">
            <v>0.28747999999999996</v>
          </cell>
        </row>
        <row r="1195">
          <cell r="Q1195">
            <v>9.0880000000000008E-4</v>
          </cell>
        </row>
        <row r="1196">
          <cell r="Q1196">
            <v>6.8494000000000003E-3</v>
          </cell>
        </row>
        <row r="1197">
          <cell r="Q1197">
            <v>1.5407999999999999E-3</v>
          </cell>
        </row>
        <row r="1198">
          <cell r="Q1198">
            <v>6.2111999999999992E-3</v>
          </cell>
        </row>
        <row r="1199">
          <cell r="Q1199">
            <v>1.2672E-3</v>
          </cell>
        </row>
        <row r="1200">
          <cell r="F1200" t="str">
            <v>04.9302/66.BCN</v>
          </cell>
          <cell r="Q1200">
            <v>0.48792999999999997</v>
          </cell>
        </row>
        <row r="1201">
          <cell r="Q1201">
            <v>0</v>
          </cell>
        </row>
        <row r="1202">
          <cell r="F1202" t="str">
            <v>67/MK-BCN</v>
          </cell>
          <cell r="Q1202">
            <v>0</v>
          </cell>
        </row>
        <row r="1203">
          <cell r="Q1203">
            <v>0</v>
          </cell>
        </row>
        <row r="1204">
          <cell r="Q1204">
            <v>0</v>
          </cell>
        </row>
        <row r="1205">
          <cell r="F1205" t="str">
            <v>66/QÑ-BCN</v>
          </cell>
          <cell r="Q1205">
            <v>0</v>
          </cell>
        </row>
        <row r="1206">
          <cell r="Q1206">
            <v>0</v>
          </cell>
        </row>
        <row r="1207">
          <cell r="F1207" t="str">
            <v>67/MK-BCN</v>
          </cell>
          <cell r="Q1207">
            <v>4.1116419999999998</v>
          </cell>
        </row>
        <row r="1208">
          <cell r="Q1208">
            <v>0</v>
          </cell>
        </row>
        <row r="1209">
          <cell r="Q1209">
            <v>0.16818</v>
          </cell>
        </row>
        <row r="1210">
          <cell r="Q1210">
            <v>0.78770999999999991</v>
          </cell>
        </row>
        <row r="1211">
          <cell r="Q1211">
            <v>0</v>
          </cell>
        </row>
        <row r="1212">
          <cell r="Q1212">
            <v>3.0228200000000007</v>
          </cell>
        </row>
        <row r="1213">
          <cell r="Q1213">
            <v>0</v>
          </cell>
        </row>
        <row r="1214">
          <cell r="Q1214">
            <v>0</v>
          </cell>
        </row>
        <row r="1215">
          <cell r="Q1215">
            <v>7.3891999999999999E-2</v>
          </cell>
        </row>
        <row r="1216">
          <cell r="Q1216">
            <v>0</v>
          </cell>
        </row>
        <row r="1217">
          <cell r="Q1217">
            <v>0</v>
          </cell>
        </row>
        <row r="1218">
          <cell r="Q1218">
            <v>0</v>
          </cell>
        </row>
        <row r="1219">
          <cell r="Q1219">
            <v>3.1040000000000002E-2</v>
          </cell>
        </row>
        <row r="1220">
          <cell r="Q1220">
            <v>2.8000000000000004E-2</v>
          </cell>
        </row>
        <row r="1221">
          <cell r="Q1221">
            <v>0</v>
          </cell>
        </row>
        <row r="1222">
          <cell r="Q1222">
            <v>0.78770999999999991</v>
          </cell>
        </row>
        <row r="1223">
          <cell r="F1223" t="str">
            <v>04.9202/66.BCN</v>
          </cell>
          <cell r="Q1223">
            <v>3.3239320000000001</v>
          </cell>
        </row>
        <row r="1224">
          <cell r="Q1224">
            <v>0</v>
          </cell>
        </row>
        <row r="1225">
          <cell r="F1225" t="str">
            <v>04.9203/66.BCN</v>
          </cell>
          <cell r="Q1225">
            <v>0</v>
          </cell>
        </row>
        <row r="1226">
          <cell r="F1226" t="str">
            <v>TT</v>
          </cell>
          <cell r="Q1226">
            <v>0</v>
          </cell>
        </row>
        <row r="1227">
          <cell r="F1227" t="str">
            <v>TT</v>
          </cell>
          <cell r="Q1227">
            <v>0</v>
          </cell>
        </row>
        <row r="1228">
          <cell r="F1228" t="str">
            <v>67/MK-BCN</v>
          </cell>
          <cell r="Q1228">
            <v>0</v>
          </cell>
        </row>
        <row r="1229">
          <cell r="Q1229">
            <v>0</v>
          </cell>
        </row>
        <row r="1230">
          <cell r="Q1230">
            <v>0</v>
          </cell>
        </row>
        <row r="1231">
          <cell r="Q1231">
            <v>0</v>
          </cell>
        </row>
        <row r="1232">
          <cell r="Q1232">
            <v>0</v>
          </cell>
        </row>
        <row r="1233">
          <cell r="F1233" t="str">
            <v>04.9102/66.BCN</v>
          </cell>
          <cell r="Q1233">
            <v>0</v>
          </cell>
        </row>
        <row r="1234">
          <cell r="Q1234">
            <v>0</v>
          </cell>
        </row>
        <row r="1235">
          <cell r="F1235" t="str">
            <v>04.9203/66.BCN</v>
          </cell>
          <cell r="Q1235">
            <v>0</v>
          </cell>
        </row>
        <row r="1236">
          <cell r="F1236" t="str">
            <v>TT</v>
          </cell>
          <cell r="Q1236">
            <v>0</v>
          </cell>
        </row>
        <row r="1237">
          <cell r="F1237" t="str">
            <v>TT</v>
          </cell>
          <cell r="Q1237">
            <v>0</v>
          </cell>
        </row>
        <row r="1238">
          <cell r="F1238" t="str">
            <v>67/MK-BCN</v>
          </cell>
          <cell r="Q1238">
            <v>0</v>
          </cell>
        </row>
        <row r="1239">
          <cell r="Q1239">
            <v>0</v>
          </cell>
        </row>
        <row r="1240">
          <cell r="F1240" t="str">
            <v>HA.2313</v>
          </cell>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F1251" t="str">
            <v>04.9102/66.BCN</v>
          </cell>
          <cell r="Q1251">
            <v>0</v>
          </cell>
        </row>
        <row r="1252">
          <cell r="Q1252">
            <v>0</v>
          </cell>
        </row>
        <row r="1253">
          <cell r="F1253" t="str">
            <v>67/MK-BCN</v>
          </cell>
          <cell r="Q1253">
            <v>0</v>
          </cell>
        </row>
        <row r="1254">
          <cell r="Q1254">
            <v>0</v>
          </cell>
        </row>
        <row r="1255">
          <cell r="Q1255">
            <v>0</v>
          </cell>
        </row>
        <row r="1256">
          <cell r="Q1256">
            <v>0</v>
          </cell>
        </row>
        <row r="1257">
          <cell r="Q1257">
            <v>0</v>
          </cell>
        </row>
        <row r="1258">
          <cell r="F1258" t="str">
            <v>04.9302/66.BCN</v>
          </cell>
          <cell r="Q1258">
            <v>0</v>
          </cell>
        </row>
        <row r="1259">
          <cell r="Q1259">
            <v>0</v>
          </cell>
        </row>
        <row r="1260">
          <cell r="F1260" t="str">
            <v>67/MK-BCN</v>
          </cell>
          <cell r="Q1260">
            <v>0</v>
          </cell>
        </row>
        <row r="1261">
          <cell r="Q1261">
            <v>0</v>
          </cell>
        </row>
        <row r="1262">
          <cell r="Q1262">
            <v>0</v>
          </cell>
        </row>
        <row r="1263">
          <cell r="Q1263">
            <v>0</v>
          </cell>
        </row>
        <row r="1264">
          <cell r="F1264" t="str">
            <v>04.9302/66.BCN</v>
          </cell>
          <cell r="Q1264">
            <v>0</v>
          </cell>
        </row>
        <row r="1265">
          <cell r="Q1265">
            <v>0</v>
          </cell>
        </row>
        <row r="1266">
          <cell r="F1266" t="str">
            <v>04.9302/66.BCN</v>
          </cell>
          <cell r="Q1266">
            <v>0</v>
          </cell>
        </row>
        <row r="1267">
          <cell r="Q1267">
            <v>0</v>
          </cell>
        </row>
        <row r="1268">
          <cell r="F1268" t="str">
            <v>67/MK-BCN</v>
          </cell>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F1283" t="str">
            <v>04.9302/66.BCN</v>
          </cell>
          <cell r="Q1283">
            <v>0</v>
          </cell>
        </row>
        <row r="1284">
          <cell r="Q1284">
            <v>0</v>
          </cell>
        </row>
        <row r="1285">
          <cell r="F1285" t="str">
            <v>67/MK-BCN</v>
          </cell>
          <cell r="Q1285">
            <v>0</v>
          </cell>
        </row>
        <row r="1286">
          <cell r="Q1286">
            <v>0</v>
          </cell>
        </row>
        <row r="1287">
          <cell r="Q1287">
            <v>0</v>
          </cell>
        </row>
        <row r="1288">
          <cell r="Q1288">
            <v>0</v>
          </cell>
        </row>
        <row r="1289">
          <cell r="Q1289">
            <v>0</v>
          </cell>
        </row>
        <row r="1290">
          <cell r="F1290" t="str">
            <v>04.9302/66.BCN</v>
          </cell>
          <cell r="Q1290">
            <v>0</v>
          </cell>
        </row>
        <row r="1291">
          <cell r="Q1291">
            <v>0</v>
          </cell>
        </row>
        <row r="1292">
          <cell r="F1292" t="str">
            <v>67/MK-BCN</v>
          </cell>
          <cell r="Q1292">
            <v>0</v>
          </cell>
        </row>
        <row r="1293">
          <cell r="Q1293">
            <v>0</v>
          </cell>
        </row>
        <row r="1294">
          <cell r="Q1294">
            <v>0</v>
          </cell>
        </row>
        <row r="1295">
          <cell r="Q1295">
            <v>0</v>
          </cell>
        </row>
        <row r="1296">
          <cell r="Q1296">
            <v>0</v>
          </cell>
        </row>
        <row r="1297">
          <cell r="Q1297">
            <v>0</v>
          </cell>
        </row>
        <row r="1298">
          <cell r="F1298" t="str">
            <v>04.9302/66.BCN</v>
          </cell>
          <cell r="Q1298">
            <v>0</v>
          </cell>
        </row>
        <row r="1299">
          <cell r="Q1299">
            <v>0</v>
          </cell>
        </row>
        <row r="1300">
          <cell r="F1300" t="str">
            <v>67/MK-BCN</v>
          </cell>
          <cell r="Q1300">
            <v>0</v>
          </cell>
        </row>
        <row r="1301">
          <cell r="Q1301">
            <v>0</v>
          </cell>
        </row>
        <row r="1302">
          <cell r="Q1302">
            <v>0</v>
          </cell>
        </row>
        <row r="1303">
          <cell r="Q1303">
            <v>0</v>
          </cell>
        </row>
        <row r="1304">
          <cell r="Q1304">
            <v>0</v>
          </cell>
        </row>
        <row r="1305">
          <cell r="F1305" t="str">
            <v>04.9302/66.BCN</v>
          </cell>
          <cell r="Q1305">
            <v>0</v>
          </cell>
        </row>
        <row r="1306">
          <cell r="Q1306">
            <v>0</v>
          </cell>
        </row>
        <row r="1307">
          <cell r="F1307" t="str">
            <v>67/MK-BCN</v>
          </cell>
          <cell r="Q1307">
            <v>0</v>
          </cell>
        </row>
        <row r="1308">
          <cell r="Q1308">
            <v>0</v>
          </cell>
        </row>
        <row r="1309">
          <cell r="Q1309">
            <v>0</v>
          </cell>
        </row>
        <row r="1310">
          <cell r="Q1310">
            <v>0</v>
          </cell>
        </row>
        <row r="1311">
          <cell r="Q1311">
            <v>0</v>
          </cell>
        </row>
        <row r="1312">
          <cell r="Q1312">
            <v>0</v>
          </cell>
        </row>
        <row r="1313">
          <cell r="F1313" t="str">
            <v>67/MK-BCN</v>
          </cell>
          <cell r="Q1313">
            <v>0</v>
          </cell>
        </row>
        <row r="1314">
          <cell r="Q1314">
            <v>0</v>
          </cell>
        </row>
        <row r="1315">
          <cell r="Q1315">
            <v>0</v>
          </cell>
        </row>
        <row r="1316">
          <cell r="Q1316">
            <v>0</v>
          </cell>
        </row>
        <row r="1317">
          <cell r="F1317" t="str">
            <v>04.9302/66.BCN</v>
          </cell>
          <cell r="Q1317">
            <v>0</v>
          </cell>
        </row>
        <row r="1318">
          <cell r="Q1318">
            <v>0</v>
          </cell>
        </row>
        <row r="1319">
          <cell r="F1319" t="str">
            <v>67/MK-BCN</v>
          </cell>
          <cell r="Q1319">
            <v>0</v>
          </cell>
        </row>
        <row r="1320">
          <cell r="Q1320">
            <v>0</v>
          </cell>
        </row>
        <row r="1321">
          <cell r="Q1321">
            <v>0</v>
          </cell>
        </row>
        <row r="1322">
          <cell r="Q1322">
            <v>0</v>
          </cell>
        </row>
        <row r="1323">
          <cell r="Q1323">
            <v>0</v>
          </cell>
        </row>
        <row r="1324">
          <cell r="F1324" t="str">
            <v>04.9302/66.BCN</v>
          </cell>
          <cell r="Q1324">
            <v>0</v>
          </cell>
        </row>
        <row r="1325">
          <cell r="Q1325">
            <v>0</v>
          </cell>
        </row>
        <row r="1326">
          <cell r="F1326" t="str">
            <v>04.9203.2/66.BCN</v>
          </cell>
          <cell r="Q1326">
            <v>1</v>
          </cell>
        </row>
        <row r="1327">
          <cell r="F1327" t="str">
            <v>05.5101/67.BCN</v>
          </cell>
          <cell r="Q1327">
            <v>1</v>
          </cell>
        </row>
        <row r="1328">
          <cell r="F1328" t="str">
            <v>TT</v>
          </cell>
          <cell r="Q1328">
            <v>0</v>
          </cell>
        </row>
        <row r="1329">
          <cell r="F1329" t="str">
            <v>TT</v>
          </cell>
          <cell r="Q1329">
            <v>1</v>
          </cell>
        </row>
        <row r="1330">
          <cell r="Q1330">
            <v>0</v>
          </cell>
        </row>
        <row r="1331">
          <cell r="F1331" t="str">
            <v>04.9203.2/66.BCN</v>
          </cell>
          <cell r="Q1331">
            <v>0</v>
          </cell>
        </row>
        <row r="1332">
          <cell r="F1332" t="str">
            <v>05.5101/67.BCN</v>
          </cell>
          <cell r="Q1332">
            <v>0</v>
          </cell>
        </row>
        <row r="1333">
          <cell r="F1333" t="str">
            <v>TT</v>
          </cell>
          <cell r="Q1333">
            <v>0</v>
          </cell>
        </row>
        <row r="1334">
          <cell r="F1334" t="str">
            <v>TT</v>
          </cell>
          <cell r="Q1334">
            <v>0</v>
          </cell>
        </row>
        <row r="1335">
          <cell r="F1335" t="str">
            <v>67/MK-BCN</v>
          </cell>
          <cell r="Q1335">
            <v>0</v>
          </cell>
        </row>
        <row r="1336">
          <cell r="Q1336">
            <v>0</v>
          </cell>
        </row>
        <row r="1337">
          <cell r="Q1337">
            <v>0</v>
          </cell>
        </row>
        <row r="1338">
          <cell r="Q1338">
            <v>0</v>
          </cell>
        </row>
        <row r="1339">
          <cell r="Q1339">
            <v>0</v>
          </cell>
        </row>
        <row r="1340">
          <cell r="Q1340">
            <v>0</v>
          </cell>
        </row>
        <row r="1341">
          <cell r="F1341" t="str">
            <v>04.9102/66.BCN</v>
          </cell>
          <cell r="Q1341">
            <v>0</v>
          </cell>
        </row>
        <row r="1342">
          <cell r="Q1342">
            <v>0</v>
          </cell>
        </row>
        <row r="1343">
          <cell r="F1343" t="str">
            <v>67/SON-BCN</v>
          </cell>
          <cell r="Q1343">
            <v>0</v>
          </cell>
        </row>
        <row r="1344">
          <cell r="Q1344">
            <v>0</v>
          </cell>
        </row>
        <row r="1345">
          <cell r="Q1345">
            <v>0</v>
          </cell>
        </row>
        <row r="1346">
          <cell r="Q1346">
            <v>0</v>
          </cell>
        </row>
        <row r="1347">
          <cell r="Q1347">
            <v>0</v>
          </cell>
        </row>
        <row r="1348">
          <cell r="F1348" t="str">
            <v>04.9302/66.BCN</v>
          </cell>
          <cell r="Q1348">
            <v>0</v>
          </cell>
        </row>
        <row r="1349">
          <cell r="Q1349">
            <v>0</v>
          </cell>
        </row>
        <row r="1350">
          <cell r="F1350" t="str">
            <v>ZI.8110</v>
          </cell>
          <cell r="Q1350">
            <v>0</v>
          </cell>
        </row>
        <row r="1351">
          <cell r="F1351" t="str">
            <v>TT</v>
          </cell>
          <cell r="Q1351">
            <v>0</v>
          </cell>
        </row>
        <row r="1352">
          <cell r="F1352" t="str">
            <v>TT</v>
          </cell>
          <cell r="Q1352">
            <v>0</v>
          </cell>
        </row>
        <row r="1353">
          <cell r="F1353" t="str">
            <v>ZJ.1130</v>
          </cell>
          <cell r="Q1353">
            <v>0</v>
          </cell>
        </row>
        <row r="1354">
          <cell r="F1354" t="str">
            <v>ZK.6150</v>
          </cell>
          <cell r="Q1354">
            <v>0</v>
          </cell>
        </row>
        <row r="1355">
          <cell r="F1355" t="str">
            <v>ZK.4150</v>
          </cell>
          <cell r="Q1355">
            <v>0</v>
          </cell>
        </row>
        <row r="1356">
          <cell r="F1356" t="str">
            <v>ZJ.7220</v>
          </cell>
          <cell r="Q1356">
            <v>0</v>
          </cell>
        </row>
        <row r="1357">
          <cell r="F1357" t="str">
            <v>ZM.1210</v>
          </cell>
          <cell r="Q1357">
            <v>0</v>
          </cell>
        </row>
        <row r="1358">
          <cell r="F1358" t="str">
            <v>ZM.2110</v>
          </cell>
          <cell r="Q1358">
            <v>0</v>
          </cell>
        </row>
        <row r="1359">
          <cell r="F1359" t="str">
            <v>ZJ.7240</v>
          </cell>
          <cell r="Q1359">
            <v>0</v>
          </cell>
        </row>
        <row r="1360">
          <cell r="F1360" t="str">
            <v>ZM.1240</v>
          </cell>
          <cell r="Q1360">
            <v>0</v>
          </cell>
        </row>
        <row r="1361">
          <cell r="F1361" t="str">
            <v>ZM.2140</v>
          </cell>
          <cell r="Q1361">
            <v>0</v>
          </cell>
        </row>
        <row r="1362">
          <cell r="F1362" t="str">
            <v>TT</v>
          </cell>
          <cell r="Q1362">
            <v>0</v>
          </cell>
        </row>
        <row r="1363">
          <cell r="F1363" t="str">
            <v>TT</v>
          </cell>
          <cell r="Q1363">
            <v>0</v>
          </cell>
        </row>
        <row r="1364">
          <cell r="F1364" t="str">
            <v>TT</v>
          </cell>
          <cell r="Q1364">
            <v>0</v>
          </cell>
        </row>
        <row r="1365">
          <cell r="F1365" t="str">
            <v>ZK.8120</v>
          </cell>
          <cell r="Q1365">
            <v>0</v>
          </cell>
        </row>
        <row r="1366">
          <cell r="F1366" t="str">
            <v>ZJ.7272</v>
          </cell>
          <cell r="Q1366">
            <v>0</v>
          </cell>
        </row>
        <row r="1367">
          <cell r="F1367" t="str">
            <v>ZM.1272</v>
          </cell>
          <cell r="Q1367">
            <v>0</v>
          </cell>
        </row>
        <row r="1368">
          <cell r="F1368" t="str">
            <v>ZM.1160</v>
          </cell>
          <cell r="Q1368">
            <v>0</v>
          </cell>
        </row>
        <row r="1369">
          <cell r="F1369" t="str">
            <v>ZI.5120</v>
          </cell>
          <cell r="Q1369">
            <v>0</v>
          </cell>
        </row>
        <row r="1370">
          <cell r="F1370" t="str">
            <v>ZJ.7275</v>
          </cell>
          <cell r="Q1370">
            <v>0</v>
          </cell>
        </row>
        <row r="1371">
          <cell r="F1371" t="str">
            <v>ZM.1275</v>
          </cell>
          <cell r="Q1371">
            <v>0</v>
          </cell>
        </row>
        <row r="1372">
          <cell r="F1372" t="str">
            <v>ZM.2240</v>
          </cell>
          <cell r="Q1372">
            <v>0</v>
          </cell>
        </row>
        <row r="1373">
          <cell r="F1373" t="str">
            <v>ZM.1160</v>
          </cell>
          <cell r="Q1373">
            <v>0</v>
          </cell>
        </row>
        <row r="1374">
          <cell r="F1374" t="str">
            <v>TT</v>
          </cell>
          <cell r="Q1374">
            <v>0</v>
          </cell>
        </row>
        <row r="1375">
          <cell r="Q1375">
            <v>0</v>
          </cell>
        </row>
        <row r="1376">
          <cell r="Q1376">
            <v>0</v>
          </cell>
        </row>
        <row r="1377">
          <cell r="Q1377">
            <v>0</v>
          </cell>
        </row>
        <row r="1378">
          <cell r="F1378" t="str">
            <v>BA.1442</v>
          </cell>
          <cell r="Q1378">
            <v>116.3210625</v>
          </cell>
        </row>
        <row r="1379">
          <cell r="F1379" t="str">
            <v>HA.1111SR</v>
          </cell>
          <cell r="Q1379">
            <v>1.46</v>
          </cell>
        </row>
        <row r="1380">
          <cell r="F1380" t="str">
            <v>HA.1213</v>
          </cell>
          <cell r="Q1380">
            <v>7.5599999999999987</v>
          </cell>
        </row>
        <row r="1381">
          <cell r="F1381" t="str">
            <v>KA.1220</v>
          </cell>
          <cell r="Q1381">
            <v>0.17359999999999998</v>
          </cell>
        </row>
        <row r="1382">
          <cell r="Q1382">
            <v>3.9199999999999999E-2</v>
          </cell>
        </row>
        <row r="1383">
          <cell r="Q1383">
            <v>0.13439999999999999</v>
          </cell>
        </row>
        <row r="1384">
          <cell r="F1384" t="str">
            <v>HA.2333</v>
          </cell>
          <cell r="Q1384">
            <v>2.16</v>
          </cell>
        </row>
        <row r="1385">
          <cell r="F1385" t="str">
            <v>KA.2120</v>
          </cell>
          <cell r="Q1385">
            <v>0.21840000000000001</v>
          </cell>
        </row>
        <row r="1386">
          <cell r="F1386" t="str">
            <v>B3-13e/CÑ79/57C</v>
          </cell>
          <cell r="Q1386">
            <v>0.1895</v>
          </cell>
        </row>
        <row r="1387">
          <cell r="F1387" t="str">
            <v>BB.1112</v>
          </cell>
          <cell r="Q1387">
            <v>116.3210625</v>
          </cell>
        </row>
        <row r="1388">
          <cell r="F1388" t="str">
            <v>IA.1110</v>
          </cell>
          <cell r="Q1388">
            <v>0.29691000000000001</v>
          </cell>
        </row>
        <row r="1389">
          <cell r="F1389" t="str">
            <v>IA.1120</v>
          </cell>
          <cell r="Q1389">
            <v>0.35523000000000005</v>
          </cell>
        </row>
        <row r="1390">
          <cell r="F1390" t="str">
            <v>IA.1130</v>
          </cell>
          <cell r="Q1390">
            <v>0</v>
          </cell>
        </row>
        <row r="1391">
          <cell r="Q1391">
            <v>0</v>
          </cell>
        </row>
        <row r="1392">
          <cell r="F1392" t="str">
            <v>BA.1442</v>
          </cell>
          <cell r="Q1392">
            <v>32.648062500000002</v>
          </cell>
        </row>
        <row r="1393">
          <cell r="F1393" t="str">
            <v>HA.1111SR</v>
          </cell>
          <cell r="Q1393">
            <v>0</v>
          </cell>
        </row>
        <row r="1394">
          <cell r="F1394" t="str">
            <v>HA.1213</v>
          </cell>
          <cell r="Q1394">
            <v>1.6800000000000002</v>
          </cell>
        </row>
        <row r="1395">
          <cell r="F1395" t="str">
            <v>KA.1220</v>
          </cell>
          <cell r="Q1395">
            <v>6.2E-2</v>
          </cell>
        </row>
        <row r="1396">
          <cell r="Q1396">
            <v>1.4400000000000001E-2</v>
          </cell>
        </row>
        <row r="1397">
          <cell r="Q1397">
            <v>4.7599999999999996E-2</v>
          </cell>
        </row>
        <row r="1398">
          <cell r="F1398" t="str">
            <v>HA.2333</v>
          </cell>
          <cell r="Q1398">
            <v>0.72000000000000008</v>
          </cell>
        </row>
        <row r="1399">
          <cell r="F1399" t="str">
            <v>KA.2120</v>
          </cell>
          <cell r="Q1399">
            <v>7.4399999999999994E-2</v>
          </cell>
        </row>
        <row r="1400">
          <cell r="F1400" t="str">
            <v>B3-13e/CÑ79/57C</v>
          </cell>
          <cell r="Q1400">
            <v>0</v>
          </cell>
        </row>
        <row r="1401">
          <cell r="F1401" t="str">
            <v>BB.1112</v>
          </cell>
          <cell r="Q1401">
            <v>32.648062500000002</v>
          </cell>
        </row>
        <row r="1402">
          <cell r="F1402" t="str">
            <v>IA.1110</v>
          </cell>
          <cell r="Q1402">
            <v>9.2760000000000009E-2</v>
          </cell>
        </row>
        <row r="1403">
          <cell r="F1403" t="str">
            <v>IA.1120</v>
          </cell>
          <cell r="Q1403">
            <v>0.11695</v>
          </cell>
        </row>
        <row r="1404">
          <cell r="F1404" t="str">
            <v>IA.1130</v>
          </cell>
          <cell r="Q1404">
            <v>0</v>
          </cell>
        </row>
        <row r="1405">
          <cell r="Q1405">
            <v>0</v>
          </cell>
        </row>
        <row r="1406">
          <cell r="F1406" t="str">
            <v>HA.2323</v>
          </cell>
          <cell r="Q1406">
            <v>0</v>
          </cell>
        </row>
        <row r="1407">
          <cell r="Q1407">
            <v>0</v>
          </cell>
        </row>
        <row r="1408">
          <cell r="Q1408">
            <v>0</v>
          </cell>
        </row>
        <row r="1409">
          <cell r="F1409" t="str">
            <v>KA.2120</v>
          </cell>
          <cell r="Q1409">
            <v>0.58240000000000003</v>
          </cell>
        </row>
        <row r="1410">
          <cell r="Q1410">
            <v>0.21840000000000001</v>
          </cell>
        </row>
        <row r="1411">
          <cell r="F1411" t="str">
            <v>SA.4110</v>
          </cell>
          <cell r="Q1411">
            <v>0.36399999999999999</v>
          </cell>
        </row>
        <row r="1412">
          <cell r="F1412" t="str">
            <v>IA.2211</v>
          </cell>
          <cell r="Q1412">
            <v>0.10627</v>
          </cell>
        </row>
        <row r="1413">
          <cell r="F1413" t="str">
            <v>IA.2221</v>
          </cell>
          <cell r="Q1413">
            <v>0.63244</v>
          </cell>
        </row>
        <row r="1414">
          <cell r="F1414" t="str">
            <v>IA.2231</v>
          </cell>
          <cell r="Q1414">
            <v>0</v>
          </cell>
        </row>
        <row r="1415">
          <cell r="Q1415">
            <v>0</v>
          </cell>
        </row>
        <row r="1416">
          <cell r="F1416" t="str">
            <v>HA.3113</v>
          </cell>
          <cell r="Q1416">
            <v>2.8600000000000003</v>
          </cell>
        </row>
        <row r="1417">
          <cell r="F1417" t="str">
            <v>KA.2210</v>
          </cell>
          <cell r="Q1417">
            <v>0.38400000000000006</v>
          </cell>
        </row>
        <row r="1418">
          <cell r="Q1418">
            <v>0.28800000000000003</v>
          </cell>
        </row>
        <row r="1419">
          <cell r="Q1419">
            <v>9.6000000000000016E-2</v>
          </cell>
        </row>
        <row r="1420">
          <cell r="F1420" t="str">
            <v>IA.2311</v>
          </cell>
          <cell r="Q1420">
            <v>5.9150000000000001E-2</v>
          </cell>
        </row>
        <row r="1421">
          <cell r="F1421" t="str">
            <v>IA.2321</v>
          </cell>
          <cell r="Q1421">
            <v>0.26962999999999998</v>
          </cell>
        </row>
        <row r="1422">
          <cell r="F1422" t="str">
            <v>IA.2331</v>
          </cell>
          <cell r="Q1422">
            <v>0</v>
          </cell>
        </row>
        <row r="1423">
          <cell r="Q1423">
            <v>0</v>
          </cell>
        </row>
        <row r="1424">
          <cell r="F1424" t="str">
            <v>HA.3113</v>
          </cell>
          <cell r="Q1424">
            <v>12.62</v>
          </cell>
        </row>
        <row r="1425">
          <cell r="F1425" t="str">
            <v>KA.2210</v>
          </cell>
          <cell r="Q1425">
            <v>1.6805999999999999</v>
          </cell>
        </row>
        <row r="1426">
          <cell r="Q1426">
            <v>0.32159999999999994</v>
          </cell>
        </row>
        <row r="1427">
          <cell r="Q1427">
            <v>0.16079999999999997</v>
          </cell>
        </row>
        <row r="1428">
          <cell r="Q1428">
            <v>0.1782</v>
          </cell>
        </row>
        <row r="1429">
          <cell r="Q1429">
            <v>0.45359999999999995</v>
          </cell>
        </row>
        <row r="1430">
          <cell r="Q1430">
            <v>0.52800000000000002</v>
          </cell>
        </row>
        <row r="1431">
          <cell r="Q1431">
            <v>3.8400000000000011E-2</v>
          </cell>
        </row>
        <row r="1432">
          <cell r="F1432" t="str">
            <v>IA.2311</v>
          </cell>
          <cell r="Q1432">
            <v>0.29281999999999997</v>
          </cell>
        </row>
        <row r="1433">
          <cell r="F1433" t="str">
            <v>IA.2321</v>
          </cell>
          <cell r="Q1433">
            <v>1.0415800000000002</v>
          </cell>
        </row>
        <row r="1434">
          <cell r="Q1434">
            <v>0</v>
          </cell>
        </row>
        <row r="1435">
          <cell r="F1435" t="str">
            <v>HA.3213</v>
          </cell>
          <cell r="Q1435">
            <v>17.14</v>
          </cell>
        </row>
        <row r="1436">
          <cell r="F1436" t="str">
            <v>KA.2310</v>
          </cell>
          <cell r="Q1436">
            <v>1.7135999999999998</v>
          </cell>
        </row>
        <row r="1437">
          <cell r="F1437" t="str">
            <v>IA.2511</v>
          </cell>
          <cell r="Q1437">
            <v>1.22519</v>
          </cell>
        </row>
        <row r="1438">
          <cell r="Q1438">
            <v>0</v>
          </cell>
        </row>
        <row r="1439">
          <cell r="F1439" t="str">
            <v>NB.2120</v>
          </cell>
          <cell r="Q1439">
            <v>9</v>
          </cell>
        </row>
        <row r="1440">
          <cell r="F1440" t="str">
            <v>TT</v>
          </cell>
          <cell r="Q1440">
            <v>9</v>
          </cell>
        </row>
        <row r="1441">
          <cell r="Q1441">
            <v>0</v>
          </cell>
        </row>
        <row r="1442">
          <cell r="F1442" t="str">
            <v>ZJ.7275</v>
          </cell>
          <cell r="Q1442">
            <v>0.02</v>
          </cell>
        </row>
        <row r="1443">
          <cell r="F1443" t="str">
            <v>ZM.1275</v>
          </cell>
          <cell r="Q1443">
            <v>0</v>
          </cell>
        </row>
        <row r="1444">
          <cell r="F1444" t="str">
            <v>ZM.2240</v>
          </cell>
          <cell r="Q1444">
            <v>4</v>
          </cell>
        </row>
        <row r="1445">
          <cell r="F1445" t="str">
            <v>ZM.1160</v>
          </cell>
          <cell r="Q1445">
            <v>4</v>
          </cell>
        </row>
        <row r="1446">
          <cell r="Q1446">
            <v>0</v>
          </cell>
        </row>
        <row r="1447">
          <cell r="F1447" t="str">
            <v>BA.1442</v>
          </cell>
          <cell r="Q1447">
            <v>24.685333333333336</v>
          </cell>
        </row>
        <row r="1448">
          <cell r="F1448" t="str">
            <v>HA.1111</v>
          </cell>
          <cell r="Q1448">
            <v>13.04</v>
          </cell>
        </row>
        <row r="1449">
          <cell r="Q1449">
            <v>1.6800000000000002</v>
          </cell>
        </row>
        <row r="1450">
          <cell r="Q1450">
            <v>16</v>
          </cell>
        </row>
        <row r="1451">
          <cell r="Q1451">
            <v>-4.6399999999999997</v>
          </cell>
        </row>
        <row r="1452">
          <cell r="F1452" t="str">
            <v>GI.2114</v>
          </cell>
          <cell r="Q1452">
            <v>15</v>
          </cell>
        </row>
        <row r="1453">
          <cell r="Q1453">
            <v>12.600000000000001</v>
          </cell>
        </row>
        <row r="1454">
          <cell r="Q1454">
            <v>4.2</v>
          </cell>
        </row>
        <row r="1455">
          <cell r="Q1455">
            <v>-1.8</v>
          </cell>
        </row>
        <row r="1456">
          <cell r="F1456" t="str">
            <v>GG.2214</v>
          </cell>
          <cell r="Q1456">
            <v>5.6000000000000005</v>
          </cell>
        </row>
        <row r="1457">
          <cell r="F1457" t="str">
            <v>GG.2214</v>
          </cell>
          <cell r="Q1457">
            <v>2.88</v>
          </cell>
        </row>
        <row r="1458">
          <cell r="F1458" t="str">
            <v>PA.1214</v>
          </cell>
          <cell r="Q1458">
            <v>30</v>
          </cell>
        </row>
        <row r="1459">
          <cell r="F1459" t="str">
            <v>PA.3114B</v>
          </cell>
          <cell r="Q1459">
            <v>383.20000000000005</v>
          </cell>
        </row>
        <row r="1460">
          <cell r="Q1460">
            <v>19.600000000000001</v>
          </cell>
        </row>
        <row r="1461">
          <cell r="Q1461">
            <v>108</v>
          </cell>
        </row>
        <row r="1462">
          <cell r="Q1462">
            <v>189</v>
          </cell>
        </row>
        <row r="1463">
          <cell r="Q1463">
            <v>66.599999999999994</v>
          </cell>
        </row>
        <row r="1464">
          <cell r="F1464" t="str">
            <v>PA.4214</v>
          </cell>
          <cell r="Q1464">
            <v>120</v>
          </cell>
        </row>
        <row r="1465">
          <cell r="F1465" t="str">
            <v>RB.2125</v>
          </cell>
          <cell r="Q1465">
            <v>189</v>
          </cell>
        </row>
        <row r="1466">
          <cell r="Q1466">
            <v>0</v>
          </cell>
        </row>
        <row r="1467">
          <cell r="Q1467">
            <v>0</v>
          </cell>
        </row>
        <row r="1468">
          <cell r="F1468" t="str">
            <v>UD.3220SR1</v>
          </cell>
          <cell r="Q1468">
            <v>96</v>
          </cell>
        </row>
        <row r="1469">
          <cell r="F1469" t="str">
            <v>UC.4210SR</v>
          </cell>
          <cell r="Q1469">
            <v>62.4</v>
          </cell>
        </row>
        <row r="1470">
          <cell r="F1470" t="str">
            <v>UB.1110</v>
          </cell>
          <cell r="Q1470">
            <v>150</v>
          </cell>
        </row>
        <row r="1471">
          <cell r="F1471" t="str">
            <v>UC.3110</v>
          </cell>
          <cell r="Q1471">
            <v>150</v>
          </cell>
        </row>
        <row r="1472">
          <cell r="F1472" t="str">
            <v>UB.1120</v>
          </cell>
          <cell r="Q1472">
            <v>383.20000000000005</v>
          </cell>
        </row>
        <row r="1473">
          <cell r="F1473" t="str">
            <v>UC.3120</v>
          </cell>
          <cell r="Q1473">
            <v>383.20000000000005</v>
          </cell>
        </row>
        <row r="1474">
          <cell r="F1474" t="str">
            <v>BB.1411</v>
          </cell>
          <cell r="Q1474">
            <v>80</v>
          </cell>
        </row>
        <row r="1475">
          <cell r="F1475" t="str">
            <v>SA.4110</v>
          </cell>
          <cell r="Q1475">
            <v>108</v>
          </cell>
        </row>
        <row r="1476">
          <cell r="F1476" t="str">
            <v>SA.4110</v>
          </cell>
          <cell r="Q1476">
            <v>52</v>
          </cell>
        </row>
        <row r="1477">
          <cell r="F1477" t="str">
            <v>SA.7111</v>
          </cell>
          <cell r="Q1477">
            <v>61.6</v>
          </cell>
        </row>
        <row r="1478">
          <cell r="Q1478">
            <v>108</v>
          </cell>
        </row>
        <row r="1479">
          <cell r="Q1479">
            <v>-46.4</v>
          </cell>
        </row>
        <row r="1480">
          <cell r="F1480" t="str">
            <v>QA.1310</v>
          </cell>
          <cell r="Q1480">
            <v>4.8000000000000007</v>
          </cell>
        </row>
        <row r="1481">
          <cell r="F1481" t="str">
            <v>BB.1112</v>
          </cell>
          <cell r="Q1481">
            <v>24.685333333333336</v>
          </cell>
        </row>
        <row r="1482">
          <cell r="F1482" t="str">
            <v>RC.1110</v>
          </cell>
          <cell r="Q1482">
            <v>10</v>
          </cell>
        </row>
        <row r="1483">
          <cell r="Q1483">
            <v>9.6800000000000015</v>
          </cell>
        </row>
        <row r="1484">
          <cell r="Q1484">
            <v>3.7949999999999995</v>
          </cell>
        </row>
        <row r="1485">
          <cell r="F1485" t="str">
            <v>ZI.5120</v>
          </cell>
          <cell r="Q1485">
            <v>4</v>
          </cell>
        </row>
        <row r="1486">
          <cell r="F1486" t="str">
            <v>TT</v>
          </cell>
          <cell r="Q1486">
            <v>2.7949999999999999</v>
          </cell>
        </row>
        <row r="1487">
          <cell r="F1487" t="str">
            <v>TT</v>
          </cell>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F1495" t="str">
            <v>BA.1442</v>
          </cell>
          <cell r="Q1495">
            <v>0</v>
          </cell>
        </row>
        <row r="1496">
          <cell r="F1496" t="str">
            <v>HA.1111SR</v>
          </cell>
          <cell r="Q1496">
            <v>0</v>
          </cell>
        </row>
        <row r="1497">
          <cell r="F1497" t="str">
            <v>HA.1213</v>
          </cell>
          <cell r="Q1497">
            <v>0</v>
          </cell>
        </row>
        <row r="1498">
          <cell r="F1498" t="str">
            <v>KA.1220</v>
          </cell>
          <cell r="Q1498">
            <v>0</v>
          </cell>
        </row>
        <row r="1499">
          <cell r="Q1499">
            <v>0</v>
          </cell>
        </row>
        <row r="1500">
          <cell r="Q1500">
            <v>0</v>
          </cell>
        </row>
        <row r="1501">
          <cell r="F1501" t="str">
            <v>HA.2333</v>
          </cell>
          <cell r="Q1501">
            <v>0</v>
          </cell>
        </row>
        <row r="1502">
          <cell r="F1502" t="str">
            <v>KA.2120</v>
          </cell>
          <cell r="Q1502">
            <v>0</v>
          </cell>
        </row>
        <row r="1503">
          <cell r="F1503" t="str">
            <v>B3-13e/CÑ79/57C</v>
          </cell>
          <cell r="Q1503">
            <v>0</v>
          </cell>
        </row>
        <row r="1504">
          <cell r="F1504" t="str">
            <v>BB.1112</v>
          </cell>
          <cell r="Q1504">
            <v>0</v>
          </cell>
        </row>
        <row r="1505">
          <cell r="F1505" t="str">
            <v>IA.1130</v>
          </cell>
          <cell r="Q1505">
            <v>0</v>
          </cell>
        </row>
        <row r="1506">
          <cell r="F1506" t="str">
            <v>IA.1130</v>
          </cell>
          <cell r="Q1506">
            <v>0</v>
          </cell>
        </row>
        <row r="1507">
          <cell r="F1507" t="str">
            <v>IA.1130</v>
          </cell>
          <cell r="Q1507">
            <v>0</v>
          </cell>
        </row>
        <row r="1508">
          <cell r="Q1508">
            <v>0</v>
          </cell>
        </row>
        <row r="1509">
          <cell r="F1509" t="str">
            <v>HA.2323</v>
          </cell>
          <cell r="Q1509">
            <v>0</v>
          </cell>
        </row>
        <row r="1510">
          <cell r="Q1510">
            <v>0</v>
          </cell>
        </row>
        <row r="1511">
          <cell r="Q1511">
            <v>0</v>
          </cell>
        </row>
        <row r="1512">
          <cell r="Q1512">
            <v>0</v>
          </cell>
        </row>
        <row r="1513">
          <cell r="Q1513">
            <v>0</v>
          </cell>
        </row>
        <row r="1514">
          <cell r="Q1514">
            <v>0</v>
          </cell>
        </row>
        <row r="1515">
          <cell r="Q1515">
            <v>0</v>
          </cell>
        </row>
        <row r="1516">
          <cell r="F1516" t="str">
            <v>KA.2120</v>
          </cell>
          <cell r="Q1516">
            <v>0</v>
          </cell>
        </row>
        <row r="1517">
          <cell r="Q1517">
            <v>0</v>
          </cell>
        </row>
        <row r="1518">
          <cell r="Q1518">
            <v>0</v>
          </cell>
        </row>
        <row r="1519">
          <cell r="Q1519">
            <v>0</v>
          </cell>
        </row>
        <row r="1520">
          <cell r="Q1520">
            <v>0</v>
          </cell>
        </row>
        <row r="1521">
          <cell r="Q1521">
            <v>0</v>
          </cell>
        </row>
        <row r="1522">
          <cell r="Q1522">
            <v>0</v>
          </cell>
        </row>
        <row r="1523">
          <cell r="F1523" t="str">
            <v>IA.2231</v>
          </cell>
          <cell r="Q1523">
            <v>0</v>
          </cell>
        </row>
        <row r="1524">
          <cell r="F1524" t="str">
            <v>IA.2231</v>
          </cell>
          <cell r="Q1524">
            <v>0</v>
          </cell>
        </row>
        <row r="1525">
          <cell r="F1525" t="str">
            <v>IA.2231</v>
          </cell>
          <cell r="Q1525">
            <v>0</v>
          </cell>
        </row>
        <row r="1526">
          <cell r="Q1526">
            <v>0</v>
          </cell>
        </row>
        <row r="1527">
          <cell r="F1527" t="str">
            <v>HA.3113</v>
          </cell>
          <cell r="Q1527">
            <v>0</v>
          </cell>
        </row>
        <row r="1528">
          <cell r="F1528" t="str">
            <v>KA.2210</v>
          </cell>
          <cell r="Q1528">
            <v>0</v>
          </cell>
        </row>
        <row r="1529">
          <cell r="Q1529">
            <v>0</v>
          </cell>
        </row>
        <row r="1530">
          <cell r="Q1530">
            <v>0</v>
          </cell>
        </row>
        <row r="1531">
          <cell r="Q1531">
            <v>0</v>
          </cell>
        </row>
        <row r="1532">
          <cell r="Q1532">
            <v>0</v>
          </cell>
        </row>
        <row r="1533">
          <cell r="Q1533">
            <v>0</v>
          </cell>
        </row>
        <row r="1534">
          <cell r="Q1534">
            <v>0</v>
          </cell>
        </row>
        <row r="1535">
          <cell r="F1535" t="str">
            <v>IA.2331</v>
          </cell>
          <cell r="Q1535">
            <v>0</v>
          </cell>
        </row>
        <row r="1536">
          <cell r="F1536" t="str">
            <v>IA.2331</v>
          </cell>
          <cell r="Q1536">
            <v>0</v>
          </cell>
        </row>
        <row r="1537">
          <cell r="F1537" t="str">
            <v>IA.2331</v>
          </cell>
          <cell r="Q1537">
            <v>0</v>
          </cell>
        </row>
        <row r="1538">
          <cell r="Q1538">
            <v>0</v>
          </cell>
        </row>
        <row r="1539">
          <cell r="F1539" t="str">
            <v>HA.3113</v>
          </cell>
          <cell r="Q1539">
            <v>0</v>
          </cell>
        </row>
        <row r="1540">
          <cell r="F1540" t="str">
            <v>KA.2210</v>
          </cell>
          <cell r="Q1540">
            <v>0</v>
          </cell>
        </row>
        <row r="1541">
          <cell r="Q1541">
            <v>0</v>
          </cell>
        </row>
        <row r="1542">
          <cell r="Q1542">
            <v>0</v>
          </cell>
        </row>
        <row r="1543">
          <cell r="Q1543">
            <v>0</v>
          </cell>
        </row>
        <row r="1544">
          <cell r="F1544" t="str">
            <v>IA.2331</v>
          </cell>
          <cell r="Q1544">
            <v>0</v>
          </cell>
        </row>
        <row r="1545">
          <cell r="F1545" t="str">
            <v>IA.2331</v>
          </cell>
          <cell r="Q1545">
            <v>0</v>
          </cell>
        </row>
        <row r="1546">
          <cell r="Q1546">
            <v>0</v>
          </cell>
        </row>
        <row r="1547">
          <cell r="F1547" t="str">
            <v>HA.3313</v>
          </cell>
          <cell r="Q1547">
            <v>0</v>
          </cell>
        </row>
        <row r="1548">
          <cell r="F1548" t="str">
            <v>KA.2320</v>
          </cell>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F1560" t="str">
            <v>IA.2411</v>
          </cell>
          <cell r="Q1560">
            <v>0</v>
          </cell>
        </row>
        <row r="1561">
          <cell r="F1561" t="str">
            <v>IA.2421</v>
          </cell>
          <cell r="Q1561">
            <v>0</v>
          </cell>
        </row>
        <row r="1562">
          <cell r="Q1562">
            <v>0</v>
          </cell>
        </row>
        <row r="1563">
          <cell r="Q1563">
            <v>0</v>
          </cell>
        </row>
        <row r="1564">
          <cell r="F1564" t="str">
            <v>HA.3113</v>
          </cell>
          <cell r="Q1564">
            <v>0</v>
          </cell>
        </row>
        <row r="1565">
          <cell r="Q1565">
            <v>0</v>
          </cell>
        </row>
        <row r="1566">
          <cell r="Q1566">
            <v>0</v>
          </cell>
        </row>
        <row r="1567">
          <cell r="Q1567">
            <v>0</v>
          </cell>
        </row>
        <row r="1568">
          <cell r="F1568" t="str">
            <v>KA.2210</v>
          </cell>
          <cell r="Q1568">
            <v>0</v>
          </cell>
        </row>
        <row r="1569">
          <cell r="Q1569">
            <v>0</v>
          </cell>
        </row>
        <row r="1570">
          <cell r="Q1570">
            <v>0</v>
          </cell>
        </row>
        <row r="1571">
          <cell r="Q1571">
            <v>0</v>
          </cell>
        </row>
        <row r="1572">
          <cell r="F1572" t="str">
            <v>IA.2331</v>
          </cell>
          <cell r="Q1572">
            <v>0</v>
          </cell>
        </row>
        <row r="1573">
          <cell r="F1573" t="str">
            <v>IA.2331</v>
          </cell>
          <cell r="Q1573">
            <v>0</v>
          </cell>
        </row>
        <row r="1574">
          <cell r="Q1574">
            <v>0</v>
          </cell>
        </row>
        <row r="1575">
          <cell r="F1575" t="str">
            <v>HA.3213</v>
          </cell>
          <cell r="Q1575">
            <v>0</v>
          </cell>
        </row>
        <row r="1576">
          <cell r="F1576" t="str">
            <v>KA.2310</v>
          </cell>
          <cell r="Q1576">
            <v>0</v>
          </cell>
        </row>
        <row r="1577">
          <cell r="F1577" t="str">
            <v>IA.2531</v>
          </cell>
          <cell r="Q1577">
            <v>0</v>
          </cell>
        </row>
        <row r="1578">
          <cell r="Q1578">
            <v>0</v>
          </cell>
        </row>
        <row r="1579">
          <cell r="F1579" t="str">
            <v>HA.3213</v>
          </cell>
          <cell r="Q1579">
            <v>0</v>
          </cell>
        </row>
        <row r="1580">
          <cell r="F1580" t="str">
            <v>KA.2310</v>
          </cell>
          <cell r="Q1580">
            <v>0</v>
          </cell>
        </row>
        <row r="1581">
          <cell r="F1581" t="str">
            <v>HA.2113</v>
          </cell>
          <cell r="Q1581">
            <v>0</v>
          </cell>
        </row>
        <row r="1582">
          <cell r="F1582" t="str">
            <v>KA.2510</v>
          </cell>
          <cell r="Q1582">
            <v>0</v>
          </cell>
        </row>
        <row r="1583">
          <cell r="F1583" t="str">
            <v>IA.2111</v>
          </cell>
          <cell r="Q1583">
            <v>0</v>
          </cell>
        </row>
        <row r="1584">
          <cell r="Q1584">
            <v>0</v>
          </cell>
        </row>
        <row r="1585">
          <cell r="F1585" t="str">
            <v>HG.4113</v>
          </cell>
          <cell r="Q1585">
            <v>0</v>
          </cell>
        </row>
        <row r="1586">
          <cell r="Q1586">
            <v>0</v>
          </cell>
        </row>
        <row r="1587">
          <cell r="Q1587">
            <v>0</v>
          </cell>
        </row>
        <row r="1588">
          <cell r="Q1588">
            <v>0</v>
          </cell>
        </row>
        <row r="1589">
          <cell r="Q1589">
            <v>0</v>
          </cell>
        </row>
        <row r="1590">
          <cell r="F1590" t="str">
            <v>KP.2310</v>
          </cell>
          <cell r="Q1590">
            <v>0</v>
          </cell>
        </row>
        <row r="1591">
          <cell r="Q1591">
            <v>0</v>
          </cell>
        </row>
        <row r="1592">
          <cell r="Q1592">
            <v>0</v>
          </cell>
        </row>
        <row r="1593">
          <cell r="Q1593">
            <v>0</v>
          </cell>
        </row>
        <row r="1594">
          <cell r="Q1594">
            <v>0</v>
          </cell>
        </row>
        <row r="1595">
          <cell r="F1595" t="str">
            <v>IB.2511</v>
          </cell>
          <cell r="Q1595">
            <v>0</v>
          </cell>
        </row>
        <row r="1596">
          <cell r="F1596" t="str">
            <v>LA.5110</v>
          </cell>
          <cell r="Q1596">
            <v>0</v>
          </cell>
        </row>
        <row r="1597">
          <cell r="Q1597">
            <v>0</v>
          </cell>
        </row>
        <row r="1598">
          <cell r="F1598" t="str">
            <v>BA.1442</v>
          </cell>
          <cell r="Q1598">
            <v>0</v>
          </cell>
        </row>
        <row r="1599">
          <cell r="F1599" t="str">
            <v>HA.1111SR</v>
          </cell>
          <cell r="Q1599">
            <v>0</v>
          </cell>
        </row>
        <row r="1600">
          <cell r="Q1600">
            <v>0</v>
          </cell>
        </row>
        <row r="1601">
          <cell r="Q1601">
            <v>0</v>
          </cell>
        </row>
        <row r="1602">
          <cell r="F1602" t="str">
            <v>KA.1110</v>
          </cell>
          <cell r="Q1602">
            <v>0</v>
          </cell>
        </row>
        <row r="1603">
          <cell r="Q1603">
            <v>0</v>
          </cell>
        </row>
        <row r="1604">
          <cell r="F1604" t="str">
            <v>BB.1112</v>
          </cell>
          <cell r="Q1604">
            <v>0</v>
          </cell>
        </row>
        <row r="1605">
          <cell r="F1605" t="str">
            <v>HA.3313</v>
          </cell>
          <cell r="Q1605">
            <v>0</v>
          </cell>
        </row>
        <row r="1606">
          <cell r="Q1606">
            <v>0</v>
          </cell>
        </row>
        <row r="1607">
          <cell r="Q1607">
            <v>0</v>
          </cell>
        </row>
        <row r="1608">
          <cell r="F1608" t="str">
            <v>KA.1110</v>
          </cell>
          <cell r="Q1608">
            <v>0</v>
          </cell>
        </row>
        <row r="1609">
          <cell r="Q1609">
            <v>0</v>
          </cell>
        </row>
        <row r="1610">
          <cell r="Q1610">
            <v>0</v>
          </cell>
        </row>
        <row r="1611">
          <cell r="F1611" t="str">
            <v>IA.2511</v>
          </cell>
          <cell r="Q1611">
            <v>0</v>
          </cell>
        </row>
        <row r="1612">
          <cell r="F1612" t="str">
            <v>HG.4113</v>
          </cell>
          <cell r="Q1612">
            <v>0</v>
          </cell>
        </row>
        <row r="1613">
          <cell r="Q1613">
            <v>0</v>
          </cell>
        </row>
        <row r="1614">
          <cell r="Q1614">
            <v>0</v>
          </cell>
        </row>
        <row r="1615">
          <cell r="Q1615">
            <v>0</v>
          </cell>
        </row>
        <row r="1616">
          <cell r="F1616" t="str">
            <v>KP.2310</v>
          </cell>
          <cell r="Q1616">
            <v>0</v>
          </cell>
        </row>
        <row r="1617">
          <cell r="Q1617">
            <v>0</v>
          </cell>
        </row>
        <row r="1618">
          <cell r="Q1618">
            <v>0</v>
          </cell>
        </row>
        <row r="1619">
          <cell r="Q1619">
            <v>0</v>
          </cell>
        </row>
        <row r="1620">
          <cell r="F1620" t="str">
            <v>IA.3511</v>
          </cell>
          <cell r="Q1620">
            <v>0</v>
          </cell>
        </row>
        <row r="1621">
          <cell r="F1621" t="str">
            <v>09-09</v>
          </cell>
          <cell r="Q1621">
            <v>0</v>
          </cell>
        </row>
        <row r="1622">
          <cell r="F1622" t="str">
            <v>HA.3113</v>
          </cell>
          <cell r="Q1622">
            <v>0</v>
          </cell>
        </row>
        <row r="1623">
          <cell r="F1623" t="str">
            <v>KA.2210</v>
          </cell>
          <cell r="Q1623">
            <v>0</v>
          </cell>
        </row>
        <row r="1624">
          <cell r="F1624" t="str">
            <v>IA.2311</v>
          </cell>
          <cell r="Q1624">
            <v>0</v>
          </cell>
        </row>
        <row r="1625">
          <cell r="F1625" t="str">
            <v>GG.2214</v>
          </cell>
          <cell r="Q1625">
            <v>0</v>
          </cell>
        </row>
        <row r="1626">
          <cell r="Q1626">
            <v>0</v>
          </cell>
        </row>
        <row r="1627">
          <cell r="Q1627">
            <v>0</v>
          </cell>
        </row>
        <row r="1628">
          <cell r="F1628" t="str">
            <v>PA.1214</v>
          </cell>
          <cell r="Q1628">
            <v>0</v>
          </cell>
        </row>
        <row r="1629">
          <cell r="F1629" t="str">
            <v>RB.2125</v>
          </cell>
          <cell r="Q1629">
            <v>0</v>
          </cell>
        </row>
        <row r="1630">
          <cell r="F1630" t="str">
            <v>TT</v>
          </cell>
          <cell r="Q1630">
            <v>0</v>
          </cell>
        </row>
        <row r="1631">
          <cell r="F1631" t="str">
            <v>ZJ.7272</v>
          </cell>
          <cell r="Q1631">
            <v>0</v>
          </cell>
        </row>
        <row r="1632">
          <cell r="F1632" t="str">
            <v>ZM.1272</v>
          </cell>
          <cell r="Q1632">
            <v>0</v>
          </cell>
        </row>
        <row r="1633">
          <cell r="F1633" t="str">
            <v>ZI.5120</v>
          </cell>
          <cell r="Q1633">
            <v>0</v>
          </cell>
        </row>
        <row r="1634">
          <cell r="F1634" t="str">
            <v>ZJ.7275</v>
          </cell>
          <cell r="Q1634">
            <v>0</v>
          </cell>
        </row>
        <row r="1635">
          <cell r="F1635" t="str">
            <v>ZM.2240</v>
          </cell>
          <cell r="Q1635">
            <v>0</v>
          </cell>
        </row>
        <row r="1636">
          <cell r="F1636" t="str">
            <v>BB.1112</v>
          </cell>
          <cell r="Q1636">
            <v>0</v>
          </cell>
        </row>
        <row r="1637">
          <cell r="Q1637">
            <v>0</v>
          </cell>
        </row>
        <row r="1638">
          <cell r="F1638" t="str">
            <v>ZI.2110</v>
          </cell>
          <cell r="Q1638">
            <v>0</v>
          </cell>
        </row>
        <row r="1639">
          <cell r="F1639" t="str">
            <v>ZI.1110</v>
          </cell>
          <cell r="Q1639">
            <v>0</v>
          </cell>
        </row>
        <row r="1640">
          <cell r="F1640" t="str">
            <v>ZI.3110</v>
          </cell>
          <cell r="Q1640">
            <v>0</v>
          </cell>
        </row>
        <row r="1641">
          <cell r="F1641" t="str">
            <v>ZI.6140</v>
          </cell>
          <cell r="Q1641">
            <v>0</v>
          </cell>
        </row>
        <row r="1642">
          <cell r="F1642" t="str">
            <v>ZI.6110</v>
          </cell>
          <cell r="Q1642">
            <v>0</v>
          </cell>
        </row>
        <row r="1643">
          <cell r="F1643" t="str">
            <v>ZI.8110</v>
          </cell>
          <cell r="Q1643">
            <v>0</v>
          </cell>
        </row>
        <row r="1644">
          <cell r="F1644" t="str">
            <v>TT</v>
          </cell>
          <cell r="Q1644">
            <v>0</v>
          </cell>
        </row>
        <row r="1645">
          <cell r="F1645" t="str">
            <v>ZJ.7220</v>
          </cell>
          <cell r="Q1645">
            <v>0</v>
          </cell>
        </row>
        <row r="1646">
          <cell r="F1646" t="str">
            <v>ZM.1210</v>
          </cell>
          <cell r="Q1646">
            <v>0</v>
          </cell>
        </row>
        <row r="1647">
          <cell r="F1647" t="str">
            <v>ZM.2110</v>
          </cell>
          <cell r="Q1647">
            <v>0</v>
          </cell>
        </row>
        <row r="1648">
          <cell r="F1648" t="str">
            <v>ZJ.7220</v>
          </cell>
          <cell r="Q1648">
            <v>0</v>
          </cell>
        </row>
        <row r="1649">
          <cell r="F1649" t="str">
            <v>ZM.1220</v>
          </cell>
          <cell r="Q1649">
            <v>0</v>
          </cell>
        </row>
        <row r="1650">
          <cell r="F1650" t="str">
            <v>ZM.2120</v>
          </cell>
          <cell r="Q1650">
            <v>0</v>
          </cell>
        </row>
        <row r="1651">
          <cell r="F1651" t="str">
            <v>ZJ.7240</v>
          </cell>
          <cell r="Q1651">
            <v>0</v>
          </cell>
        </row>
        <row r="1652">
          <cell r="F1652" t="str">
            <v>ZM.1240</v>
          </cell>
          <cell r="Q1652">
            <v>0</v>
          </cell>
        </row>
        <row r="1653">
          <cell r="F1653" t="str">
            <v>ZM.2140</v>
          </cell>
          <cell r="Q1653">
            <v>0</v>
          </cell>
        </row>
        <row r="1654">
          <cell r="F1654" t="str">
            <v>TT</v>
          </cell>
          <cell r="Q1654">
            <v>0</v>
          </cell>
        </row>
        <row r="1655">
          <cell r="F1655" t="str">
            <v>ZJ.7272</v>
          </cell>
          <cell r="Q1655">
            <v>0</v>
          </cell>
        </row>
        <row r="1656">
          <cell r="F1656" t="str">
            <v>ZM.1272</v>
          </cell>
          <cell r="Q1656">
            <v>0</v>
          </cell>
        </row>
        <row r="1657">
          <cell r="F1657" t="str">
            <v>ZM.1160</v>
          </cell>
          <cell r="Q1657">
            <v>0</v>
          </cell>
        </row>
        <row r="1658">
          <cell r="F1658" t="str">
            <v>ZI.5120</v>
          </cell>
          <cell r="Q1658">
            <v>0</v>
          </cell>
        </row>
        <row r="1659">
          <cell r="F1659" t="str">
            <v>ZJ.7275</v>
          </cell>
          <cell r="Q1659">
            <v>0</v>
          </cell>
        </row>
        <row r="1660">
          <cell r="F1660" t="str">
            <v>ZM.1275</v>
          </cell>
          <cell r="Q1660">
            <v>0</v>
          </cell>
        </row>
        <row r="1661">
          <cell r="F1661" t="str">
            <v>ZM.2240</v>
          </cell>
          <cell r="Q1661">
            <v>0</v>
          </cell>
        </row>
        <row r="1662">
          <cell r="F1662" t="str">
            <v>ZM.1160</v>
          </cell>
          <cell r="Q1662">
            <v>0</v>
          </cell>
        </row>
        <row r="1663">
          <cell r="F1663" t="str">
            <v>TT</v>
          </cell>
          <cell r="Q1663">
            <v>0</v>
          </cell>
        </row>
        <row r="1664">
          <cell r="Q1664">
            <v>0</v>
          </cell>
        </row>
        <row r="1665">
          <cell r="F1665" t="str">
            <v>NB.2120</v>
          </cell>
          <cell r="Q1665">
            <v>0</v>
          </cell>
        </row>
        <row r="1666">
          <cell r="Q1666">
            <v>0</v>
          </cell>
        </row>
        <row r="1667">
          <cell r="Q1667">
            <v>0</v>
          </cell>
        </row>
        <row r="1668">
          <cell r="F1668" t="str">
            <v>TT</v>
          </cell>
          <cell r="Q1668">
            <v>0</v>
          </cell>
        </row>
        <row r="1669">
          <cell r="F1669" t="str">
            <v>NB.2120</v>
          </cell>
          <cell r="Q1669">
            <v>0</v>
          </cell>
        </row>
        <row r="1670">
          <cell r="F1670" t="str">
            <v>TT</v>
          </cell>
          <cell r="Q1670">
            <v>0</v>
          </cell>
        </row>
        <row r="1671">
          <cell r="F1671" t="str">
            <v>NB.2120</v>
          </cell>
          <cell r="Q1671">
            <v>0</v>
          </cell>
        </row>
        <row r="1672">
          <cell r="F1672" t="str">
            <v>TT</v>
          </cell>
          <cell r="Q1672">
            <v>0</v>
          </cell>
        </row>
        <row r="1673">
          <cell r="F1673" t="str">
            <v>NB.2120</v>
          </cell>
          <cell r="Q1673">
            <v>0</v>
          </cell>
        </row>
        <row r="1674">
          <cell r="F1674" t="str">
            <v>TT</v>
          </cell>
          <cell r="Q1674">
            <v>0</v>
          </cell>
        </row>
        <row r="1675">
          <cell r="Q1675">
            <v>0</v>
          </cell>
        </row>
        <row r="1676">
          <cell r="F1676" t="str">
            <v>BA.1442</v>
          </cell>
          <cell r="Q1676">
            <v>0</v>
          </cell>
        </row>
        <row r="1677">
          <cell r="F1677" t="str">
            <v>HA.1111</v>
          </cell>
          <cell r="Q1677">
            <v>0</v>
          </cell>
        </row>
        <row r="1678">
          <cell r="Q1678">
            <v>0</v>
          </cell>
        </row>
        <row r="1679">
          <cell r="Q1679">
            <v>0</v>
          </cell>
        </row>
        <row r="1680">
          <cell r="Q1680">
            <v>0</v>
          </cell>
        </row>
        <row r="1681">
          <cell r="Q1681">
            <v>0</v>
          </cell>
        </row>
        <row r="1682">
          <cell r="Q1682">
            <v>0</v>
          </cell>
        </row>
        <row r="1683">
          <cell r="F1683" t="str">
            <v>HA.3213</v>
          </cell>
          <cell r="Q1683">
            <v>0</v>
          </cell>
        </row>
        <row r="1684">
          <cell r="F1684" t="str">
            <v>KP.2310</v>
          </cell>
          <cell r="Q1684">
            <v>0</v>
          </cell>
        </row>
        <row r="1685">
          <cell r="F1685" t="str">
            <v>GI.1114</v>
          </cell>
          <cell r="Q1685">
            <v>0</v>
          </cell>
        </row>
        <row r="1686">
          <cell r="F1686" t="str">
            <v>GI.2114</v>
          </cell>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F1695" t="str">
            <v>GG.2314</v>
          </cell>
          <cell r="Q1695">
            <v>0</v>
          </cell>
        </row>
        <row r="1696">
          <cell r="F1696" t="str">
            <v>GG.2214</v>
          </cell>
          <cell r="Q1696">
            <v>0</v>
          </cell>
        </row>
        <row r="1697">
          <cell r="Q1697">
            <v>0</v>
          </cell>
        </row>
        <row r="1698">
          <cell r="Q1698">
            <v>0</v>
          </cell>
        </row>
        <row r="1699">
          <cell r="F1699" t="str">
            <v>GG.2114</v>
          </cell>
          <cell r="Q1699">
            <v>0</v>
          </cell>
        </row>
        <row r="1700">
          <cell r="F1700" t="str">
            <v>PA.1214</v>
          </cell>
          <cell r="Q1700">
            <v>0</v>
          </cell>
        </row>
        <row r="1701">
          <cell r="F1701" t="str">
            <v>PA.3114B</v>
          </cell>
          <cell r="Q1701">
            <v>0</v>
          </cell>
        </row>
        <row r="1702">
          <cell r="Q1702">
            <v>0</v>
          </cell>
        </row>
        <row r="1703">
          <cell r="Q1703">
            <v>0</v>
          </cell>
        </row>
        <row r="1704">
          <cell r="Q1704">
            <v>0</v>
          </cell>
        </row>
        <row r="1705">
          <cell r="F1705" t="str">
            <v>UB.1110</v>
          </cell>
          <cell r="Q1705">
            <v>0</v>
          </cell>
        </row>
        <row r="1706">
          <cell r="Q1706">
            <v>0</v>
          </cell>
        </row>
        <row r="1707">
          <cell r="Q1707">
            <v>0</v>
          </cell>
        </row>
        <row r="1708">
          <cell r="Q1708">
            <v>0</v>
          </cell>
        </row>
        <row r="1709">
          <cell r="F1709" t="str">
            <v>PA.4214</v>
          </cell>
          <cell r="Q1709">
            <v>0</v>
          </cell>
        </row>
        <row r="1710">
          <cell r="F1710" t="str">
            <v>QB.4110SR</v>
          </cell>
          <cell r="Q1710">
            <v>0</v>
          </cell>
        </row>
        <row r="1711">
          <cell r="Q1711">
            <v>0</v>
          </cell>
        </row>
        <row r="1712">
          <cell r="Q1712">
            <v>0</v>
          </cell>
        </row>
        <row r="1713">
          <cell r="Q1713">
            <v>0</v>
          </cell>
        </row>
        <row r="1714">
          <cell r="Q1714">
            <v>0</v>
          </cell>
        </row>
        <row r="1715">
          <cell r="F1715" t="str">
            <v>QB.1210</v>
          </cell>
          <cell r="Q1715">
            <v>0</v>
          </cell>
        </row>
        <row r="1716">
          <cell r="F1716" t="str">
            <v>RB.2125</v>
          </cell>
          <cell r="Q1716">
            <v>0</v>
          </cell>
        </row>
        <row r="1717">
          <cell r="Q1717">
            <v>0</v>
          </cell>
        </row>
        <row r="1718">
          <cell r="Q1718">
            <v>0</v>
          </cell>
        </row>
        <row r="1719">
          <cell r="F1719" t="str">
            <v>UD.3220SR1</v>
          </cell>
        </row>
        <row r="1720">
          <cell r="F1720" t="str">
            <v>UC.4210SR</v>
          </cell>
          <cell r="Q1720">
            <v>0</v>
          </cell>
        </row>
        <row r="1721">
          <cell r="F1721" t="str">
            <v>UB.1110</v>
          </cell>
          <cell r="Q1721">
            <v>0</v>
          </cell>
        </row>
        <row r="1722">
          <cell r="F1722" t="str">
            <v>UC.3110</v>
          </cell>
          <cell r="Q1722">
            <v>0</v>
          </cell>
        </row>
        <row r="1723">
          <cell r="F1723" t="str">
            <v>BB.1411</v>
          </cell>
          <cell r="Q1723">
            <v>0</v>
          </cell>
        </row>
        <row r="1724">
          <cell r="F1724" t="str">
            <v>SA.4110</v>
          </cell>
          <cell r="Q1724">
            <v>0</v>
          </cell>
        </row>
        <row r="1725">
          <cell r="F1725" t="str">
            <v>SA.7111</v>
          </cell>
          <cell r="Q1725">
            <v>0</v>
          </cell>
        </row>
        <row r="1726">
          <cell r="Q1726">
            <v>0</v>
          </cell>
        </row>
        <row r="1727">
          <cell r="Q1727">
            <v>0</v>
          </cell>
        </row>
        <row r="1728">
          <cell r="Q1728">
            <v>0</v>
          </cell>
        </row>
        <row r="1729">
          <cell r="Q1729">
            <v>0</v>
          </cell>
        </row>
        <row r="1730">
          <cell r="F1730" t="str">
            <v>SA.7111</v>
          </cell>
          <cell r="Q1730">
            <v>0</v>
          </cell>
        </row>
        <row r="1731">
          <cell r="F1731" t="str">
            <v>QA.1310</v>
          </cell>
          <cell r="Q1731">
            <v>0</v>
          </cell>
        </row>
        <row r="1732">
          <cell r="F1732" t="str">
            <v>BB.1112</v>
          </cell>
          <cell r="Q1732">
            <v>0</v>
          </cell>
        </row>
        <row r="1733">
          <cell r="F1733" t="str">
            <v>RC.1110</v>
          </cell>
          <cell r="Q1733">
            <v>0</v>
          </cell>
        </row>
        <row r="1734">
          <cell r="Q1734">
            <v>0</v>
          </cell>
        </row>
        <row r="1735">
          <cell r="Q1735">
            <v>0</v>
          </cell>
        </row>
        <row r="1736">
          <cell r="F1736" t="str">
            <v>ZI.5120</v>
          </cell>
          <cell r="Q1736">
            <v>0</v>
          </cell>
        </row>
        <row r="1737">
          <cell r="F1737" t="str">
            <v>TT</v>
          </cell>
          <cell r="Q1737">
            <v>0</v>
          </cell>
        </row>
        <row r="1738">
          <cell r="F1738" t="str">
            <v>TT</v>
          </cell>
          <cell r="Q1738">
            <v>0</v>
          </cell>
        </row>
        <row r="1739">
          <cell r="Q1739">
            <v>0</v>
          </cell>
        </row>
        <row r="1740">
          <cell r="Q1740">
            <v>0</v>
          </cell>
        </row>
        <row r="1741">
          <cell r="Q1741">
            <v>0</v>
          </cell>
        </row>
        <row r="1742">
          <cell r="Q1742">
            <v>0</v>
          </cell>
        </row>
        <row r="1743">
          <cell r="Q1743">
            <v>0</v>
          </cell>
        </row>
        <row r="1744">
          <cell r="Q1744">
            <v>0</v>
          </cell>
        </row>
        <row r="1745">
          <cell r="Q1745">
            <v>0</v>
          </cell>
        </row>
        <row r="1746">
          <cell r="F1746" t="str">
            <v>BA.1442</v>
          </cell>
          <cell r="Q1746">
            <v>0</v>
          </cell>
        </row>
        <row r="1747">
          <cell r="F1747" t="str">
            <v>HA.1111SR</v>
          </cell>
          <cell r="Q1747">
            <v>0</v>
          </cell>
        </row>
        <row r="1748">
          <cell r="F1748" t="str">
            <v>HA.1213</v>
          </cell>
          <cell r="Q1748">
            <v>0</v>
          </cell>
        </row>
        <row r="1749">
          <cell r="F1749" t="str">
            <v>KA.1220</v>
          </cell>
          <cell r="Q1749">
            <v>0</v>
          </cell>
        </row>
        <row r="1750">
          <cell r="Q1750">
            <v>0</v>
          </cell>
        </row>
        <row r="1751">
          <cell r="Q1751">
            <v>0</v>
          </cell>
        </row>
        <row r="1752">
          <cell r="F1752" t="str">
            <v>HA.2313</v>
          </cell>
          <cell r="Q1752">
            <v>0</v>
          </cell>
        </row>
        <row r="1753">
          <cell r="F1753" t="str">
            <v>KA.2120</v>
          </cell>
          <cell r="Q1753">
            <v>0</v>
          </cell>
        </row>
        <row r="1754">
          <cell r="F1754" t="str">
            <v>B3-13e/CÑ79/57C</v>
          </cell>
          <cell r="Q1754">
            <v>0</v>
          </cell>
        </row>
        <row r="1755">
          <cell r="F1755" t="str">
            <v>BB.1112</v>
          </cell>
          <cell r="Q1755">
            <v>0</v>
          </cell>
        </row>
        <row r="1756">
          <cell r="Q1756">
            <v>0</v>
          </cell>
        </row>
        <row r="1757">
          <cell r="F1757" t="str">
            <v>BA.1442</v>
          </cell>
          <cell r="Q1757">
            <v>0</v>
          </cell>
        </row>
        <row r="1758">
          <cell r="F1758" t="str">
            <v>HA.1111SR</v>
          </cell>
          <cell r="Q1758">
            <v>0</v>
          </cell>
        </row>
        <row r="1759">
          <cell r="F1759" t="str">
            <v>HA.1213</v>
          </cell>
          <cell r="Q1759">
            <v>0</v>
          </cell>
        </row>
        <row r="1760">
          <cell r="F1760" t="str">
            <v>KA.1220</v>
          </cell>
          <cell r="Q1760">
            <v>0</v>
          </cell>
        </row>
        <row r="1761">
          <cell r="Q1761">
            <v>0</v>
          </cell>
        </row>
        <row r="1762">
          <cell r="Q1762">
            <v>0</v>
          </cell>
        </row>
        <row r="1763">
          <cell r="F1763" t="str">
            <v>HA.2313</v>
          </cell>
          <cell r="Q1763">
            <v>0</v>
          </cell>
        </row>
        <row r="1764">
          <cell r="F1764" t="str">
            <v>KA.2120</v>
          </cell>
          <cell r="Q1764">
            <v>0</v>
          </cell>
        </row>
        <row r="1765">
          <cell r="F1765" t="str">
            <v>B3-13e/CÑ79/57C</v>
          </cell>
          <cell r="Q1765">
            <v>0</v>
          </cell>
        </row>
        <row r="1766">
          <cell r="F1766" t="str">
            <v>BB.1112</v>
          </cell>
          <cell r="Q1766">
            <v>0</v>
          </cell>
        </row>
        <row r="1767">
          <cell r="Q1767">
            <v>0</v>
          </cell>
        </row>
        <row r="1768">
          <cell r="F1768" t="str">
            <v>BA.1442</v>
          </cell>
          <cell r="Q1768">
            <v>0</v>
          </cell>
        </row>
        <row r="1769">
          <cell r="F1769" t="str">
            <v>HA.1111SR</v>
          </cell>
          <cell r="Q1769">
            <v>0</v>
          </cell>
        </row>
        <row r="1770">
          <cell r="F1770" t="str">
            <v>HA.1213</v>
          </cell>
          <cell r="Q1770">
            <v>0</v>
          </cell>
        </row>
        <row r="1771">
          <cell r="F1771" t="str">
            <v>KA.1220</v>
          </cell>
          <cell r="Q1771">
            <v>0</v>
          </cell>
        </row>
        <row r="1772">
          <cell r="Q1772">
            <v>0</v>
          </cell>
        </row>
        <row r="1773">
          <cell r="Q1773">
            <v>0</v>
          </cell>
        </row>
        <row r="1774">
          <cell r="F1774" t="str">
            <v>HA.2313</v>
          </cell>
          <cell r="Q1774">
            <v>0</v>
          </cell>
        </row>
        <row r="1775">
          <cell r="F1775" t="str">
            <v>KA.2120</v>
          </cell>
          <cell r="Q1775">
            <v>0</v>
          </cell>
        </row>
        <row r="1776">
          <cell r="F1776" t="str">
            <v>B3-13e/CÑ79/57C</v>
          </cell>
          <cell r="Q1776">
            <v>0</v>
          </cell>
        </row>
        <row r="1777">
          <cell r="F1777" t="str">
            <v>BB.1112</v>
          </cell>
          <cell r="Q1777">
            <v>0</v>
          </cell>
        </row>
        <row r="1778">
          <cell r="Q1778">
            <v>0</v>
          </cell>
        </row>
        <row r="1779">
          <cell r="F1779" t="str">
            <v>BA.1442</v>
          </cell>
          <cell r="Q1779">
            <v>0</v>
          </cell>
        </row>
        <row r="1780">
          <cell r="F1780" t="str">
            <v>HA.1111SR</v>
          </cell>
          <cell r="Q1780">
            <v>0</v>
          </cell>
        </row>
        <row r="1781">
          <cell r="F1781" t="str">
            <v>HA.1213</v>
          </cell>
          <cell r="Q1781">
            <v>0</v>
          </cell>
        </row>
        <row r="1782">
          <cell r="F1782" t="str">
            <v>KA.1220</v>
          </cell>
          <cell r="Q1782">
            <v>0</v>
          </cell>
        </row>
        <row r="1783">
          <cell r="Q1783">
            <v>0</v>
          </cell>
        </row>
        <row r="1784">
          <cell r="Q1784">
            <v>0</v>
          </cell>
        </row>
        <row r="1785">
          <cell r="F1785" t="str">
            <v>HA.2313</v>
          </cell>
          <cell r="Q1785">
            <v>0</v>
          </cell>
        </row>
        <row r="1786">
          <cell r="F1786" t="str">
            <v>KA.2120</v>
          </cell>
          <cell r="Q1786">
            <v>0</v>
          </cell>
        </row>
        <row r="1787">
          <cell r="F1787" t="str">
            <v>B3-13e/CÑ79/57C</v>
          </cell>
          <cell r="Q1787">
            <v>0</v>
          </cell>
        </row>
        <row r="1788">
          <cell r="F1788" t="str">
            <v>BB.1112</v>
          </cell>
          <cell r="Q1788">
            <v>0</v>
          </cell>
        </row>
        <row r="1789">
          <cell r="Q1789">
            <v>0</v>
          </cell>
        </row>
        <row r="1790">
          <cell r="F1790" t="str">
            <v>BA.1442</v>
          </cell>
          <cell r="Q1790">
            <v>0</v>
          </cell>
        </row>
        <row r="1791">
          <cell r="F1791" t="str">
            <v>HA.1111SR</v>
          </cell>
          <cell r="Q1791">
            <v>0</v>
          </cell>
        </row>
        <row r="1792">
          <cell r="F1792" t="str">
            <v>HA.1213</v>
          </cell>
          <cell r="Q1792">
            <v>0</v>
          </cell>
        </row>
        <row r="1793">
          <cell r="F1793" t="str">
            <v>KA.1220</v>
          </cell>
          <cell r="Q1793">
            <v>0</v>
          </cell>
        </row>
        <row r="1794">
          <cell r="Q1794">
            <v>0</v>
          </cell>
        </row>
        <row r="1795">
          <cell r="Q1795">
            <v>0</v>
          </cell>
        </row>
        <row r="1796">
          <cell r="F1796" t="str">
            <v>HA.2313</v>
          </cell>
          <cell r="Q1796">
            <v>0</v>
          </cell>
        </row>
        <row r="1797">
          <cell r="F1797" t="str">
            <v>KA.2120</v>
          </cell>
          <cell r="Q1797">
            <v>0</v>
          </cell>
        </row>
        <row r="1798">
          <cell r="F1798" t="str">
            <v>B3-13e/CÑ79/57C</v>
          </cell>
          <cell r="Q1798">
            <v>0</v>
          </cell>
        </row>
        <row r="1799">
          <cell r="F1799" t="str">
            <v>BB.1112</v>
          </cell>
          <cell r="Q1799">
            <v>0</v>
          </cell>
        </row>
        <row r="1800">
          <cell r="Q1800">
            <v>0</v>
          </cell>
        </row>
        <row r="1801">
          <cell r="F1801" t="str">
            <v>BA.1442</v>
          </cell>
          <cell r="Q1801">
            <v>0</v>
          </cell>
        </row>
        <row r="1802">
          <cell r="F1802" t="str">
            <v>HA.1111SR</v>
          </cell>
          <cell r="Q1802">
            <v>0</v>
          </cell>
        </row>
        <row r="1803">
          <cell r="F1803" t="str">
            <v>HA.1213</v>
          </cell>
          <cell r="Q1803">
            <v>0</v>
          </cell>
        </row>
        <row r="1804">
          <cell r="F1804" t="str">
            <v>KA.1220</v>
          </cell>
          <cell r="Q1804">
            <v>0</v>
          </cell>
        </row>
        <row r="1805">
          <cell r="Q1805">
            <v>0</v>
          </cell>
        </row>
        <row r="1806">
          <cell r="Q1806">
            <v>0</v>
          </cell>
        </row>
        <row r="1807">
          <cell r="F1807" t="str">
            <v>HA.2313</v>
          </cell>
          <cell r="Q1807">
            <v>0</v>
          </cell>
        </row>
        <row r="1808">
          <cell r="F1808" t="str">
            <v>KA.2120</v>
          </cell>
          <cell r="Q1808">
            <v>0</v>
          </cell>
        </row>
        <row r="1809">
          <cell r="F1809" t="str">
            <v>B3-13e/CÑ79/57C</v>
          </cell>
          <cell r="Q1809">
            <v>0</v>
          </cell>
        </row>
        <row r="1810">
          <cell r="F1810" t="str">
            <v>BB.1112</v>
          </cell>
          <cell r="Q1810">
            <v>0</v>
          </cell>
        </row>
        <row r="1811">
          <cell r="Q1811">
            <v>0</v>
          </cell>
        </row>
        <row r="1812">
          <cell r="F1812" t="str">
            <v>BA.1442</v>
          </cell>
          <cell r="Q1812">
            <v>0</v>
          </cell>
        </row>
        <row r="1813">
          <cell r="F1813" t="str">
            <v>HA.1111SR</v>
          </cell>
          <cell r="Q1813">
            <v>0</v>
          </cell>
        </row>
        <row r="1814">
          <cell r="F1814" t="str">
            <v>HA.1213</v>
          </cell>
          <cell r="Q1814">
            <v>0</v>
          </cell>
        </row>
        <row r="1815">
          <cell r="F1815" t="str">
            <v>KA.1220</v>
          </cell>
          <cell r="Q1815">
            <v>0</v>
          </cell>
        </row>
        <row r="1816">
          <cell r="Q1816">
            <v>0</v>
          </cell>
        </row>
        <row r="1817">
          <cell r="Q1817">
            <v>0</v>
          </cell>
        </row>
        <row r="1818">
          <cell r="F1818" t="str">
            <v>HA.2313</v>
          </cell>
          <cell r="Q1818">
            <v>0</v>
          </cell>
        </row>
        <row r="1819">
          <cell r="F1819" t="str">
            <v>KA.2120</v>
          </cell>
          <cell r="Q1819">
            <v>0</v>
          </cell>
        </row>
        <row r="1820">
          <cell r="F1820" t="str">
            <v>B3-13e/CÑ79/57C</v>
          </cell>
          <cell r="Q1820">
            <v>0</v>
          </cell>
        </row>
        <row r="1821">
          <cell r="F1821" t="str">
            <v>BB.1112</v>
          </cell>
          <cell r="Q1821">
            <v>0</v>
          </cell>
        </row>
        <row r="1822">
          <cell r="Q1822">
            <v>0</v>
          </cell>
        </row>
        <row r="1823">
          <cell r="F1823" t="str">
            <v>IA.1130</v>
          </cell>
          <cell r="Q1823">
            <v>0</v>
          </cell>
        </row>
        <row r="1824">
          <cell r="F1824" t="str">
            <v>IA.1130</v>
          </cell>
          <cell r="Q1824">
            <v>0</v>
          </cell>
        </row>
        <row r="1825">
          <cell r="F1825" t="str">
            <v>IA.1130</v>
          </cell>
          <cell r="Q1825">
            <v>0</v>
          </cell>
        </row>
        <row r="1826">
          <cell r="Q1826">
            <v>0</v>
          </cell>
        </row>
        <row r="1827">
          <cell r="F1827" t="str">
            <v>HA.2313</v>
          </cell>
          <cell r="Q1827">
            <v>0</v>
          </cell>
        </row>
        <row r="1828">
          <cell r="F1828" t="str">
            <v>HA.2313</v>
          </cell>
          <cell r="Q1828">
            <v>0</v>
          </cell>
        </row>
        <row r="1829">
          <cell r="Q1829">
            <v>0</v>
          </cell>
        </row>
        <row r="1830">
          <cell r="Q1830">
            <v>0</v>
          </cell>
        </row>
        <row r="1831">
          <cell r="Q1831">
            <v>0</v>
          </cell>
        </row>
        <row r="1832">
          <cell r="Q1832">
            <v>0</v>
          </cell>
        </row>
        <row r="1833">
          <cell r="Q1833">
            <v>0</v>
          </cell>
        </row>
        <row r="1834">
          <cell r="F1834" t="str">
            <v>HA.2313</v>
          </cell>
          <cell r="Q1834">
            <v>0</v>
          </cell>
        </row>
        <row r="1835">
          <cell r="Q1835">
            <v>0</v>
          </cell>
        </row>
        <row r="1836">
          <cell r="Q1836">
            <v>0</v>
          </cell>
        </row>
        <row r="1837">
          <cell r="F1837" t="str">
            <v>KA.2120</v>
          </cell>
          <cell r="Q1837">
            <v>0</v>
          </cell>
        </row>
        <row r="1838">
          <cell r="Q1838">
            <v>0</v>
          </cell>
        </row>
        <row r="1839">
          <cell r="Q1839">
            <v>0</v>
          </cell>
        </row>
        <row r="1840">
          <cell r="Q1840">
            <v>0</v>
          </cell>
        </row>
        <row r="1841">
          <cell r="Q1841">
            <v>0</v>
          </cell>
        </row>
        <row r="1842">
          <cell r="Q1842">
            <v>0</v>
          </cell>
        </row>
        <row r="1843">
          <cell r="Q1843">
            <v>0</v>
          </cell>
        </row>
        <row r="1844">
          <cell r="Q1844">
            <v>0</v>
          </cell>
        </row>
        <row r="1845">
          <cell r="Q1845">
            <v>0</v>
          </cell>
        </row>
        <row r="1846">
          <cell r="F1846" t="str">
            <v>IA.2231</v>
          </cell>
          <cell r="Q1846">
            <v>0</v>
          </cell>
        </row>
        <row r="1847">
          <cell r="F1847" t="str">
            <v>IA.2231</v>
          </cell>
          <cell r="Q1847">
            <v>0</v>
          </cell>
        </row>
        <row r="1848">
          <cell r="F1848" t="str">
            <v>IA.2231</v>
          </cell>
          <cell r="Q1848">
            <v>0</v>
          </cell>
        </row>
        <row r="1849">
          <cell r="Q1849">
            <v>0</v>
          </cell>
        </row>
        <row r="1850">
          <cell r="F1850" t="str">
            <v>HA.3113</v>
          </cell>
          <cell r="Q1850">
            <v>0</v>
          </cell>
        </row>
        <row r="1851">
          <cell r="Q1851">
            <v>0</v>
          </cell>
        </row>
        <row r="1852">
          <cell r="Q1852">
            <v>0</v>
          </cell>
        </row>
        <row r="1853">
          <cell r="Q1853">
            <v>0</v>
          </cell>
        </row>
        <row r="1854">
          <cell r="Q1854">
            <v>0</v>
          </cell>
        </row>
        <row r="1855">
          <cell r="Q1855">
            <v>0</v>
          </cell>
        </row>
        <row r="1856">
          <cell r="Q1856">
            <v>0</v>
          </cell>
        </row>
        <row r="1857">
          <cell r="Q1857">
            <v>0</v>
          </cell>
        </row>
        <row r="1858">
          <cell r="Q1858">
            <v>0</v>
          </cell>
        </row>
        <row r="1859">
          <cell r="Q1859">
            <v>0</v>
          </cell>
        </row>
        <row r="1860">
          <cell r="Q1860">
            <v>0</v>
          </cell>
        </row>
        <row r="1861">
          <cell r="Q1861">
            <v>0</v>
          </cell>
        </row>
        <row r="1862">
          <cell r="Q1862">
            <v>0</v>
          </cell>
        </row>
        <row r="1863">
          <cell r="Q1863">
            <v>0</v>
          </cell>
        </row>
        <row r="1864">
          <cell r="F1864" t="str">
            <v>KA.2210</v>
          </cell>
          <cell r="Q1864">
            <v>0</v>
          </cell>
        </row>
        <row r="1865">
          <cell r="Q1865">
            <v>0</v>
          </cell>
        </row>
        <row r="1866">
          <cell r="Q1866">
            <v>0</v>
          </cell>
        </row>
        <row r="1867">
          <cell r="Q1867">
            <v>0</v>
          </cell>
        </row>
        <row r="1868">
          <cell r="Q1868">
            <v>0</v>
          </cell>
        </row>
        <row r="1869">
          <cell r="Q1869">
            <v>0</v>
          </cell>
        </row>
        <row r="1870">
          <cell r="Q1870">
            <v>0</v>
          </cell>
        </row>
        <row r="1871">
          <cell r="Q1871">
            <v>0</v>
          </cell>
        </row>
        <row r="1872">
          <cell r="Q1872">
            <v>0</v>
          </cell>
        </row>
        <row r="1873">
          <cell r="Q1873">
            <v>0</v>
          </cell>
        </row>
        <row r="1874">
          <cell r="Q1874">
            <v>0</v>
          </cell>
        </row>
        <row r="1875">
          <cell r="Q1875">
            <v>0</v>
          </cell>
        </row>
        <row r="1876">
          <cell r="Q1876">
            <v>0</v>
          </cell>
        </row>
        <row r="1877">
          <cell r="Q1877">
            <v>0</v>
          </cell>
        </row>
        <row r="1878">
          <cell r="Q1878">
            <v>0</v>
          </cell>
        </row>
        <row r="1879">
          <cell r="F1879" t="str">
            <v>IA.2331</v>
          </cell>
          <cell r="Q1879">
            <v>0</v>
          </cell>
        </row>
        <row r="1880">
          <cell r="F1880" t="str">
            <v>IA.2331</v>
          </cell>
          <cell r="Q1880">
            <v>0</v>
          </cell>
        </row>
        <row r="1881">
          <cell r="F1881" t="str">
            <v>IA.2331</v>
          </cell>
          <cell r="Q1881">
            <v>0</v>
          </cell>
        </row>
        <row r="1882">
          <cell r="Q1882">
            <v>0</v>
          </cell>
        </row>
        <row r="1883">
          <cell r="F1883" t="str">
            <v>HA.3113</v>
          </cell>
          <cell r="Q1883">
            <v>0</v>
          </cell>
        </row>
        <row r="1884">
          <cell r="Q1884">
            <v>0</v>
          </cell>
        </row>
        <row r="1885">
          <cell r="Q1885">
            <v>0</v>
          </cell>
        </row>
        <row r="1886">
          <cell r="Q1886">
            <v>0</v>
          </cell>
        </row>
        <row r="1887">
          <cell r="Q1887">
            <v>0</v>
          </cell>
        </row>
        <row r="1888">
          <cell r="Q1888">
            <v>0</v>
          </cell>
        </row>
        <row r="1889">
          <cell r="Q1889">
            <v>0</v>
          </cell>
        </row>
        <row r="1890">
          <cell r="Q1890">
            <v>0</v>
          </cell>
        </row>
        <row r="1891">
          <cell r="Q1891">
            <v>0</v>
          </cell>
        </row>
        <row r="1892">
          <cell r="Q1892">
            <v>0</v>
          </cell>
        </row>
        <row r="1893">
          <cell r="Q1893">
            <v>0</v>
          </cell>
        </row>
        <row r="1894">
          <cell r="Q1894">
            <v>0</v>
          </cell>
        </row>
        <row r="1895">
          <cell r="Q1895">
            <v>0</v>
          </cell>
        </row>
        <row r="1896">
          <cell r="Q1896">
            <v>0</v>
          </cell>
        </row>
        <row r="1897">
          <cell r="F1897" t="str">
            <v>KA.2210</v>
          </cell>
          <cell r="Q1897">
            <v>0</v>
          </cell>
        </row>
        <row r="1898">
          <cell r="Q1898">
            <v>0</v>
          </cell>
        </row>
        <row r="1899">
          <cell r="Q1899">
            <v>0</v>
          </cell>
        </row>
        <row r="1900">
          <cell r="Q1900">
            <v>0</v>
          </cell>
        </row>
        <row r="1901">
          <cell r="Q1901">
            <v>0</v>
          </cell>
        </row>
        <row r="1902">
          <cell r="Q1902">
            <v>0</v>
          </cell>
        </row>
        <row r="1903">
          <cell r="Q1903">
            <v>0</v>
          </cell>
        </row>
        <row r="1904">
          <cell r="Q1904">
            <v>0</v>
          </cell>
        </row>
        <row r="1905">
          <cell r="Q1905">
            <v>0</v>
          </cell>
        </row>
        <row r="1906">
          <cell r="Q1906">
            <v>0</v>
          </cell>
        </row>
        <row r="1907">
          <cell r="Q1907">
            <v>0</v>
          </cell>
        </row>
        <row r="1908">
          <cell r="Q1908">
            <v>0</v>
          </cell>
        </row>
        <row r="1909">
          <cell r="Q1909">
            <v>0</v>
          </cell>
        </row>
        <row r="1910">
          <cell r="Q1910">
            <v>0</v>
          </cell>
        </row>
        <row r="1911">
          <cell r="Q1911">
            <v>0</v>
          </cell>
        </row>
        <row r="1912">
          <cell r="F1912" t="str">
            <v>IA.2331</v>
          </cell>
          <cell r="Q1912">
            <v>0</v>
          </cell>
        </row>
        <row r="1913">
          <cell r="F1913" t="str">
            <v>IA.2331</v>
          </cell>
          <cell r="Q1913">
            <v>0</v>
          </cell>
        </row>
        <row r="1914">
          <cell r="Q1914">
            <v>0</v>
          </cell>
        </row>
        <row r="1915">
          <cell r="F1915" t="str">
            <v>HA.3213</v>
          </cell>
          <cell r="Q1915">
            <v>0</v>
          </cell>
        </row>
        <row r="1916">
          <cell r="F1916" t="str">
            <v>KA.2310</v>
          </cell>
          <cell r="Q1916">
            <v>0</v>
          </cell>
        </row>
        <row r="1917">
          <cell r="Q1917">
            <v>0</v>
          </cell>
        </row>
        <row r="1918">
          <cell r="Q1918">
            <v>0</v>
          </cell>
        </row>
        <row r="1919">
          <cell r="F1919" t="str">
            <v>IA.2531</v>
          </cell>
          <cell r="Q1919">
            <v>0</v>
          </cell>
        </row>
        <row r="1920">
          <cell r="Q1920">
            <v>0</v>
          </cell>
        </row>
        <row r="1921">
          <cell r="F1921" t="str">
            <v>HA.3113</v>
          </cell>
          <cell r="Q1921">
            <v>0</v>
          </cell>
        </row>
        <row r="1922">
          <cell r="Q1922">
            <v>0</v>
          </cell>
        </row>
        <row r="1923">
          <cell r="Q1923">
            <v>0</v>
          </cell>
        </row>
        <row r="1924">
          <cell r="Q1924">
            <v>0</v>
          </cell>
        </row>
        <row r="1925">
          <cell r="Q1925">
            <v>0</v>
          </cell>
        </row>
        <row r="1926">
          <cell r="Q1926">
            <v>0</v>
          </cell>
        </row>
        <row r="1927">
          <cell r="Q1927">
            <v>0</v>
          </cell>
        </row>
        <row r="1928">
          <cell r="Q1928">
            <v>0</v>
          </cell>
        </row>
        <row r="1929">
          <cell r="Q1929">
            <v>0</v>
          </cell>
        </row>
        <row r="1930">
          <cell r="Q1930">
            <v>0</v>
          </cell>
        </row>
        <row r="1931">
          <cell r="Q1931">
            <v>0</v>
          </cell>
        </row>
        <row r="1932">
          <cell r="F1932" t="str">
            <v>KA.2210</v>
          </cell>
          <cell r="Q1932">
            <v>0</v>
          </cell>
        </row>
        <row r="1933">
          <cell r="Q1933">
            <v>0</v>
          </cell>
        </row>
        <row r="1934">
          <cell r="Q1934">
            <v>0</v>
          </cell>
        </row>
        <row r="1935">
          <cell r="Q1935">
            <v>0</v>
          </cell>
        </row>
        <row r="1936">
          <cell r="Q1936">
            <v>0</v>
          </cell>
        </row>
        <row r="1937">
          <cell r="Q1937">
            <v>0</v>
          </cell>
        </row>
        <row r="1938">
          <cell r="Q1938">
            <v>0</v>
          </cell>
        </row>
        <row r="1939">
          <cell r="Q1939">
            <v>0</v>
          </cell>
        </row>
        <row r="1940">
          <cell r="Q1940">
            <v>0</v>
          </cell>
        </row>
        <row r="1941">
          <cell r="Q1941">
            <v>0</v>
          </cell>
        </row>
        <row r="1942">
          <cell r="Q1942">
            <v>0</v>
          </cell>
        </row>
        <row r="1943">
          <cell r="Q1943">
            <v>0</v>
          </cell>
        </row>
        <row r="1944">
          <cell r="F1944" t="str">
            <v>IA.2331</v>
          </cell>
          <cell r="Q1944">
            <v>0</v>
          </cell>
        </row>
        <row r="1945">
          <cell r="F1945" t="str">
            <v>IA.2331</v>
          </cell>
          <cell r="Q1945">
            <v>0</v>
          </cell>
        </row>
        <row r="1946">
          <cell r="F1946" t="str">
            <v>IA.2331</v>
          </cell>
          <cell r="Q1946">
            <v>0</v>
          </cell>
        </row>
        <row r="1947">
          <cell r="Q1947">
            <v>0</v>
          </cell>
        </row>
        <row r="1948">
          <cell r="F1948" t="str">
            <v>HA.3213</v>
          </cell>
          <cell r="Q1948">
            <v>0</v>
          </cell>
        </row>
        <row r="1949">
          <cell r="F1949" t="str">
            <v>KA.2310</v>
          </cell>
          <cell r="Q1949">
            <v>0</v>
          </cell>
        </row>
        <row r="1950">
          <cell r="Q1950">
            <v>0</v>
          </cell>
        </row>
        <row r="1951">
          <cell r="Q1951">
            <v>0</v>
          </cell>
        </row>
        <row r="1952">
          <cell r="F1952" t="str">
            <v>IA.2531</v>
          </cell>
          <cell r="Q1952">
            <v>0</v>
          </cell>
        </row>
        <row r="1953">
          <cell r="Q1953">
            <v>0</v>
          </cell>
        </row>
        <row r="1954">
          <cell r="F1954" t="str">
            <v>BA.1442</v>
          </cell>
          <cell r="Q1954">
            <v>0</v>
          </cell>
        </row>
        <row r="1955">
          <cell r="F1955" t="str">
            <v>HA.1111SR</v>
          </cell>
          <cell r="Q1955">
            <v>0</v>
          </cell>
        </row>
        <row r="1956">
          <cell r="Q1956">
            <v>0</v>
          </cell>
        </row>
        <row r="1957">
          <cell r="Q1957">
            <v>0</v>
          </cell>
        </row>
        <row r="1958">
          <cell r="F1958" t="str">
            <v>KA.1110</v>
          </cell>
          <cell r="Q1958">
            <v>0</v>
          </cell>
        </row>
        <row r="1959">
          <cell r="Q1959">
            <v>0</v>
          </cell>
        </row>
        <row r="1960">
          <cell r="Q1960">
            <v>0</v>
          </cell>
        </row>
        <row r="1961">
          <cell r="F1961" t="str">
            <v>HA.3313</v>
          </cell>
          <cell r="Q1961">
            <v>0</v>
          </cell>
        </row>
        <row r="1962">
          <cell r="Q1962">
            <v>0</v>
          </cell>
        </row>
        <row r="1963">
          <cell r="Q1963">
            <v>0</v>
          </cell>
        </row>
        <row r="1964">
          <cell r="F1964" t="str">
            <v>KA.1110</v>
          </cell>
          <cell r="Q1964">
            <v>0</v>
          </cell>
        </row>
        <row r="1965">
          <cell r="Q1965">
            <v>0</v>
          </cell>
        </row>
        <row r="1966">
          <cell r="Q1966">
            <v>0</v>
          </cell>
        </row>
        <row r="1967">
          <cell r="F1967" t="str">
            <v>IA.2511</v>
          </cell>
          <cell r="Q1967">
            <v>0</v>
          </cell>
        </row>
        <row r="1968">
          <cell r="F1968" t="str">
            <v>HG.4113</v>
          </cell>
          <cell r="Q1968">
            <v>0</v>
          </cell>
        </row>
        <row r="1969">
          <cell r="Q1969">
            <v>0</v>
          </cell>
        </row>
        <row r="1970">
          <cell r="Q1970">
            <v>0</v>
          </cell>
        </row>
        <row r="1971">
          <cell r="Q1971">
            <v>0</v>
          </cell>
        </row>
        <row r="1972">
          <cell r="F1972" t="str">
            <v>KP.2310</v>
          </cell>
          <cell r="Q1972">
            <v>0</v>
          </cell>
        </row>
        <row r="1973">
          <cell r="Q1973">
            <v>0</v>
          </cell>
        </row>
        <row r="1974">
          <cell r="Q1974">
            <v>0</v>
          </cell>
        </row>
        <row r="1975">
          <cell r="Q1975">
            <v>0</v>
          </cell>
        </row>
        <row r="1976">
          <cell r="F1976" t="str">
            <v>IA.3511</v>
          </cell>
          <cell r="Q1976">
            <v>0</v>
          </cell>
        </row>
        <row r="1977">
          <cell r="F1977" t="str">
            <v>09-09</v>
          </cell>
          <cell r="Q1977">
            <v>0</v>
          </cell>
        </row>
        <row r="1978">
          <cell r="F1978" t="str">
            <v>HA.3113</v>
          </cell>
          <cell r="Q1978">
            <v>0</v>
          </cell>
        </row>
        <row r="1979">
          <cell r="F1979" t="str">
            <v>KA.2210</v>
          </cell>
          <cell r="Q1979">
            <v>0</v>
          </cell>
        </row>
        <row r="1980">
          <cell r="F1980" t="str">
            <v>IA.2311</v>
          </cell>
          <cell r="Q1980">
            <v>0</v>
          </cell>
        </row>
        <row r="1981">
          <cell r="F1981" t="str">
            <v>GG.2214</v>
          </cell>
          <cell r="Q1981">
            <v>0</v>
          </cell>
        </row>
        <row r="1982">
          <cell r="Q1982">
            <v>0</v>
          </cell>
        </row>
        <row r="1983">
          <cell r="Q1983">
            <v>0</v>
          </cell>
        </row>
        <row r="1984">
          <cell r="F1984" t="str">
            <v>PA.1214</v>
          </cell>
          <cell r="Q1984">
            <v>0</v>
          </cell>
        </row>
        <row r="1985">
          <cell r="F1985" t="str">
            <v>RB.2125</v>
          </cell>
          <cell r="Q1985">
            <v>0</v>
          </cell>
        </row>
        <row r="1986">
          <cell r="F1986" t="str">
            <v>TT</v>
          </cell>
        </row>
        <row r="1987">
          <cell r="F1987" t="str">
            <v>BB.1112</v>
          </cell>
          <cell r="Q1987">
            <v>0</v>
          </cell>
        </row>
        <row r="1988">
          <cell r="Q1988">
            <v>0</v>
          </cell>
        </row>
        <row r="1989">
          <cell r="F1989" t="str">
            <v>ZI.2110</v>
          </cell>
          <cell r="Q1989">
            <v>0</v>
          </cell>
        </row>
        <row r="1990">
          <cell r="F1990" t="str">
            <v>ZI.1110</v>
          </cell>
          <cell r="Q1990">
            <v>0</v>
          </cell>
        </row>
        <row r="1991">
          <cell r="F1991" t="str">
            <v>ZI.3110</v>
          </cell>
          <cell r="Q1991">
            <v>0</v>
          </cell>
        </row>
        <row r="1992">
          <cell r="F1992" t="str">
            <v>ZI.6140</v>
          </cell>
          <cell r="Q1992">
            <v>0</v>
          </cell>
        </row>
        <row r="1993">
          <cell r="F1993" t="str">
            <v>ZI.6110</v>
          </cell>
          <cell r="Q1993">
            <v>0</v>
          </cell>
        </row>
        <row r="1994">
          <cell r="F1994" t="str">
            <v>ZI.8110</v>
          </cell>
          <cell r="Q1994">
            <v>0</v>
          </cell>
        </row>
        <row r="1995">
          <cell r="F1995" t="str">
            <v>TT</v>
          </cell>
          <cell r="Q1995">
            <v>0</v>
          </cell>
        </row>
        <row r="1996">
          <cell r="F1996" t="str">
            <v>ZJ.7220</v>
          </cell>
          <cell r="Q1996">
            <v>0</v>
          </cell>
        </row>
        <row r="1997">
          <cell r="F1997" t="str">
            <v>ZM.1210</v>
          </cell>
          <cell r="Q1997">
            <v>0</v>
          </cell>
        </row>
        <row r="1998">
          <cell r="F1998" t="str">
            <v>ZM.2110</v>
          </cell>
          <cell r="Q1998">
            <v>0</v>
          </cell>
        </row>
        <row r="1999">
          <cell r="F1999" t="str">
            <v>TT</v>
          </cell>
        </row>
        <row r="2000">
          <cell r="F2000" t="str">
            <v>ZJ.7272</v>
          </cell>
          <cell r="Q2000">
            <v>0</v>
          </cell>
        </row>
        <row r="2001">
          <cell r="F2001" t="str">
            <v>ZM.1272</v>
          </cell>
          <cell r="Q2001">
            <v>0</v>
          </cell>
        </row>
        <row r="2002">
          <cell r="F2002" t="str">
            <v>ZM.1160</v>
          </cell>
          <cell r="Q2002">
            <v>0</v>
          </cell>
        </row>
        <row r="2003">
          <cell r="F2003" t="str">
            <v>ZI.5120</v>
          </cell>
          <cell r="Q2003">
            <v>0</v>
          </cell>
        </row>
        <row r="2004">
          <cell r="F2004" t="str">
            <v>ZJ.7275</v>
          </cell>
          <cell r="Q2004">
            <v>0</v>
          </cell>
        </row>
        <row r="2005">
          <cell r="F2005" t="str">
            <v>ZM.1275</v>
          </cell>
          <cell r="Q2005">
            <v>0</v>
          </cell>
        </row>
        <row r="2006">
          <cell r="F2006" t="str">
            <v>ZM.2240</v>
          </cell>
          <cell r="Q2006">
            <v>0</v>
          </cell>
        </row>
        <row r="2007">
          <cell r="F2007" t="str">
            <v>ZM.1160</v>
          </cell>
          <cell r="Q2007">
            <v>0</v>
          </cell>
        </row>
        <row r="2008">
          <cell r="F2008" t="str">
            <v>TT</v>
          </cell>
          <cell r="Q2008">
            <v>0</v>
          </cell>
        </row>
        <row r="2009">
          <cell r="Q2009">
            <v>0</v>
          </cell>
        </row>
        <row r="2010">
          <cell r="F2010" t="str">
            <v>NB.2120</v>
          </cell>
          <cell r="Q2010">
            <v>0</v>
          </cell>
        </row>
        <row r="2011">
          <cell r="Q2011">
            <v>0</v>
          </cell>
        </row>
        <row r="2012">
          <cell r="Q2012">
            <v>0</v>
          </cell>
        </row>
        <row r="2013">
          <cell r="F2013" t="str">
            <v>TT</v>
          </cell>
          <cell r="Q2013">
            <v>0</v>
          </cell>
        </row>
        <row r="2014">
          <cell r="F2014" t="str">
            <v>NB.2120</v>
          </cell>
          <cell r="Q2014">
            <v>0</v>
          </cell>
        </row>
        <row r="2015">
          <cell r="Q2015">
            <v>0</v>
          </cell>
        </row>
        <row r="2016">
          <cell r="Q2016">
            <v>0</v>
          </cell>
        </row>
        <row r="2017">
          <cell r="Q2017">
            <v>0</v>
          </cell>
        </row>
        <row r="2018">
          <cell r="F2018" t="str">
            <v>TT</v>
          </cell>
          <cell r="Q2018">
            <v>0</v>
          </cell>
        </row>
        <row r="2019">
          <cell r="F2019" t="str">
            <v>NB.2120</v>
          </cell>
          <cell r="Q2019">
            <v>0</v>
          </cell>
        </row>
        <row r="2020">
          <cell r="F2020" t="str">
            <v>TT</v>
          </cell>
          <cell r="Q2020">
            <v>0</v>
          </cell>
        </row>
        <row r="2021">
          <cell r="Q2021">
            <v>0</v>
          </cell>
        </row>
        <row r="2022">
          <cell r="F2022" t="str">
            <v>BA.1442</v>
          </cell>
          <cell r="Q2022">
            <v>0</v>
          </cell>
        </row>
        <row r="2023">
          <cell r="F2023" t="str">
            <v>HA.1111</v>
          </cell>
          <cell r="Q2023">
            <v>0</v>
          </cell>
        </row>
        <row r="2024">
          <cell r="Q2024">
            <v>0</v>
          </cell>
        </row>
        <row r="2025">
          <cell r="Q2025">
            <v>0</v>
          </cell>
        </row>
        <row r="2026">
          <cell r="Q2026">
            <v>0</v>
          </cell>
        </row>
        <row r="2027">
          <cell r="F2027" t="str">
            <v>HA.3213</v>
          </cell>
          <cell r="Q2027">
            <v>0</v>
          </cell>
        </row>
        <row r="2028">
          <cell r="F2028" t="str">
            <v>KP.2310</v>
          </cell>
          <cell r="Q2028">
            <v>0</v>
          </cell>
        </row>
        <row r="2029">
          <cell r="F2029" t="str">
            <v>GI.1114</v>
          </cell>
          <cell r="Q2029">
            <v>0</v>
          </cell>
        </row>
        <row r="2030">
          <cell r="F2030" t="str">
            <v>GI.2114</v>
          </cell>
          <cell r="Q2030">
            <v>0</v>
          </cell>
        </row>
        <row r="2031">
          <cell r="Q2031">
            <v>0</v>
          </cell>
        </row>
        <row r="2032">
          <cell r="Q2032">
            <v>0</v>
          </cell>
        </row>
        <row r="2033">
          <cell r="Q2033">
            <v>0</v>
          </cell>
        </row>
        <row r="2034">
          <cell r="Q2034">
            <v>0</v>
          </cell>
        </row>
        <row r="2035">
          <cell r="Q2035">
            <v>0</v>
          </cell>
        </row>
        <row r="2036">
          <cell r="Q2036">
            <v>0</v>
          </cell>
        </row>
        <row r="2037">
          <cell r="Q2037">
            <v>0</v>
          </cell>
        </row>
        <row r="2038">
          <cell r="Q2038">
            <v>0</v>
          </cell>
        </row>
        <row r="2039">
          <cell r="Q2039">
            <v>0</v>
          </cell>
        </row>
        <row r="2040">
          <cell r="F2040" t="str">
            <v>GG.2214</v>
          </cell>
          <cell r="Q2040">
            <v>0</v>
          </cell>
        </row>
        <row r="2041">
          <cell r="Q2041">
            <v>0</v>
          </cell>
        </row>
        <row r="2042">
          <cell r="Q2042">
            <v>0</v>
          </cell>
        </row>
        <row r="2043">
          <cell r="Q2043">
            <v>0</v>
          </cell>
        </row>
        <row r="2044">
          <cell r="F2044" t="str">
            <v>GG.2114</v>
          </cell>
          <cell r="Q2044">
            <v>0</v>
          </cell>
        </row>
        <row r="2045">
          <cell r="F2045" t="str">
            <v>PA.1214</v>
          </cell>
        </row>
        <row r="2046">
          <cell r="F2046" t="str">
            <v>PA.3114B</v>
          </cell>
          <cell r="Q2046">
            <v>0</v>
          </cell>
        </row>
        <row r="2047">
          <cell r="Q2047">
            <v>0</v>
          </cell>
        </row>
        <row r="2048">
          <cell r="Q2048">
            <v>0</v>
          </cell>
        </row>
        <row r="2049">
          <cell r="Q2049">
            <v>0</v>
          </cell>
        </row>
        <row r="2050">
          <cell r="Q2050">
            <v>0</v>
          </cell>
        </row>
        <row r="2051">
          <cell r="Q2051">
            <v>0</v>
          </cell>
        </row>
        <row r="2052">
          <cell r="Q2052">
            <v>0</v>
          </cell>
        </row>
        <row r="2053">
          <cell r="Q2053">
            <v>0</v>
          </cell>
        </row>
        <row r="2054">
          <cell r="Q2054">
            <v>0</v>
          </cell>
        </row>
        <row r="2055">
          <cell r="Q2055">
            <v>0</v>
          </cell>
        </row>
        <row r="2056">
          <cell r="Q2056">
            <v>0</v>
          </cell>
        </row>
        <row r="2057">
          <cell r="F2057" t="str">
            <v>PA.4214</v>
          </cell>
          <cell r="Q2057">
            <v>0</v>
          </cell>
        </row>
        <row r="2058">
          <cell r="F2058" t="str">
            <v>QB.4110SR</v>
          </cell>
          <cell r="Q2058">
            <v>0</v>
          </cell>
        </row>
        <row r="2059">
          <cell r="Q2059">
            <v>0</v>
          </cell>
        </row>
        <row r="2060">
          <cell r="Q2060">
            <v>0</v>
          </cell>
        </row>
        <row r="2061">
          <cell r="Q2061">
            <v>0</v>
          </cell>
        </row>
        <row r="2062">
          <cell r="Q2062">
            <v>0</v>
          </cell>
        </row>
        <row r="2063">
          <cell r="F2063" t="str">
            <v>QB.1210</v>
          </cell>
          <cell r="Q2063">
            <v>0</v>
          </cell>
        </row>
        <row r="2064">
          <cell r="F2064" t="str">
            <v>RB.2125</v>
          </cell>
          <cell r="Q2064">
            <v>0</v>
          </cell>
        </row>
        <row r="2065">
          <cell r="Q2065">
            <v>0</v>
          </cell>
        </row>
        <row r="2066">
          <cell r="Q2066">
            <v>0</v>
          </cell>
        </row>
        <row r="2067">
          <cell r="Q2067">
            <v>0</v>
          </cell>
        </row>
        <row r="2068">
          <cell r="Q2068">
            <v>0</v>
          </cell>
        </row>
        <row r="2069">
          <cell r="Q2069">
            <v>0</v>
          </cell>
        </row>
        <row r="2070">
          <cell r="F2070" t="str">
            <v>UD.3220SR1</v>
          </cell>
          <cell r="Q2070">
            <v>0</v>
          </cell>
        </row>
        <row r="2071">
          <cell r="F2071" t="str">
            <v>UC.4210SR</v>
          </cell>
          <cell r="Q2071">
            <v>0</v>
          </cell>
        </row>
        <row r="2072">
          <cell r="F2072" t="str">
            <v>UB.1110</v>
          </cell>
          <cell r="Q2072">
            <v>0</v>
          </cell>
        </row>
        <row r="2073">
          <cell r="F2073" t="str">
            <v>UC.3110</v>
          </cell>
          <cell r="Q2073">
            <v>0</v>
          </cell>
        </row>
        <row r="2074">
          <cell r="F2074" t="str">
            <v>BB.1411</v>
          </cell>
          <cell r="Q2074">
            <v>0</v>
          </cell>
        </row>
        <row r="2075">
          <cell r="F2075" t="str">
            <v>SA.4110</v>
          </cell>
          <cell r="Q2075">
            <v>0</v>
          </cell>
        </row>
        <row r="2076">
          <cell r="F2076" t="str">
            <v>SA.7111</v>
          </cell>
        </row>
        <row r="2078">
          <cell r="Q2078">
            <v>0</v>
          </cell>
        </row>
        <row r="2079">
          <cell r="Q2079">
            <v>0</v>
          </cell>
        </row>
        <row r="2080">
          <cell r="Q2080">
            <v>0</v>
          </cell>
        </row>
        <row r="2081">
          <cell r="Q2081">
            <v>0</v>
          </cell>
        </row>
        <row r="2082">
          <cell r="Q2082">
            <v>0</v>
          </cell>
        </row>
        <row r="2083">
          <cell r="Q2083">
            <v>0</v>
          </cell>
        </row>
        <row r="2084">
          <cell r="F2084" t="str">
            <v>SA.7111</v>
          </cell>
          <cell r="Q2084">
            <v>0</v>
          </cell>
        </row>
        <row r="2085">
          <cell r="F2085" t="str">
            <v>QA.1310</v>
          </cell>
          <cell r="Q2085">
            <v>0</v>
          </cell>
        </row>
        <row r="2086">
          <cell r="F2086" t="str">
            <v>BB.1112</v>
          </cell>
          <cell r="Q2086">
            <v>0</v>
          </cell>
        </row>
        <row r="2087">
          <cell r="F2087" t="str">
            <v>SA.4110</v>
          </cell>
          <cell r="Q2087">
            <v>0</v>
          </cell>
        </row>
        <row r="2088">
          <cell r="F2088" t="str">
            <v>RC.1110</v>
          </cell>
          <cell r="Q2088">
            <v>0</v>
          </cell>
        </row>
        <row r="2089">
          <cell r="Q2089">
            <v>0</v>
          </cell>
        </row>
        <row r="2090">
          <cell r="Q2090">
            <v>0</v>
          </cell>
        </row>
        <row r="2091">
          <cell r="Q2091">
            <v>0</v>
          </cell>
        </row>
        <row r="2092">
          <cell r="F2092" t="str">
            <v>BA.1442</v>
          </cell>
          <cell r="Q2092">
            <v>2</v>
          </cell>
        </row>
        <row r="2093">
          <cell r="F2093" t="str">
            <v>P0.105</v>
          </cell>
          <cell r="Q2093">
            <v>2</v>
          </cell>
        </row>
        <row r="2094">
          <cell r="F2094" t="str">
            <v>P.01.05</v>
          </cell>
          <cell r="Q2094">
            <v>0</v>
          </cell>
        </row>
        <row r="2095">
          <cell r="F2095" t="str">
            <v>HA.5213</v>
          </cell>
          <cell r="Q2095">
            <v>0.53759999999999997</v>
          </cell>
        </row>
        <row r="2096">
          <cell r="F2096" t="str">
            <v>KA.2320</v>
          </cell>
          <cell r="Q2096">
            <v>6.08E-2</v>
          </cell>
        </row>
        <row r="2097">
          <cell r="F2097" t="str">
            <v>IA.3511</v>
          </cell>
          <cell r="Q2097">
            <v>0.1</v>
          </cell>
        </row>
        <row r="2098">
          <cell r="F2098" t="str">
            <v>IA.3521</v>
          </cell>
          <cell r="Q2098">
            <v>0</v>
          </cell>
        </row>
        <row r="2099">
          <cell r="F2099" t="str">
            <v>RB.2125</v>
          </cell>
          <cell r="Q2099">
            <v>253.952</v>
          </cell>
        </row>
        <row r="2100">
          <cell r="F2100" t="str">
            <v>BB.1112</v>
          </cell>
        </row>
        <row r="2101">
          <cell r="F2101" t="str">
            <v>P0.414</v>
          </cell>
          <cell r="Q2101">
            <v>7.0200000000000005</v>
          </cell>
        </row>
        <row r="2102">
          <cell r="F2102" t="str">
            <v>P.04.14</v>
          </cell>
          <cell r="Q2102">
            <v>0</v>
          </cell>
        </row>
        <row r="2103">
          <cell r="F2103" t="str">
            <v>P0.715</v>
          </cell>
          <cell r="Q2103">
            <v>2.64</v>
          </cell>
        </row>
        <row r="2104">
          <cell r="F2104" t="str">
            <v>P.07.15</v>
          </cell>
          <cell r="Q2104">
            <v>0</v>
          </cell>
        </row>
        <row r="2105">
          <cell r="F2105" t="str">
            <v>NB.2120</v>
          </cell>
          <cell r="Q2105">
            <v>2.64</v>
          </cell>
        </row>
        <row r="2106">
          <cell r="F2106" t="str">
            <v>GI.2114</v>
          </cell>
          <cell r="Q2106">
            <v>4.41</v>
          </cell>
        </row>
        <row r="2107">
          <cell r="F2107" t="str">
            <v>PA.1214</v>
          </cell>
          <cell r="Q2107">
            <v>8.82</v>
          </cell>
        </row>
        <row r="2108">
          <cell r="F2108" t="str">
            <v>UB.1110</v>
          </cell>
          <cell r="Q2108">
            <v>44.1</v>
          </cell>
        </row>
        <row r="2109">
          <cell r="F2109" t="str">
            <v>UC.3110</v>
          </cell>
          <cell r="Q2109">
            <v>44.1</v>
          </cell>
        </row>
        <row r="2110">
          <cell r="F2110" t="str">
            <v>SA.7111</v>
          </cell>
          <cell r="Q2110">
            <v>2</v>
          </cell>
        </row>
        <row r="2111">
          <cell r="F2111" t="str">
            <v>QA.1310</v>
          </cell>
          <cell r="Q2111">
            <v>2</v>
          </cell>
        </row>
        <row r="2112">
          <cell r="F2112" t="str">
            <v>TT</v>
          </cell>
          <cell r="Q2112">
            <v>10</v>
          </cell>
        </row>
        <row r="2113">
          <cell r="F2113" t="str">
            <v>BB.1112</v>
          </cell>
          <cell r="Q2113">
            <v>2</v>
          </cell>
        </row>
        <row r="2114">
          <cell r="Q2114">
            <v>0</v>
          </cell>
        </row>
        <row r="2115">
          <cell r="F2115" t="str">
            <v>VC-29</v>
          </cell>
          <cell r="Q2115">
            <v>93</v>
          </cell>
        </row>
        <row r="2116">
          <cell r="F2116" t="str">
            <v>VC-02</v>
          </cell>
          <cell r="Q2116">
            <v>275.52</v>
          </cell>
        </row>
        <row r="2117">
          <cell r="F2117" t="str">
            <v>VC-07</v>
          </cell>
          <cell r="Q2117">
            <v>307.64</v>
          </cell>
        </row>
        <row r="2118">
          <cell r="F2118" t="str">
            <v>VC-13</v>
          </cell>
          <cell r="Q2118">
            <v>20.85</v>
          </cell>
        </row>
        <row r="2119">
          <cell r="F2119" t="str">
            <v>VC-17</v>
          </cell>
          <cell r="Q2119">
            <v>25.410000000000004</v>
          </cell>
        </row>
        <row r="2120">
          <cell r="F2120" t="str">
            <v>VC-21</v>
          </cell>
          <cell r="Q2120">
            <v>68.823000000000008</v>
          </cell>
        </row>
        <row r="2121">
          <cell r="Q2121">
            <v>0</v>
          </cell>
        </row>
        <row r="2122">
          <cell r="F2122" t="str">
            <v>CA.1113</v>
          </cell>
          <cell r="Q2122">
            <v>0</v>
          </cell>
        </row>
        <row r="2123">
          <cell r="F2123" t="str">
            <v>TT</v>
          </cell>
          <cell r="Q2123">
            <v>0</v>
          </cell>
        </row>
        <row r="2124">
          <cell r="F2124" t="str">
            <v>TT</v>
          </cell>
          <cell r="Q2124">
            <v>0</v>
          </cell>
        </row>
        <row r="2125">
          <cell r="F2125" t="str">
            <v>TT</v>
          </cell>
        </row>
        <row r="2127">
          <cell r="F2127" t="str">
            <v>BA.1443</v>
          </cell>
          <cell r="Q2127">
            <v>66</v>
          </cell>
        </row>
        <row r="2128">
          <cell r="Q2128">
            <v>0</v>
          </cell>
        </row>
        <row r="2129">
          <cell r="Q2129">
            <v>0</v>
          </cell>
        </row>
        <row r="2130">
          <cell r="Q2130">
            <v>20</v>
          </cell>
        </row>
        <row r="2131">
          <cell r="Q2131">
            <v>14</v>
          </cell>
        </row>
        <row r="2132">
          <cell r="Q2132">
            <v>32</v>
          </cell>
        </row>
        <row r="2133">
          <cell r="Q2133">
            <v>0</v>
          </cell>
        </row>
        <row r="2134">
          <cell r="Q2134">
            <v>0</v>
          </cell>
        </row>
        <row r="2135">
          <cell r="Q2135">
            <v>0</v>
          </cell>
        </row>
        <row r="2136">
          <cell r="Q2136">
            <v>0</v>
          </cell>
        </row>
        <row r="2137">
          <cell r="Q2137">
            <v>0</v>
          </cell>
        </row>
        <row r="2138">
          <cell r="Q2138">
            <v>0</v>
          </cell>
        </row>
        <row r="2139">
          <cell r="Q2139">
            <v>0</v>
          </cell>
        </row>
        <row r="2140">
          <cell r="Q2140">
            <v>0</v>
          </cell>
        </row>
        <row r="2141">
          <cell r="F2141" t="str">
            <v>P0.105</v>
          </cell>
          <cell r="Q2141">
            <v>5.4</v>
          </cell>
        </row>
        <row r="2142">
          <cell r="Q2142">
            <v>0</v>
          </cell>
        </row>
        <row r="2143">
          <cell r="Q2143">
            <v>0</v>
          </cell>
        </row>
        <row r="2144">
          <cell r="Q2144">
            <v>0</v>
          </cell>
        </row>
        <row r="2145">
          <cell r="Q2145">
            <v>2</v>
          </cell>
        </row>
        <row r="2146">
          <cell r="Q2146">
            <v>2.4000000000000004</v>
          </cell>
        </row>
        <row r="2147">
          <cell r="Q2147">
            <v>1</v>
          </cell>
        </row>
        <row r="2148">
          <cell r="Q2148">
            <v>0</v>
          </cell>
        </row>
        <row r="2149">
          <cell r="Q2149">
            <v>0</v>
          </cell>
        </row>
        <row r="2150">
          <cell r="Q2150">
            <v>0</v>
          </cell>
        </row>
        <row r="2151">
          <cell r="F2151" t="str">
            <v>BB.1113</v>
          </cell>
          <cell r="Q2151">
            <v>0</v>
          </cell>
        </row>
        <row r="2152">
          <cell r="Q2152">
            <v>0</v>
          </cell>
        </row>
        <row r="2153">
          <cell r="Q2153">
            <v>0</v>
          </cell>
        </row>
        <row r="2154">
          <cell r="Q2154">
            <v>0</v>
          </cell>
        </row>
        <row r="2155">
          <cell r="Q2155">
            <v>0</v>
          </cell>
        </row>
        <row r="2156">
          <cell r="F2156" t="str">
            <v>HA.1313</v>
          </cell>
          <cell r="Q2156">
            <v>3.4</v>
          </cell>
        </row>
        <row r="2157">
          <cell r="F2157" t="str">
            <v>IA.1120</v>
          </cell>
          <cell r="Q2157">
            <v>0.34</v>
          </cell>
        </row>
        <row r="2158">
          <cell r="F2158" t="str">
            <v>KA.1220</v>
          </cell>
          <cell r="Q2158">
            <v>0.1</v>
          </cell>
        </row>
        <row r="2159">
          <cell r="F2159" t="str">
            <v>BB.1113</v>
          </cell>
          <cell r="Q2159">
            <v>16.5</v>
          </cell>
        </row>
        <row r="2160">
          <cell r="F2160" t="str">
            <v>VC-03/100</v>
          </cell>
          <cell r="Q2160">
            <v>59.4</v>
          </cell>
        </row>
        <row r="2161">
          <cell r="F2161" t="str">
            <v>BD.1712</v>
          </cell>
          <cell r="Q2161">
            <v>0.59399999999999997</v>
          </cell>
        </row>
        <row r="2162">
          <cell r="F2162" t="str">
            <v>BJ.1212x4</v>
          </cell>
          <cell r="Q2162">
            <v>0</v>
          </cell>
        </row>
        <row r="2163">
          <cell r="F2163" t="str">
            <v>BJ.1132x2</v>
          </cell>
          <cell r="Q2163">
            <v>0</v>
          </cell>
        </row>
        <row r="2164">
          <cell r="F2164" t="str">
            <v>BJ.1132</v>
          </cell>
          <cell r="Q2164">
            <v>0.59399999999999997</v>
          </cell>
        </row>
        <row r="2165">
          <cell r="F2165" t="str">
            <v>B13-4/CÑ79/12</v>
          </cell>
          <cell r="Q2165">
            <v>10</v>
          </cell>
        </row>
        <row r="2166">
          <cell r="F2166" t="str">
            <v>TT</v>
          </cell>
        </row>
        <row r="2167">
          <cell r="F2167" t="str">
            <v>P.04.14</v>
          </cell>
          <cell r="Q2167">
            <v>0</v>
          </cell>
        </row>
        <row r="2168">
          <cell r="F2168" t="str">
            <v>P.01.04</v>
          </cell>
        </row>
        <row r="2169">
          <cell r="F2169" t="str">
            <v>CA.1113</v>
          </cell>
        </row>
        <row r="2170">
          <cell r="F2170" t="str">
            <v>TT</v>
          </cell>
        </row>
        <row r="2171">
          <cell r="F2171" t="str">
            <v>GG.2114</v>
          </cell>
          <cell r="Q2171">
            <v>0</v>
          </cell>
        </row>
        <row r="2172">
          <cell r="F2172" t="str">
            <v>HA.1213</v>
          </cell>
          <cell r="Q2172">
            <v>0</v>
          </cell>
        </row>
        <row r="2173">
          <cell r="F2173" t="str">
            <v>TT</v>
          </cell>
        </row>
        <row r="2174">
          <cell r="Q2174">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sheetData sheetId="136"/>
      <sheetData sheetId="137"/>
      <sheetData sheetId="138"/>
      <sheetData sheetId="139"/>
      <sheetData sheetId="140"/>
      <sheetData sheetId="141" refreshError="1"/>
      <sheetData sheetId="142"/>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tLieu"/>
      <sheetName val="THDZ"/>
      <sheetName val="ThongSo"/>
      <sheetName val="DGTH"/>
      <sheetName val="PLCT"/>
      <sheetName val="VuaBT"/>
      <sheetName val="ChiTietDZ"/>
      <sheetName val="Tram"/>
      <sheetName val="tong hop vt giong nhau"/>
      <sheetName val="TT T472-474F3"/>
      <sheetName val="HT T472-474F3"/>
      <sheetName val="TBA T472-474F3"/>
      <sheetName val="f1&amp;f3"/>
      <sheetName val="Nha DKF1"/>
      <sheetName val="00000000"/>
      <sheetName val="10000000"/>
      <sheetName val="P"/>
      <sheetName val="TienLuong"/>
      <sheetName val="BGD-KT-TC"/>
      <sheetName val="LX"/>
      <sheetName val="BAOVE"/>
      <sheetName val="HA NOI"/>
      <sheetName val="Cao su"/>
      <sheetName val="PHONGKD"/>
      <sheetName val="BDHCSU"/>
      <sheetName val="BDHBD"/>
      <sheetName val="CN CK"/>
      <sheetName val="Sheet1"/>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XL4Poppy"/>
      <sheetName val="XL4Test5"/>
      <sheetName val="ptvt-dg"/>
      <sheetName val="MauDZMoi"/>
      <sheetName val="ptvt"/>
      <sheetName val="Gia Du Thau "/>
      <sheetName val="KL-THO"/>
      <sheetName val="tong_hop_vt_giong_nhau"/>
      <sheetName val="TT_T472-474F3"/>
      <sheetName val="HT_T472-474F3"/>
      <sheetName val="TBA_T472-474F3"/>
      <sheetName val="Nha_DKF1"/>
      <sheetName val="HA_NOI"/>
      <sheetName val="Cao_su"/>
      <sheetName val="CN_CK"/>
      <sheetName val="tam_ung"/>
      <sheetName val="SP_INLUA"/>
      <sheetName val="SP_TPBK"/>
      <sheetName val="SP_KHAUBONG"/>
      <sheetName val="sp_cluyen"/>
      <sheetName val="SP_RUOT"/>
      <sheetName val="sp_vo"/>
      <sheetName val="sp_tpcs"/>
      <sheetName val="MHSCT"/>
      <sheetName val="Kh_Hang"/>
      <sheetName val="_REF"/>
      <sheetName val="Tiepdia"/>
      <sheetName val="VTDien"/>
      <sheetName val="dg-VTu"/>
      <sheetName val="CDTK"/>
      <sheetName val="KHSX"/>
      <sheetName val="TIEP KHACH"/>
      <sheetName val="Du_lieu"/>
      <sheetName val="DG-LAP6"/>
      <sheetName val="KL-CONG"/>
      <sheetName val="THNDK"/>
      <sheetName val="gia"/>
      <sheetName val="Dutoan KL"/>
      <sheetName val="PT VATTU"/>
      <sheetName val="BETON"/>
      <sheetName val="otom"/>
      <sheetName val="phuluc1"/>
      <sheetName val=""/>
      <sheetName val="CHITIET VL-NCHT1 (2)"/>
      <sheetName val="TONG HOP T9"/>
      <sheetName val="Bang tra"/>
      <sheetName val="Bia"/>
      <sheetName val="DG"/>
      <sheetName val="vankhuon"/>
      <sheetName val="DON GIA CAN THO"/>
      <sheetName val="kecot"/>
      <sheetName val="phulucR"/>
      <sheetName val="CHITIET VL-NC"/>
      <sheetName val="SToan-KL2"/>
      <sheetName val="Gia_Du_Thau_"/>
      <sheetName val="KHOILUONGCONGTRINHCHINH"/>
      <sheetName val="KL_THO"/>
      <sheetName val="lam-moi"/>
      <sheetName val="thao-go"/>
      <sheetName val="tong_hop_vt_giong_nhau1"/>
      <sheetName val="TT_T472-474F31"/>
      <sheetName val="HT_T472-474F31"/>
      <sheetName val="TBA_T472-474F31"/>
      <sheetName val="Nha_DKF11"/>
      <sheetName val="HA_NOI1"/>
      <sheetName val="Cao_su1"/>
      <sheetName val="CN_CK1"/>
      <sheetName val="tam_ung1"/>
      <sheetName val="SP_INLUA1"/>
      <sheetName val="SP_TPBK1"/>
      <sheetName val="SP_KHAUBONG1"/>
      <sheetName val="sp_cluyen1"/>
      <sheetName val="SP_RUOT1"/>
      <sheetName val="sp_vo1"/>
      <sheetName val="sp_tpcs1"/>
      <sheetName val="Gia_Du_Thau_1"/>
      <sheetName val="Dutoan_KL"/>
      <sheetName val="PT_VATTU"/>
      <sheetName val="Bang_tra"/>
      <sheetName val="TIEP_KHACH"/>
      <sheetName val="tong_hop_vt_giong_nhau2"/>
      <sheetName val="TT_T472-474F32"/>
      <sheetName val="HT_T472-474F32"/>
      <sheetName val="TBA_T472-474F32"/>
      <sheetName val="Nha_DKF12"/>
      <sheetName val="HA_NOI2"/>
      <sheetName val="Cao_su2"/>
      <sheetName val="CN_CK2"/>
      <sheetName val="tam_ung2"/>
      <sheetName val="SP_INLUA2"/>
      <sheetName val="SP_TPBK2"/>
      <sheetName val="SP_KHAUBONG2"/>
      <sheetName val="sp_cluyen2"/>
      <sheetName val="SP_RUOT2"/>
      <sheetName val="sp_vo2"/>
      <sheetName val="sp_tpcs2"/>
      <sheetName val="Gia_Du_Thau_2"/>
      <sheetName val="tong_hop_vt_giong_nhau3"/>
      <sheetName val="TT_T472-474F33"/>
      <sheetName val="HT_T472-474F33"/>
      <sheetName val="TBA_T472-474F33"/>
      <sheetName val="Nha_DKF13"/>
      <sheetName val="HA_NOI3"/>
      <sheetName val="Cao_su3"/>
      <sheetName val="CN_CK3"/>
      <sheetName val="tam_ung3"/>
      <sheetName val="SP_INLUA3"/>
      <sheetName val="SP_TPBK3"/>
      <sheetName val="SP_KHAUBONG3"/>
      <sheetName val="sp_cluyen3"/>
      <sheetName val="SP_RUOT3"/>
      <sheetName val="sp_vo3"/>
      <sheetName val="sp_tpcs3"/>
      <sheetName val="Gia_Du_Thau_3"/>
      <sheetName val="tong_hop_vt_giong_nhau4"/>
      <sheetName val="TT_T472-474F34"/>
      <sheetName val="HT_T472-474F34"/>
      <sheetName val="TBA_T472-474F34"/>
      <sheetName val="Nha_DKF14"/>
      <sheetName val="HA_NOI4"/>
      <sheetName val="Cao_su4"/>
      <sheetName val="CN_CK4"/>
      <sheetName val="tam_ung4"/>
      <sheetName val="SP_INLUA4"/>
      <sheetName val="SP_TPBK4"/>
      <sheetName val="SP_KHAUBONG4"/>
      <sheetName val="sp_cluyen4"/>
      <sheetName val="SP_RUOT4"/>
      <sheetName val="sp_vo4"/>
      <sheetName val="sp_tpcs4"/>
      <sheetName val="Gia_Du_Thau_4"/>
      <sheetName val="TH VL, NC, DDHT Thanhphuoc"/>
      <sheetName val="Ngay"/>
      <sheetName val="VatHieu"/>
      <sheetName val="GRAND REKAP"/>
      <sheetName val="KLR"/>
      <sheetName val="C.T.T.H"/>
      <sheetName val="khoiluong"/>
      <sheetName val="HA_NOI5"/>
      <sheetName val="Cao_su5"/>
      <sheetName val="CN_CK5"/>
      <sheetName val="tam_ung5"/>
      <sheetName val="SP_INLUA5"/>
      <sheetName val="SP_TPBK5"/>
      <sheetName val="SP_KHAUBONG5"/>
      <sheetName val="sp_cluyen5"/>
      <sheetName val="SP_RUOT5"/>
      <sheetName val="sp_vo5"/>
      <sheetName val="sp_tpcs5"/>
      <sheetName val="tong_hop_vt_giong_nhau5"/>
      <sheetName val="TT_T472-474F35"/>
      <sheetName val="HT_T472-474F35"/>
      <sheetName val="TBA_T472-474F35"/>
      <sheetName val="Nha_DKF15"/>
      <sheetName val="HA_NOI6"/>
      <sheetName val="Cao_su6"/>
      <sheetName val="CN_CK6"/>
      <sheetName val="tam_ung6"/>
      <sheetName val="SP_INLUA6"/>
      <sheetName val="SP_TPBK6"/>
      <sheetName val="SP_KHAUBONG6"/>
      <sheetName val="sp_cluyen6"/>
      <sheetName val="SP_RUOT6"/>
      <sheetName val="sp_vo6"/>
      <sheetName val="sp_tpcs6"/>
      <sheetName val="tong_hop_vt_giong_nhau6"/>
      <sheetName val="TT_T472-474F36"/>
      <sheetName val="HT_T472-474F36"/>
      <sheetName val="TBA_T472-474F36"/>
      <sheetName val="Nha_DKF16"/>
      <sheetName val="HA_NOI7"/>
      <sheetName val="Cao_su7"/>
      <sheetName val="CN_CK7"/>
      <sheetName val="tam_ung7"/>
      <sheetName val="SP_INLUA7"/>
      <sheetName val="SP_TPBK7"/>
      <sheetName val="SP_KHAUBONG7"/>
      <sheetName val="sp_cluyen7"/>
      <sheetName val="SP_RUOT7"/>
      <sheetName val="sp_vo7"/>
      <sheetName val="sp_tpcs7"/>
      <sheetName val="tong_hop_vt_giong_nhau7"/>
      <sheetName val="TT_T472-474F37"/>
      <sheetName val="HT_T472-474F37"/>
      <sheetName val="TBA_T472-474F37"/>
      <sheetName val="Nha_DKF17"/>
      <sheetName val="HA_NOI8"/>
      <sheetName val="Cao_su8"/>
      <sheetName val="CN_CK8"/>
      <sheetName val="tam_ung8"/>
      <sheetName val="SP_INLUA8"/>
      <sheetName val="SP_TPBK8"/>
      <sheetName val="SP_KHAUBONG8"/>
      <sheetName val="sp_cluyen8"/>
      <sheetName val="SP_RUOT8"/>
      <sheetName val="sp_vo8"/>
      <sheetName val="sp_tpcs8"/>
      <sheetName val="tong_hop_vt_giong_nhau8"/>
      <sheetName val="TT_T472-474F38"/>
      <sheetName val="HT_T472-474F38"/>
      <sheetName val="TBA_T472-474F38"/>
      <sheetName val="Nha_DKF18"/>
    </sheetNames>
    <sheetDataSet>
      <sheetData sheetId="0"/>
      <sheetData sheetId="1"/>
      <sheetData sheetId="2"/>
      <sheetData sheetId="3"/>
      <sheetData sheetId="4"/>
      <sheetData sheetId="5" refreshError="1">
        <row r="7">
          <cell r="H7">
            <v>0</v>
          </cell>
        </row>
        <row r="8">
          <cell r="B8" t="str">
            <v>PC30</v>
          </cell>
          <cell r="H8">
            <v>0</v>
          </cell>
        </row>
        <row r="9">
          <cell r="B9" t="str">
            <v>CATV</v>
          </cell>
          <cell r="H9">
            <v>0</v>
          </cell>
        </row>
        <row r="10">
          <cell r="B10" t="str">
            <v>H2O</v>
          </cell>
          <cell r="H10">
            <v>0</v>
          </cell>
        </row>
        <row r="11">
          <cell r="H11">
            <v>0</v>
          </cell>
        </row>
        <row r="12">
          <cell r="H12">
            <v>0</v>
          </cell>
        </row>
        <row r="13">
          <cell r="H13">
            <v>0</v>
          </cell>
        </row>
        <row r="14">
          <cell r="H14">
            <v>0</v>
          </cell>
        </row>
        <row r="15">
          <cell r="B15" t="str">
            <v>PC30</v>
          </cell>
          <cell r="H15">
            <v>0</v>
          </cell>
        </row>
        <row r="16">
          <cell r="B16" t="str">
            <v>CATV</v>
          </cell>
          <cell r="H16">
            <v>0</v>
          </cell>
        </row>
        <row r="17">
          <cell r="B17" t="str">
            <v>H2O</v>
          </cell>
          <cell r="H17">
            <v>0</v>
          </cell>
        </row>
        <row r="18">
          <cell r="H18">
            <v>0</v>
          </cell>
        </row>
        <row r="19">
          <cell r="H19">
            <v>0</v>
          </cell>
        </row>
        <row r="20">
          <cell r="H20">
            <v>0</v>
          </cell>
        </row>
        <row r="21">
          <cell r="H21">
            <v>2.5000000000000001E-2</v>
          </cell>
        </row>
        <row r="22">
          <cell r="B22" t="str">
            <v>PC30</v>
          </cell>
          <cell r="H22">
            <v>5.3043750000000003</v>
          </cell>
        </row>
        <row r="23">
          <cell r="B23" t="str">
            <v>CATV</v>
          </cell>
          <cell r="H23">
            <v>1.286375E-2</v>
          </cell>
        </row>
        <row r="24">
          <cell r="B24" t="str">
            <v>H2O</v>
          </cell>
          <cell r="H24">
            <v>4.4749999999999998E-3</v>
          </cell>
        </row>
        <row r="25">
          <cell r="H25">
            <v>5.3043749999999994</v>
          </cell>
        </row>
        <row r="26">
          <cell r="H26">
            <v>1.2863749999999998E-2</v>
          </cell>
        </row>
        <row r="27">
          <cell r="H27">
            <v>4.4749999999999989E-3</v>
          </cell>
        </row>
        <row r="28">
          <cell r="H28">
            <v>2.0909999999999997</v>
          </cell>
        </row>
        <row r="29">
          <cell r="B29" t="str">
            <v>PC30</v>
          </cell>
          <cell r="H29">
            <v>432.83699999999993</v>
          </cell>
        </row>
        <row r="30">
          <cell r="B30" t="str">
            <v>CATV</v>
          </cell>
          <cell r="H30">
            <v>1.049682</v>
          </cell>
        </row>
        <row r="31">
          <cell r="B31" t="str">
            <v>DA46</v>
          </cell>
          <cell r="H31">
            <v>1.877718</v>
          </cell>
        </row>
        <row r="32">
          <cell r="B32" t="str">
            <v>H2O</v>
          </cell>
          <cell r="H32">
            <v>0.365925</v>
          </cell>
        </row>
        <row r="33">
          <cell r="H33">
            <v>432.83700000000005</v>
          </cell>
        </row>
        <row r="34">
          <cell r="H34">
            <v>1.0496820000000002</v>
          </cell>
        </row>
        <row r="35">
          <cell r="H35">
            <v>1.8777180000000004</v>
          </cell>
        </row>
        <row r="36">
          <cell r="H36">
            <v>0.36592500000000006</v>
          </cell>
        </row>
        <row r="37">
          <cell r="H37">
            <v>1.0454999999999999</v>
          </cell>
        </row>
        <row r="38">
          <cell r="B38" t="str">
            <v>PC30</v>
          </cell>
          <cell r="H38">
            <v>357.56099999999998</v>
          </cell>
        </row>
        <row r="39">
          <cell r="B39" t="str">
            <v>CATV</v>
          </cell>
          <cell r="H39">
            <v>0.47570250000000003</v>
          </cell>
        </row>
        <row r="40">
          <cell r="B40" t="str">
            <v>DA24</v>
          </cell>
          <cell r="H40">
            <v>0.90600939000000003</v>
          </cell>
        </row>
        <row r="41">
          <cell r="B41" t="str">
            <v>H2O</v>
          </cell>
          <cell r="H41">
            <v>0.19341749999999999</v>
          </cell>
        </row>
        <row r="42">
          <cell r="H42">
            <v>357.56100000000004</v>
          </cell>
        </row>
        <row r="43">
          <cell r="H43">
            <v>0.47570250000000003</v>
          </cell>
        </row>
        <row r="44">
          <cell r="H44">
            <v>0.90600939000000003</v>
          </cell>
        </row>
        <row r="45">
          <cell r="H45">
            <v>0.19341749999999999</v>
          </cell>
        </row>
        <row r="46">
          <cell r="H46">
            <v>1.0454999999999999</v>
          </cell>
        </row>
        <row r="47">
          <cell r="B47" t="str">
            <v>PC30</v>
          </cell>
          <cell r="H47">
            <v>458.28447</v>
          </cell>
        </row>
        <row r="48">
          <cell r="B48" t="str">
            <v>CATV</v>
          </cell>
          <cell r="H48">
            <v>0.43822132499999994</v>
          </cell>
        </row>
        <row r="49">
          <cell r="B49" t="str">
            <v>DA12</v>
          </cell>
          <cell r="H49">
            <v>0.90600939000000003</v>
          </cell>
        </row>
        <row r="50">
          <cell r="B50" t="str">
            <v>H2O</v>
          </cell>
          <cell r="H50">
            <v>0.20591122500000003</v>
          </cell>
        </row>
        <row r="51">
          <cell r="H51">
            <v>458.28447000000011</v>
          </cell>
        </row>
        <row r="52">
          <cell r="H52">
            <v>0.43822132500000005</v>
          </cell>
        </row>
        <row r="53">
          <cell r="H53">
            <v>0.90600939000000014</v>
          </cell>
        </row>
        <row r="54">
          <cell r="H54">
            <v>0.20591122500000006</v>
          </cell>
        </row>
        <row r="55">
          <cell r="H55">
            <v>1.0200749999999998</v>
          </cell>
        </row>
        <row r="56">
          <cell r="B56" t="str">
            <v>PC30</v>
          </cell>
          <cell r="H56">
            <v>467.19434999999993</v>
          </cell>
        </row>
        <row r="57">
          <cell r="B57" t="str">
            <v>CATV</v>
          </cell>
          <cell r="H57">
            <v>0.43251179999999989</v>
          </cell>
        </row>
        <row r="58">
          <cell r="B58" t="str">
            <v>DA12</v>
          </cell>
          <cell r="H58">
            <v>0.87828457499999979</v>
          </cell>
        </row>
        <row r="59">
          <cell r="B59" t="str">
            <v>H2O</v>
          </cell>
          <cell r="H59">
            <v>0.18463357499999997</v>
          </cell>
        </row>
        <row r="60">
          <cell r="H60">
            <v>467.19434999999993</v>
          </cell>
        </row>
        <row r="61">
          <cell r="H61">
            <v>0.43251179999999989</v>
          </cell>
        </row>
        <row r="62">
          <cell r="H62">
            <v>0.87828457499999979</v>
          </cell>
        </row>
        <row r="63">
          <cell r="H63">
            <v>0.18463357499999997</v>
          </cell>
        </row>
      </sheetData>
      <sheetData sheetId="6" refreshError="1">
        <row r="8">
          <cell r="I8">
            <v>1</v>
          </cell>
        </row>
        <row r="9">
          <cell r="I9">
            <v>1</v>
          </cell>
        </row>
        <row r="10">
          <cell r="I10">
            <v>0</v>
          </cell>
        </row>
        <row r="11">
          <cell r="I11">
            <v>1</v>
          </cell>
        </row>
        <row r="12">
          <cell r="D12" t="str">
            <v>BM22-600</v>
          </cell>
          <cell r="I12">
            <v>2</v>
          </cell>
        </row>
        <row r="13">
          <cell r="I13">
            <v>4.9000000000000004</v>
          </cell>
        </row>
        <row r="14">
          <cell r="D14" t="str">
            <v>CM35-10</v>
          </cell>
          <cell r="I14">
            <v>4.9000000000000004</v>
          </cell>
        </row>
        <row r="15">
          <cell r="D15" t="str">
            <v>ÑC1,5</v>
          </cell>
          <cell r="I15">
            <v>1</v>
          </cell>
        </row>
        <row r="16">
          <cell r="I16">
            <v>0.1</v>
          </cell>
        </row>
        <row r="17">
          <cell r="I17">
            <v>1</v>
          </cell>
        </row>
        <row r="18">
          <cell r="D18" t="str">
            <v>BM22-600</v>
          </cell>
          <cell r="I18">
            <v>2</v>
          </cell>
        </row>
        <row r="19">
          <cell r="I19">
            <v>5.9</v>
          </cell>
        </row>
        <row r="20">
          <cell r="I20">
            <v>5.9</v>
          </cell>
        </row>
        <row r="21">
          <cell r="D21" t="str">
            <v>ÑC1,5</v>
          </cell>
          <cell r="I21">
            <v>2</v>
          </cell>
        </row>
        <row r="22">
          <cell r="I22">
            <v>0.1</v>
          </cell>
        </row>
        <row r="23">
          <cell r="I23">
            <v>1</v>
          </cell>
        </row>
        <row r="24">
          <cell r="D24" t="str">
            <v>BM22-850</v>
          </cell>
          <cell r="I24">
            <v>1</v>
          </cell>
        </row>
        <row r="25">
          <cell r="I25">
            <v>3</v>
          </cell>
        </row>
        <row r="26">
          <cell r="I26">
            <v>3</v>
          </cell>
        </row>
        <row r="27">
          <cell r="D27" t="str">
            <v>ÑC1,5</v>
          </cell>
          <cell r="I27">
            <v>2</v>
          </cell>
        </row>
        <row r="28">
          <cell r="D28" t="str">
            <v>DCU2,5</v>
          </cell>
          <cell r="I28">
            <v>0.7</v>
          </cell>
        </row>
        <row r="29">
          <cell r="I29">
            <v>9.9999999999999992E-2</v>
          </cell>
        </row>
        <row r="30">
          <cell r="I30">
            <v>0</v>
          </cell>
        </row>
        <row r="31">
          <cell r="D31" t="str">
            <v>BM22-650</v>
          </cell>
          <cell r="I31">
            <v>0</v>
          </cell>
        </row>
        <row r="32">
          <cell r="I32">
            <v>0</v>
          </cell>
        </row>
        <row r="33">
          <cell r="I33">
            <v>0</v>
          </cell>
        </row>
        <row r="34">
          <cell r="D34" t="str">
            <v>ÑC1,5</v>
          </cell>
          <cell r="I34">
            <v>0</v>
          </cell>
        </row>
        <row r="35">
          <cell r="I35">
            <v>0</v>
          </cell>
        </row>
        <row r="36">
          <cell r="D36" t="str">
            <v>SC</v>
          </cell>
          <cell r="I36">
            <v>1</v>
          </cell>
        </row>
        <row r="37">
          <cell r="D37" t="str">
            <v>BM22-650</v>
          </cell>
          <cell r="I37">
            <v>2</v>
          </cell>
        </row>
        <row r="38">
          <cell r="I38">
            <v>11.9</v>
          </cell>
        </row>
        <row r="39">
          <cell r="I39">
            <v>13.85</v>
          </cell>
        </row>
        <row r="40">
          <cell r="D40" t="str">
            <v>MUAÑ</v>
          </cell>
          <cell r="I40">
            <v>1.9499999999999993</v>
          </cell>
        </row>
        <row r="41">
          <cell r="D41" t="str">
            <v>ÑC1,5</v>
          </cell>
          <cell r="I41">
            <v>2</v>
          </cell>
        </row>
        <row r="42">
          <cell r="D42" t="str">
            <v>BTM250</v>
          </cell>
          <cell r="I42">
            <v>0.16</v>
          </cell>
        </row>
        <row r="43">
          <cell r="D43" t="str">
            <v>ST10M</v>
          </cell>
          <cell r="I43">
            <v>7.2499999999999991</v>
          </cell>
        </row>
        <row r="44">
          <cell r="D44" t="str">
            <v>VKM</v>
          </cell>
          <cell r="I44">
            <v>2.1099999999999997E-2</v>
          </cell>
        </row>
        <row r="45">
          <cell r="D45" t="str">
            <v>QBTUM</v>
          </cell>
          <cell r="I45">
            <v>1</v>
          </cell>
        </row>
        <row r="46">
          <cell r="I46">
            <v>0.1</v>
          </cell>
        </row>
        <row r="47">
          <cell r="I47">
            <v>1</v>
          </cell>
        </row>
        <row r="48">
          <cell r="D48" t="str">
            <v>BM22-850</v>
          </cell>
          <cell r="I48">
            <v>1</v>
          </cell>
        </row>
        <row r="49">
          <cell r="I49">
            <v>3.1</v>
          </cell>
        </row>
        <row r="50">
          <cell r="I50">
            <v>3.9</v>
          </cell>
        </row>
        <row r="51">
          <cell r="D51" t="str">
            <v>MUAÑ</v>
          </cell>
          <cell r="I51">
            <v>0.79999999999999982</v>
          </cell>
        </row>
        <row r="52">
          <cell r="D52" t="str">
            <v>ÑC1,5</v>
          </cell>
          <cell r="I52">
            <v>2</v>
          </cell>
        </row>
        <row r="53">
          <cell r="D53" t="str">
            <v>DCU5</v>
          </cell>
          <cell r="I53">
            <v>1.4</v>
          </cell>
        </row>
        <row r="54">
          <cell r="I54">
            <v>9.9999999999999992E-2</v>
          </cell>
        </row>
        <row r="55">
          <cell r="I55">
            <v>1</v>
          </cell>
        </row>
        <row r="56">
          <cell r="D56" t="str">
            <v>BM22-850</v>
          </cell>
          <cell r="I56">
            <v>1</v>
          </cell>
        </row>
        <row r="57">
          <cell r="I57">
            <v>4.2</v>
          </cell>
        </row>
        <row r="58">
          <cell r="I58">
            <v>5.01</v>
          </cell>
        </row>
        <row r="59">
          <cell r="D59" t="str">
            <v>MUAÑ</v>
          </cell>
          <cell r="I59">
            <v>3.2</v>
          </cell>
        </row>
        <row r="60">
          <cell r="D60" t="str">
            <v>DCU5</v>
          </cell>
          <cell r="I60">
            <v>1.3999999999999997</v>
          </cell>
        </row>
        <row r="61">
          <cell r="D61" t="str">
            <v>ÑC1,5</v>
          </cell>
          <cell r="I61">
            <v>1.9999999999999998</v>
          </cell>
        </row>
        <row r="62">
          <cell r="D62" t="str">
            <v>BTM250</v>
          </cell>
          <cell r="I62">
            <v>0.15999999999999998</v>
          </cell>
        </row>
        <row r="63">
          <cell r="D63" t="str">
            <v>ST10M</v>
          </cell>
          <cell r="I63">
            <v>7.2499999999999991</v>
          </cell>
        </row>
        <row r="64">
          <cell r="D64" t="str">
            <v>VKM</v>
          </cell>
          <cell r="I64">
            <v>2.1099999999999997E-2</v>
          </cell>
        </row>
        <row r="65">
          <cell r="D65" t="str">
            <v>QBTUM</v>
          </cell>
          <cell r="I65">
            <v>1</v>
          </cell>
        </row>
        <row r="66">
          <cell r="I66">
            <v>0.1</v>
          </cell>
        </row>
        <row r="67">
          <cell r="I67">
            <v>1</v>
          </cell>
        </row>
        <row r="68">
          <cell r="D68" t="str">
            <v>BM22-650</v>
          </cell>
          <cell r="I68">
            <v>2</v>
          </cell>
        </row>
        <row r="69">
          <cell r="I69">
            <v>11.1</v>
          </cell>
        </row>
        <row r="70">
          <cell r="I70">
            <v>12.3</v>
          </cell>
        </row>
        <row r="71">
          <cell r="D71" t="str">
            <v>MUAÑ</v>
          </cell>
          <cell r="I71">
            <v>1.2000000000000011</v>
          </cell>
        </row>
        <row r="72">
          <cell r="D72" t="str">
            <v>ÑC1,5</v>
          </cell>
          <cell r="I72">
            <v>2</v>
          </cell>
        </row>
        <row r="73">
          <cell r="I73">
            <v>0.1</v>
          </cell>
        </row>
        <row r="74">
          <cell r="I74">
            <v>1</v>
          </cell>
        </row>
        <row r="75">
          <cell r="D75" t="str">
            <v>BM22-850</v>
          </cell>
          <cell r="I75">
            <v>1</v>
          </cell>
        </row>
        <row r="76">
          <cell r="I76">
            <v>4.0999999999999996</v>
          </cell>
        </row>
        <row r="77">
          <cell r="I77">
            <v>3.3</v>
          </cell>
        </row>
        <row r="78">
          <cell r="D78" t="str">
            <v>DCU5</v>
          </cell>
          <cell r="I78">
            <v>1.4</v>
          </cell>
        </row>
        <row r="79">
          <cell r="D79" t="str">
            <v>ÑC1,5</v>
          </cell>
          <cell r="I79">
            <v>2</v>
          </cell>
        </row>
        <row r="80">
          <cell r="I80">
            <v>0.1</v>
          </cell>
        </row>
        <row r="81">
          <cell r="I81">
            <v>1</v>
          </cell>
        </row>
        <row r="82">
          <cell r="D82" t="str">
            <v>BM22-850</v>
          </cell>
          <cell r="I82">
            <v>1</v>
          </cell>
        </row>
        <row r="83">
          <cell r="I83">
            <v>3.3</v>
          </cell>
        </row>
        <row r="84">
          <cell r="I84">
            <v>4.0999999999999996</v>
          </cell>
        </row>
        <row r="85">
          <cell r="D85" t="str">
            <v>MUAÑ</v>
          </cell>
          <cell r="I85">
            <v>0.79999999999999982</v>
          </cell>
        </row>
        <row r="86">
          <cell r="D86" t="str">
            <v>DCU5</v>
          </cell>
          <cell r="I86">
            <v>1.4</v>
          </cell>
        </row>
        <row r="87">
          <cell r="D87" t="str">
            <v>ÑC1,5</v>
          </cell>
          <cell r="I87">
            <v>2</v>
          </cell>
        </row>
        <row r="88">
          <cell r="D88" t="str">
            <v>BTM250</v>
          </cell>
          <cell r="I88">
            <v>0.14000000000000001</v>
          </cell>
        </row>
        <row r="89">
          <cell r="D89" t="str">
            <v>ST10M</v>
          </cell>
          <cell r="I89">
            <v>6.8</v>
          </cell>
        </row>
        <row r="90">
          <cell r="D90" t="str">
            <v>VKM</v>
          </cell>
          <cell r="I90">
            <v>1.9900000000000001E-2</v>
          </cell>
        </row>
        <row r="91">
          <cell r="D91" t="str">
            <v>QBTUM</v>
          </cell>
          <cell r="I91">
            <v>2</v>
          </cell>
        </row>
        <row r="92">
          <cell r="I92">
            <v>0.1</v>
          </cell>
        </row>
        <row r="93">
          <cell r="I93">
            <v>1</v>
          </cell>
        </row>
        <row r="94">
          <cell r="D94" t="str">
            <v>BTM250</v>
          </cell>
          <cell r="I94">
            <v>1.91</v>
          </cell>
        </row>
        <row r="95">
          <cell r="D95" t="str">
            <v>BTL100</v>
          </cell>
          <cell r="I95">
            <v>0.51</v>
          </cell>
        </row>
        <row r="96">
          <cell r="D96" t="str">
            <v>ST10M</v>
          </cell>
          <cell r="I96">
            <v>46.48</v>
          </cell>
        </row>
        <row r="97">
          <cell r="D97" t="str">
            <v>ST18M</v>
          </cell>
          <cell r="I97">
            <v>93.34</v>
          </cell>
        </row>
        <row r="98">
          <cell r="D98" t="str">
            <v>VKM</v>
          </cell>
          <cell r="I98">
            <v>9.8000000000000004E-2</v>
          </cell>
        </row>
        <row r="99">
          <cell r="I99">
            <v>13</v>
          </cell>
        </row>
        <row r="100">
          <cell r="I100">
            <v>13</v>
          </cell>
        </row>
        <row r="101">
          <cell r="I101">
            <v>0.1</v>
          </cell>
        </row>
        <row r="102">
          <cell r="I102">
            <v>1</v>
          </cell>
        </row>
        <row r="103">
          <cell r="D103" t="str">
            <v>BM22-950</v>
          </cell>
          <cell r="I103">
            <v>1</v>
          </cell>
        </row>
        <row r="104">
          <cell r="I104">
            <v>5.6</v>
          </cell>
        </row>
        <row r="105">
          <cell r="I105">
            <v>6.6999999999999993</v>
          </cell>
        </row>
        <row r="106">
          <cell r="D106" t="str">
            <v>MUAÑ</v>
          </cell>
          <cell r="I106">
            <v>1.1000000000000003</v>
          </cell>
        </row>
        <row r="107">
          <cell r="D107" t="str">
            <v>DCU5</v>
          </cell>
          <cell r="I107">
            <v>1.5999999999999999</v>
          </cell>
        </row>
        <row r="108">
          <cell r="D108" t="str">
            <v>ÑC2</v>
          </cell>
          <cell r="I108">
            <v>1.9999999999999998</v>
          </cell>
        </row>
        <row r="109">
          <cell r="D109" t="str">
            <v>BTM250</v>
          </cell>
          <cell r="I109">
            <v>0.21999999999999997</v>
          </cell>
        </row>
        <row r="110">
          <cell r="D110" t="str">
            <v>ST10M</v>
          </cell>
          <cell r="I110">
            <v>9.2999999999999989</v>
          </cell>
        </row>
        <row r="111">
          <cell r="D111" t="str">
            <v>VKM</v>
          </cell>
          <cell r="I111">
            <v>2.8599999999999997E-2</v>
          </cell>
        </row>
        <row r="112">
          <cell r="D112" t="str">
            <v>QBTUM</v>
          </cell>
          <cell r="I112">
            <v>2.9999999999999996</v>
          </cell>
        </row>
        <row r="113">
          <cell r="I113">
            <v>9.9999999999999992E-2</v>
          </cell>
        </row>
        <row r="114">
          <cell r="I114">
            <v>0</v>
          </cell>
        </row>
        <row r="115">
          <cell r="D115" t="str">
            <v>BLMK</v>
          </cell>
          <cell r="I115">
            <v>0</v>
          </cell>
        </row>
        <row r="116">
          <cell r="I116">
            <v>0</v>
          </cell>
        </row>
        <row r="117">
          <cell r="I117">
            <v>0</v>
          </cell>
        </row>
        <row r="118">
          <cell r="D118" t="str">
            <v>MUAÑ</v>
          </cell>
          <cell r="I118">
            <v>0</v>
          </cell>
        </row>
        <row r="119">
          <cell r="D119" t="str">
            <v>ÑC2</v>
          </cell>
          <cell r="I119">
            <v>0</v>
          </cell>
        </row>
        <row r="120">
          <cell r="D120" t="str">
            <v>QBTUM</v>
          </cell>
          <cell r="I120">
            <v>0</v>
          </cell>
        </row>
        <row r="121">
          <cell r="I121">
            <v>0</v>
          </cell>
        </row>
        <row r="122">
          <cell r="I122">
            <v>1</v>
          </cell>
        </row>
        <row r="123">
          <cell r="D123" t="str">
            <v>BTM200</v>
          </cell>
          <cell r="I123">
            <v>6.64</v>
          </cell>
        </row>
        <row r="124">
          <cell r="D124" t="str">
            <v>BTL100</v>
          </cell>
          <cell r="I124">
            <v>1.5</v>
          </cell>
        </row>
        <row r="125">
          <cell r="D125" t="str">
            <v>ST18M</v>
          </cell>
          <cell r="I125">
            <v>2.632E-2</v>
          </cell>
        </row>
        <row r="126">
          <cell r="D126" t="str">
            <v>ST18M</v>
          </cell>
          <cell r="I126">
            <v>0.38653999999999999</v>
          </cell>
        </row>
        <row r="127">
          <cell r="D127" t="str">
            <v>DCAT</v>
          </cell>
          <cell r="I127">
            <v>3.7</v>
          </cell>
        </row>
        <row r="128">
          <cell r="D128" t="str">
            <v>DCU5</v>
          </cell>
          <cell r="I128">
            <v>16.7</v>
          </cell>
        </row>
        <row r="129">
          <cell r="I129">
            <v>105</v>
          </cell>
        </row>
        <row r="130">
          <cell r="I130">
            <v>105</v>
          </cell>
        </row>
        <row r="131">
          <cell r="I131">
            <v>0.1</v>
          </cell>
        </row>
        <row r="132">
          <cell r="I132">
            <v>0</v>
          </cell>
        </row>
        <row r="133">
          <cell r="D133" t="str">
            <v>BTM200</v>
          </cell>
          <cell r="I133">
            <v>0</v>
          </cell>
        </row>
        <row r="134">
          <cell r="D134" t="str">
            <v>BTL100</v>
          </cell>
          <cell r="I134">
            <v>0</v>
          </cell>
        </row>
        <row r="135">
          <cell r="D135" t="str">
            <v>BTL100</v>
          </cell>
          <cell r="I135">
            <v>0</v>
          </cell>
        </row>
        <row r="136">
          <cell r="D136" t="str">
            <v>ST10M</v>
          </cell>
          <cell r="I136">
            <v>0</v>
          </cell>
        </row>
        <row r="137">
          <cell r="D137" t="str">
            <v>ST18M</v>
          </cell>
          <cell r="I137">
            <v>0</v>
          </cell>
        </row>
        <row r="138">
          <cell r="D138" t="str">
            <v>D57+C</v>
          </cell>
          <cell r="I138">
            <v>0</v>
          </cell>
        </row>
        <row r="139">
          <cell r="I139">
            <v>0</v>
          </cell>
        </row>
        <row r="140">
          <cell r="I140">
            <v>0</v>
          </cell>
        </row>
        <row r="141">
          <cell r="I141">
            <v>0</v>
          </cell>
        </row>
        <row r="142">
          <cell r="I142">
            <v>1</v>
          </cell>
        </row>
        <row r="143">
          <cell r="D143" t="str">
            <v>BTM250</v>
          </cell>
          <cell r="I143">
            <v>0.78800000000000003</v>
          </cell>
        </row>
        <row r="144">
          <cell r="D144" t="str">
            <v>BTM250</v>
          </cell>
          <cell r="I144">
            <v>0.86199999999999988</v>
          </cell>
        </row>
        <row r="145">
          <cell r="D145" t="str">
            <v>BTL100</v>
          </cell>
          <cell r="I145">
            <v>0.4</v>
          </cell>
        </row>
        <row r="146">
          <cell r="D146" t="str">
            <v>ST10M</v>
          </cell>
          <cell r="I146">
            <v>63.07</v>
          </cell>
        </row>
        <row r="147">
          <cell r="D147" t="str">
            <v>ST18M</v>
          </cell>
          <cell r="I147">
            <v>49.7</v>
          </cell>
        </row>
        <row r="148">
          <cell r="D148" t="str">
            <v>VKM</v>
          </cell>
          <cell r="I148">
            <v>2.1000000000000001E-2</v>
          </cell>
        </row>
        <row r="149">
          <cell r="D149" t="str">
            <v>VKM</v>
          </cell>
          <cell r="I149">
            <v>6.7000000000000004E-2</v>
          </cell>
        </row>
        <row r="150">
          <cell r="D150" t="str">
            <v>DCU5</v>
          </cell>
          <cell r="I150">
            <v>3.9500000000000006</v>
          </cell>
        </row>
        <row r="151">
          <cell r="I151">
            <v>13.000000000000002</v>
          </cell>
        </row>
        <row r="152">
          <cell r="I152">
            <v>13.000000000000002</v>
          </cell>
        </row>
        <row r="153">
          <cell r="I153">
            <v>0.10000000000000002</v>
          </cell>
        </row>
        <row r="154">
          <cell r="I154">
            <v>1</v>
          </cell>
        </row>
        <row r="155">
          <cell r="D155" t="str">
            <v>M-25</v>
          </cell>
          <cell r="I155">
            <v>3</v>
          </cell>
        </row>
        <row r="156">
          <cell r="D156" t="str">
            <v>cTD-16/2400</v>
          </cell>
          <cell r="I156">
            <v>1</v>
          </cell>
        </row>
        <row r="157">
          <cell r="D157" t="str">
            <v>Kep-TD</v>
          </cell>
          <cell r="I157">
            <v>1</v>
          </cell>
        </row>
        <row r="158">
          <cell r="D158" t="str">
            <v>KepN-CU/AL</v>
          </cell>
          <cell r="I158">
            <v>1</v>
          </cell>
        </row>
        <row r="159">
          <cell r="I159">
            <v>3</v>
          </cell>
        </row>
        <row r="160">
          <cell r="I160">
            <v>1</v>
          </cell>
        </row>
        <row r="161">
          <cell r="I161">
            <v>10</v>
          </cell>
        </row>
        <row r="162">
          <cell r="I162">
            <v>0</v>
          </cell>
        </row>
        <row r="163">
          <cell r="I163">
            <v>1</v>
          </cell>
        </row>
        <row r="164">
          <cell r="D164" t="str">
            <v>BTLT-12</v>
          </cell>
          <cell r="I164">
            <v>1</v>
          </cell>
        </row>
        <row r="165">
          <cell r="I165">
            <v>1</v>
          </cell>
        </row>
        <row r="166">
          <cell r="I166">
            <v>1.2</v>
          </cell>
        </row>
        <row r="167">
          <cell r="I167">
            <v>1.2</v>
          </cell>
        </row>
        <row r="168">
          <cell r="I168">
            <v>1</v>
          </cell>
        </row>
        <row r="169">
          <cell r="D169" t="str">
            <v>BTLT-14</v>
          </cell>
          <cell r="I169">
            <v>1</v>
          </cell>
        </row>
        <row r="170">
          <cell r="I170">
            <v>1</v>
          </cell>
        </row>
        <row r="171">
          <cell r="I171">
            <v>1.4</v>
          </cell>
        </row>
        <row r="172">
          <cell r="I172">
            <v>1.4</v>
          </cell>
        </row>
        <row r="173">
          <cell r="I173">
            <v>1</v>
          </cell>
        </row>
        <row r="174">
          <cell r="D174" t="str">
            <v>BTLT-20</v>
          </cell>
          <cell r="I174">
            <v>1</v>
          </cell>
        </row>
        <row r="175">
          <cell r="I175">
            <v>1</v>
          </cell>
        </row>
        <row r="176">
          <cell r="I176">
            <v>1</v>
          </cell>
        </row>
        <row r="177">
          <cell r="I177">
            <v>2</v>
          </cell>
        </row>
        <row r="178">
          <cell r="I178">
            <v>1</v>
          </cell>
        </row>
        <row r="179">
          <cell r="I179">
            <v>1</v>
          </cell>
        </row>
        <row r="180">
          <cell r="D180" t="str">
            <v>GCMK</v>
          </cell>
          <cell r="I180">
            <v>14.04</v>
          </cell>
        </row>
        <row r="181">
          <cell r="D181" t="str">
            <v>GCMK</v>
          </cell>
          <cell r="I181">
            <v>2.72</v>
          </cell>
        </row>
        <row r="182">
          <cell r="D182" t="str">
            <v>BM16-240/80</v>
          </cell>
          <cell r="I182">
            <v>5</v>
          </cell>
        </row>
        <row r="183">
          <cell r="D183" t="str">
            <v>BM16-35/28</v>
          </cell>
          <cell r="I183">
            <v>2</v>
          </cell>
        </row>
        <row r="184">
          <cell r="I184">
            <v>1</v>
          </cell>
        </row>
        <row r="185">
          <cell r="I185">
            <v>20</v>
          </cell>
        </row>
        <row r="186">
          <cell r="I186">
            <v>1</v>
          </cell>
        </row>
        <row r="187">
          <cell r="D187" t="str">
            <v>GCMK</v>
          </cell>
          <cell r="I187">
            <v>17</v>
          </cell>
        </row>
        <row r="188">
          <cell r="D188" t="str">
            <v>GCMK</v>
          </cell>
          <cell r="I188">
            <v>3.09</v>
          </cell>
        </row>
        <row r="189">
          <cell r="D189" t="str">
            <v>BM16-240/80</v>
          </cell>
          <cell r="I189">
            <v>3</v>
          </cell>
        </row>
        <row r="190">
          <cell r="D190" t="str">
            <v>BM16-35/28</v>
          </cell>
          <cell r="I190">
            <v>1</v>
          </cell>
        </row>
        <row r="191">
          <cell r="I191">
            <v>1</v>
          </cell>
        </row>
        <row r="192">
          <cell r="I192">
            <v>20</v>
          </cell>
        </row>
        <row r="193">
          <cell r="I193">
            <v>1</v>
          </cell>
        </row>
        <row r="194">
          <cell r="D194" t="str">
            <v>GCMK</v>
          </cell>
          <cell r="I194">
            <v>28.09</v>
          </cell>
        </row>
        <row r="195">
          <cell r="D195" t="str">
            <v>GCMK</v>
          </cell>
          <cell r="I195">
            <v>5.4499999999999993</v>
          </cell>
        </row>
        <row r="196">
          <cell r="D196" t="str">
            <v>BM16-240/80</v>
          </cell>
          <cell r="I196">
            <v>4.9999999999999991</v>
          </cell>
        </row>
        <row r="197">
          <cell r="D197" t="str">
            <v>BM16-300/300</v>
          </cell>
          <cell r="I197">
            <v>3.9999999999999991</v>
          </cell>
        </row>
        <row r="198">
          <cell r="I198">
            <v>0.99999999999999978</v>
          </cell>
        </row>
        <row r="199">
          <cell r="I199">
            <v>39.999999999999993</v>
          </cell>
        </row>
        <row r="200">
          <cell r="I200">
            <v>1</v>
          </cell>
        </row>
        <row r="201">
          <cell r="D201" t="str">
            <v>GCMK</v>
          </cell>
          <cell r="I201">
            <v>31.04</v>
          </cell>
        </row>
        <row r="202">
          <cell r="D202" t="str">
            <v>GCMK</v>
          </cell>
          <cell r="I202">
            <v>11.9</v>
          </cell>
        </row>
        <row r="203">
          <cell r="D203" t="str">
            <v>BM16-240/80</v>
          </cell>
          <cell r="I203">
            <v>3</v>
          </cell>
        </row>
        <row r="204">
          <cell r="D204" t="str">
            <v>BM16-300/300</v>
          </cell>
          <cell r="I204">
            <v>2</v>
          </cell>
        </row>
        <row r="205">
          <cell r="I205">
            <v>1</v>
          </cell>
        </row>
        <row r="206">
          <cell r="I206">
            <v>45</v>
          </cell>
        </row>
        <row r="207">
          <cell r="I207">
            <v>1</v>
          </cell>
        </row>
        <row r="208">
          <cell r="D208" t="str">
            <v>GCMK</v>
          </cell>
          <cell r="I208">
            <v>31.04</v>
          </cell>
        </row>
        <row r="209">
          <cell r="D209" t="str">
            <v>GCMK</v>
          </cell>
          <cell r="I209">
            <v>11.56</v>
          </cell>
        </row>
        <row r="210">
          <cell r="D210" t="str">
            <v>BM16-240/80</v>
          </cell>
          <cell r="I210">
            <v>3</v>
          </cell>
        </row>
        <row r="211">
          <cell r="D211" t="str">
            <v>BM16-300/300</v>
          </cell>
          <cell r="I211">
            <v>2</v>
          </cell>
        </row>
        <row r="212">
          <cell r="I212">
            <v>1</v>
          </cell>
        </row>
        <row r="213">
          <cell r="I213">
            <v>45</v>
          </cell>
        </row>
        <row r="214">
          <cell r="I214">
            <v>1</v>
          </cell>
        </row>
        <row r="215">
          <cell r="D215" t="str">
            <v>GCMK</v>
          </cell>
          <cell r="I215">
            <v>48.25</v>
          </cell>
        </row>
        <row r="216">
          <cell r="D216" t="str">
            <v>GCMK</v>
          </cell>
          <cell r="I216">
            <v>19.149999999999999</v>
          </cell>
        </row>
        <row r="217">
          <cell r="D217" t="str">
            <v>GCMK</v>
          </cell>
          <cell r="I217">
            <v>7.0299999999999994</v>
          </cell>
        </row>
        <row r="218">
          <cell r="D218" t="str">
            <v>BM16-260</v>
          </cell>
          <cell r="I218">
            <v>0.99999999999999989</v>
          </cell>
        </row>
        <row r="219">
          <cell r="D219" t="str">
            <v>BM16-70</v>
          </cell>
          <cell r="I219">
            <v>1.9999999999999998</v>
          </cell>
        </row>
        <row r="220">
          <cell r="D220" t="str">
            <v>BM16-400</v>
          </cell>
          <cell r="I220">
            <v>2.9999999999999996</v>
          </cell>
        </row>
        <row r="221">
          <cell r="D221" t="str">
            <v>BM16-100</v>
          </cell>
          <cell r="I221">
            <v>3.9999999999999996</v>
          </cell>
        </row>
        <row r="222">
          <cell r="D222" t="str">
            <v>CD-194/7,135</v>
          </cell>
          <cell r="I222">
            <v>0.99999999999999989</v>
          </cell>
        </row>
        <row r="223">
          <cell r="D223" t="str">
            <v>CD-210/7,24</v>
          </cell>
          <cell r="I223">
            <v>0.99999999999999989</v>
          </cell>
        </row>
        <row r="224">
          <cell r="I224">
            <v>0.99999999999999989</v>
          </cell>
        </row>
        <row r="225">
          <cell r="I225">
            <v>1.9999999999999998</v>
          </cell>
        </row>
        <row r="226">
          <cell r="I226">
            <v>91.999999999999986</v>
          </cell>
        </row>
        <row r="227">
          <cell r="I227">
            <v>0</v>
          </cell>
        </row>
        <row r="228">
          <cell r="D228" t="str">
            <v>GCMK</v>
          </cell>
          <cell r="I228">
            <v>0</v>
          </cell>
        </row>
        <row r="229">
          <cell r="D229" t="str">
            <v>GCMK</v>
          </cell>
          <cell r="I229">
            <v>0</v>
          </cell>
        </row>
        <row r="230">
          <cell r="D230" t="str">
            <v>GCMK</v>
          </cell>
          <cell r="I230">
            <v>0</v>
          </cell>
        </row>
        <row r="231">
          <cell r="D231" t="str">
            <v>GCMK</v>
          </cell>
          <cell r="I231">
            <v>0</v>
          </cell>
        </row>
        <row r="232">
          <cell r="I232">
            <v>0</v>
          </cell>
        </row>
        <row r="233">
          <cell r="I233">
            <v>0</v>
          </cell>
        </row>
        <row r="234">
          <cell r="I234">
            <v>0</v>
          </cell>
        </row>
        <row r="235">
          <cell r="I235">
            <v>1</v>
          </cell>
        </row>
        <row r="236">
          <cell r="D236" t="str">
            <v>GCMK</v>
          </cell>
          <cell r="I236">
            <v>14.78</v>
          </cell>
        </row>
        <row r="237">
          <cell r="D237" t="str">
            <v>GCMK</v>
          </cell>
          <cell r="I237">
            <v>2.88</v>
          </cell>
        </row>
        <row r="238">
          <cell r="D238" t="str">
            <v>BM16-240/80</v>
          </cell>
          <cell r="I238">
            <v>1</v>
          </cell>
        </row>
        <row r="239">
          <cell r="D239" t="str">
            <v>BM16-35/28</v>
          </cell>
          <cell r="I239">
            <v>1</v>
          </cell>
        </row>
        <row r="240">
          <cell r="I240">
            <v>1</v>
          </cell>
        </row>
        <row r="241">
          <cell r="I241">
            <v>19</v>
          </cell>
        </row>
        <row r="242">
          <cell r="I242">
            <v>0</v>
          </cell>
        </row>
        <row r="243">
          <cell r="D243" t="str">
            <v>GCMK</v>
          </cell>
          <cell r="I243">
            <v>0</v>
          </cell>
        </row>
        <row r="244">
          <cell r="D244" t="str">
            <v>GCMK</v>
          </cell>
          <cell r="I244">
            <v>0</v>
          </cell>
        </row>
        <row r="245">
          <cell r="I245">
            <v>0</v>
          </cell>
        </row>
        <row r="246">
          <cell r="I246">
            <v>0</v>
          </cell>
        </row>
        <row r="247">
          <cell r="I247">
            <v>1</v>
          </cell>
        </row>
        <row r="248">
          <cell r="D248" t="str">
            <v>GCMK</v>
          </cell>
          <cell r="I248">
            <v>29.56</v>
          </cell>
        </row>
        <row r="249">
          <cell r="D249" t="str">
            <v>GCMK</v>
          </cell>
          <cell r="I249">
            <v>11.9</v>
          </cell>
        </row>
        <row r="250">
          <cell r="D250" t="str">
            <v>GCMK</v>
          </cell>
          <cell r="I250">
            <v>5.3899999999999988</v>
          </cell>
        </row>
        <row r="251">
          <cell r="D251" t="str">
            <v>BM16-35/28</v>
          </cell>
          <cell r="I251">
            <v>7.9999999999999991</v>
          </cell>
        </row>
        <row r="252">
          <cell r="D252" t="str">
            <v>BM16-240/80</v>
          </cell>
          <cell r="I252">
            <v>2.9999999999999996</v>
          </cell>
        </row>
        <row r="253">
          <cell r="D253" t="str">
            <v>BM16-300/300</v>
          </cell>
          <cell r="I253">
            <v>1.9999999999999998</v>
          </cell>
        </row>
        <row r="254">
          <cell r="I254">
            <v>0.99999999999999989</v>
          </cell>
        </row>
        <row r="255">
          <cell r="I255">
            <v>48.999999999999993</v>
          </cell>
        </row>
        <row r="256">
          <cell r="I256">
            <v>1</v>
          </cell>
        </row>
        <row r="257">
          <cell r="D257" t="str">
            <v>GCMK</v>
          </cell>
          <cell r="I257">
            <v>62.08</v>
          </cell>
        </row>
        <row r="258">
          <cell r="D258" t="str">
            <v>GCMK</v>
          </cell>
          <cell r="I258">
            <v>20.84</v>
          </cell>
        </row>
        <row r="259">
          <cell r="D259" t="str">
            <v>GCMK</v>
          </cell>
          <cell r="I259">
            <v>10.9</v>
          </cell>
        </row>
        <row r="260">
          <cell r="D260" t="str">
            <v>BM16-35/28</v>
          </cell>
          <cell r="I260">
            <v>16</v>
          </cell>
        </row>
        <row r="261">
          <cell r="D261" t="str">
            <v>BM16-240/80</v>
          </cell>
          <cell r="I261">
            <v>2</v>
          </cell>
        </row>
        <row r="262">
          <cell r="D262" t="str">
            <v>BM16-260</v>
          </cell>
          <cell r="I262">
            <v>4</v>
          </cell>
        </row>
        <row r="263">
          <cell r="D263" t="str">
            <v>BM16-300/300</v>
          </cell>
          <cell r="I263">
            <v>4</v>
          </cell>
        </row>
        <row r="264">
          <cell r="I264">
            <v>1</v>
          </cell>
        </row>
        <row r="265">
          <cell r="I265">
            <v>100</v>
          </cell>
        </row>
        <row r="266">
          <cell r="I266">
            <v>1</v>
          </cell>
        </row>
        <row r="267">
          <cell r="D267" t="str">
            <v>GCMK</v>
          </cell>
          <cell r="I267">
            <v>96.5</v>
          </cell>
        </row>
        <row r="268">
          <cell r="D268" t="str">
            <v>GCMK</v>
          </cell>
          <cell r="I268">
            <v>38.299999999999997</v>
          </cell>
        </row>
        <row r="269">
          <cell r="D269" t="str">
            <v>GCMK</v>
          </cell>
          <cell r="I269">
            <v>14.170000000000002</v>
          </cell>
        </row>
        <row r="270">
          <cell r="D270" t="str">
            <v>BM16-40/30</v>
          </cell>
          <cell r="I270">
            <v>6.0000000000000009</v>
          </cell>
        </row>
        <row r="271">
          <cell r="D271" t="str">
            <v>BM16-100</v>
          </cell>
          <cell r="I271">
            <v>12.000000000000002</v>
          </cell>
        </row>
        <row r="272">
          <cell r="D272" t="str">
            <v>BM16-400</v>
          </cell>
          <cell r="I272">
            <v>5.0000000000000009</v>
          </cell>
        </row>
        <row r="273">
          <cell r="D273" t="str">
            <v>CD-194/7,135</v>
          </cell>
          <cell r="I273">
            <v>1.0000000000000002</v>
          </cell>
        </row>
        <row r="274">
          <cell r="D274" t="str">
            <v>CD-201/7,24</v>
          </cell>
          <cell r="I274">
            <v>1.0000000000000002</v>
          </cell>
        </row>
        <row r="275">
          <cell r="D275" t="str">
            <v>CD-207/7,365</v>
          </cell>
          <cell r="I275">
            <v>1.0000000000000002</v>
          </cell>
        </row>
        <row r="276">
          <cell r="D276" t="str">
            <v>CD-215/7,64</v>
          </cell>
          <cell r="I276">
            <v>1.0000000000000002</v>
          </cell>
        </row>
        <row r="277">
          <cell r="D277" t="str">
            <v>CD-222/8,05</v>
          </cell>
          <cell r="I277">
            <v>1.0000000000000002</v>
          </cell>
        </row>
        <row r="278">
          <cell r="I278">
            <v>1.0000000000000002</v>
          </cell>
        </row>
        <row r="279">
          <cell r="I279">
            <v>5.0000000000000009</v>
          </cell>
        </row>
        <row r="280">
          <cell r="I280">
            <v>192.00000000000006</v>
          </cell>
        </row>
        <row r="281">
          <cell r="I281">
            <v>1</v>
          </cell>
        </row>
        <row r="282">
          <cell r="D282" t="str">
            <v>B16-230</v>
          </cell>
          <cell r="I282">
            <v>1</v>
          </cell>
        </row>
        <row r="283">
          <cell r="D283" t="str">
            <v>SC</v>
          </cell>
          <cell r="I283">
            <v>1</v>
          </cell>
        </row>
        <row r="284">
          <cell r="D284" t="str">
            <v>K3B-C3/8</v>
          </cell>
          <cell r="I284">
            <v>4</v>
          </cell>
        </row>
        <row r="285">
          <cell r="D285" t="str">
            <v>C3/8</v>
          </cell>
          <cell r="I285">
            <v>17</v>
          </cell>
        </row>
        <row r="286">
          <cell r="D286" t="str">
            <v>YC</v>
          </cell>
          <cell r="I286">
            <v>2</v>
          </cell>
        </row>
        <row r="287">
          <cell r="D287" t="str">
            <v>MN3</v>
          </cell>
          <cell r="I287">
            <v>1</v>
          </cell>
        </row>
        <row r="288">
          <cell r="I288">
            <v>1</v>
          </cell>
        </row>
        <row r="289">
          <cell r="I289">
            <v>40</v>
          </cell>
        </row>
        <row r="290">
          <cell r="I290">
            <v>1</v>
          </cell>
        </row>
        <row r="291">
          <cell r="D291" t="str">
            <v>B16-230</v>
          </cell>
          <cell r="I291">
            <v>1</v>
          </cell>
        </row>
        <row r="292">
          <cell r="D292" t="str">
            <v>SC</v>
          </cell>
          <cell r="I292">
            <v>1</v>
          </cell>
        </row>
        <row r="293">
          <cell r="D293" t="str">
            <v>K3B-C3/8</v>
          </cell>
          <cell r="I293">
            <v>4</v>
          </cell>
        </row>
        <row r="294">
          <cell r="D294" t="str">
            <v>C3/8</v>
          </cell>
          <cell r="I294">
            <v>19</v>
          </cell>
        </row>
        <row r="295">
          <cell r="D295" t="str">
            <v>YC</v>
          </cell>
          <cell r="I295">
            <v>2</v>
          </cell>
        </row>
        <row r="296">
          <cell r="D296" t="str">
            <v>MN3</v>
          </cell>
          <cell r="I296">
            <v>1</v>
          </cell>
        </row>
        <row r="297">
          <cell r="I297">
            <v>1</v>
          </cell>
        </row>
        <row r="298">
          <cell r="I298">
            <v>40</v>
          </cell>
        </row>
        <row r="299">
          <cell r="I299">
            <v>1</v>
          </cell>
        </row>
        <row r="300">
          <cell r="D300" t="str">
            <v>CD-682</v>
          </cell>
          <cell r="I300">
            <v>1</v>
          </cell>
        </row>
        <row r="301">
          <cell r="D301" t="str">
            <v>BM16-100/100</v>
          </cell>
          <cell r="I301">
            <v>2</v>
          </cell>
        </row>
        <row r="302">
          <cell r="D302" t="str">
            <v>GCMK</v>
          </cell>
          <cell r="I302">
            <v>4.641</v>
          </cell>
        </row>
        <row r="303">
          <cell r="D303" t="str">
            <v>MT</v>
          </cell>
          <cell r="I303">
            <v>2</v>
          </cell>
        </row>
        <row r="304">
          <cell r="D304" t="str">
            <v>K3B-C5/8</v>
          </cell>
          <cell r="I304">
            <v>16</v>
          </cell>
        </row>
        <row r="305">
          <cell r="D305" t="str">
            <v>SC</v>
          </cell>
          <cell r="I305">
            <v>2</v>
          </cell>
        </row>
        <row r="306">
          <cell r="D306" t="str">
            <v>C5/8</v>
          </cell>
          <cell r="I306">
            <v>34</v>
          </cell>
        </row>
        <row r="307">
          <cell r="D307" t="str">
            <v>YC</v>
          </cell>
          <cell r="I307">
            <v>4</v>
          </cell>
        </row>
        <row r="308">
          <cell r="D308" t="str">
            <v>MN3</v>
          </cell>
          <cell r="I308">
            <v>2</v>
          </cell>
        </row>
        <row r="309">
          <cell r="I309">
            <v>1</v>
          </cell>
        </row>
        <row r="310">
          <cell r="I310">
            <v>40</v>
          </cell>
        </row>
        <row r="311">
          <cell r="I311">
            <v>1</v>
          </cell>
        </row>
        <row r="312">
          <cell r="D312" t="str">
            <v>CD-682</v>
          </cell>
          <cell r="I312">
            <v>1</v>
          </cell>
        </row>
        <row r="313">
          <cell r="D313" t="str">
            <v>BM16-100/100</v>
          </cell>
          <cell r="I313">
            <v>2</v>
          </cell>
        </row>
        <row r="314">
          <cell r="D314" t="str">
            <v>GCMK</v>
          </cell>
          <cell r="I314">
            <v>4.641</v>
          </cell>
        </row>
        <row r="315">
          <cell r="D315" t="str">
            <v>MT</v>
          </cell>
          <cell r="I315">
            <v>2</v>
          </cell>
        </row>
        <row r="316">
          <cell r="D316" t="str">
            <v>K3B-C5/8</v>
          </cell>
          <cell r="I316">
            <v>16</v>
          </cell>
        </row>
        <row r="317">
          <cell r="D317" t="str">
            <v>SC</v>
          </cell>
          <cell r="I317">
            <v>2</v>
          </cell>
        </row>
        <row r="318">
          <cell r="D318" t="str">
            <v>C5/8</v>
          </cell>
          <cell r="I318">
            <v>38</v>
          </cell>
        </row>
        <row r="319">
          <cell r="D319" t="str">
            <v>YC</v>
          </cell>
          <cell r="I319">
            <v>4</v>
          </cell>
        </row>
        <row r="320">
          <cell r="D320" t="str">
            <v>MN3</v>
          </cell>
          <cell r="I320">
            <v>2</v>
          </cell>
        </row>
        <row r="321">
          <cell r="I321">
            <v>1</v>
          </cell>
        </row>
        <row r="322">
          <cell r="I322">
            <v>40</v>
          </cell>
        </row>
        <row r="323">
          <cell r="I323">
            <v>1</v>
          </cell>
        </row>
        <row r="324">
          <cell r="D324" t="str">
            <v>CD-682</v>
          </cell>
          <cell r="I324">
            <v>1</v>
          </cell>
        </row>
        <row r="325">
          <cell r="D325" t="str">
            <v>BM16-100/100</v>
          </cell>
          <cell r="I325">
            <v>2</v>
          </cell>
        </row>
        <row r="326">
          <cell r="D326" t="str">
            <v>GCMK</v>
          </cell>
          <cell r="I326">
            <v>2.3205999999999998</v>
          </cell>
        </row>
        <row r="327">
          <cell r="D327" t="str">
            <v>MT</v>
          </cell>
          <cell r="I327">
            <v>1</v>
          </cell>
        </row>
        <row r="328">
          <cell r="D328" t="str">
            <v>K3B-C5/8</v>
          </cell>
          <cell r="I328">
            <v>8</v>
          </cell>
        </row>
        <row r="329">
          <cell r="D329" t="str">
            <v>SC</v>
          </cell>
          <cell r="I329">
            <v>1</v>
          </cell>
        </row>
        <row r="330">
          <cell r="D330" t="str">
            <v>C5/8</v>
          </cell>
          <cell r="I330">
            <v>17</v>
          </cell>
        </row>
        <row r="331">
          <cell r="D331" t="str">
            <v>YC</v>
          </cell>
          <cell r="I331">
            <v>4</v>
          </cell>
        </row>
        <row r="332">
          <cell r="D332" t="str">
            <v>MN3</v>
          </cell>
          <cell r="I332">
            <v>2</v>
          </cell>
        </row>
        <row r="333">
          <cell r="I333">
            <v>1</v>
          </cell>
        </row>
        <row r="334">
          <cell r="I334">
            <v>40</v>
          </cell>
        </row>
        <row r="335">
          <cell r="I335">
            <v>1</v>
          </cell>
        </row>
        <row r="336">
          <cell r="D336" t="str">
            <v>CD-682</v>
          </cell>
          <cell r="I336">
            <v>1</v>
          </cell>
        </row>
        <row r="337">
          <cell r="D337" t="str">
            <v>BM16-100/100</v>
          </cell>
          <cell r="I337">
            <v>2</v>
          </cell>
        </row>
        <row r="338">
          <cell r="D338" t="str">
            <v>GCMK</v>
          </cell>
          <cell r="I338">
            <v>2.3205999999999998</v>
          </cell>
        </row>
        <row r="339">
          <cell r="D339" t="str">
            <v>MT</v>
          </cell>
          <cell r="I339">
            <v>1</v>
          </cell>
        </row>
        <row r="340">
          <cell r="D340" t="str">
            <v>K3B-C5/8</v>
          </cell>
          <cell r="I340">
            <v>8</v>
          </cell>
        </row>
        <row r="341">
          <cell r="D341" t="str">
            <v>SC</v>
          </cell>
          <cell r="I341">
            <v>1</v>
          </cell>
        </row>
        <row r="342">
          <cell r="D342" t="str">
            <v>C5/8</v>
          </cell>
          <cell r="I342">
            <v>19</v>
          </cell>
        </row>
        <row r="343">
          <cell r="D343" t="str">
            <v>YC</v>
          </cell>
          <cell r="I343">
            <v>4</v>
          </cell>
        </row>
        <row r="344">
          <cell r="D344" t="str">
            <v>MN3</v>
          </cell>
          <cell r="I344">
            <v>2</v>
          </cell>
        </row>
        <row r="345">
          <cell r="I345">
            <v>1</v>
          </cell>
        </row>
        <row r="346">
          <cell r="I346">
            <v>40</v>
          </cell>
        </row>
        <row r="347">
          <cell r="I347">
            <v>1</v>
          </cell>
        </row>
        <row r="348">
          <cell r="D348" t="str">
            <v>B16-230</v>
          </cell>
          <cell r="I348">
            <v>2</v>
          </cell>
        </row>
        <row r="349">
          <cell r="D349" t="str">
            <v>SC</v>
          </cell>
          <cell r="I349">
            <v>4</v>
          </cell>
        </row>
        <row r="350">
          <cell r="D350" t="str">
            <v>CD-195/6,82</v>
          </cell>
          <cell r="I350">
            <v>1</v>
          </cell>
        </row>
        <row r="351">
          <cell r="D351" t="str">
            <v>CD-207/7,25</v>
          </cell>
          <cell r="I351">
            <v>1</v>
          </cell>
        </row>
        <row r="352">
          <cell r="D352" t="str">
            <v>BM16-100</v>
          </cell>
          <cell r="I352">
            <v>4</v>
          </cell>
        </row>
        <row r="353">
          <cell r="D353" t="str">
            <v>GCMK</v>
          </cell>
          <cell r="I353">
            <v>4.6411999999999995</v>
          </cell>
        </row>
        <row r="354">
          <cell r="D354" t="str">
            <v>MT</v>
          </cell>
          <cell r="I354">
            <v>2</v>
          </cell>
        </row>
        <row r="355">
          <cell r="D355" t="str">
            <v>K3B-C3/8</v>
          </cell>
          <cell r="I355">
            <v>32</v>
          </cell>
        </row>
        <row r="356">
          <cell r="D356" t="str">
            <v>C3/8</v>
          </cell>
          <cell r="I356">
            <v>53</v>
          </cell>
        </row>
        <row r="357">
          <cell r="D357" t="str">
            <v>YC</v>
          </cell>
          <cell r="I357">
            <v>12</v>
          </cell>
        </row>
        <row r="358">
          <cell r="D358" t="str">
            <v>MN3</v>
          </cell>
          <cell r="I358">
            <v>1</v>
          </cell>
        </row>
        <row r="359">
          <cell r="I359">
            <v>4</v>
          </cell>
        </row>
        <row r="360">
          <cell r="I360">
            <v>2</v>
          </cell>
        </row>
        <row r="361">
          <cell r="I361">
            <v>120</v>
          </cell>
        </row>
        <row r="362">
          <cell r="I362">
            <v>1</v>
          </cell>
        </row>
        <row r="363">
          <cell r="D363" t="str">
            <v>CD-682</v>
          </cell>
          <cell r="I363">
            <v>2</v>
          </cell>
        </row>
        <row r="364">
          <cell r="D364" t="str">
            <v>BM16-100/100</v>
          </cell>
          <cell r="I364">
            <v>4</v>
          </cell>
        </row>
        <row r="365">
          <cell r="D365" t="str">
            <v>GCMK</v>
          </cell>
          <cell r="I365">
            <v>4.6411999999999995</v>
          </cell>
        </row>
        <row r="366">
          <cell r="D366" t="str">
            <v>MT</v>
          </cell>
          <cell r="I366">
            <v>2</v>
          </cell>
        </row>
        <row r="367">
          <cell r="D367" t="str">
            <v>K3B-C3/8</v>
          </cell>
          <cell r="I367">
            <v>16</v>
          </cell>
        </row>
        <row r="368">
          <cell r="D368" t="str">
            <v>SC</v>
          </cell>
          <cell r="I368">
            <v>2</v>
          </cell>
        </row>
        <row r="369">
          <cell r="D369" t="str">
            <v>C3/8</v>
          </cell>
          <cell r="I369">
            <v>34</v>
          </cell>
        </row>
        <row r="370">
          <cell r="D370" t="str">
            <v>YC</v>
          </cell>
          <cell r="I370">
            <v>4</v>
          </cell>
        </row>
        <row r="371">
          <cell r="D371" t="str">
            <v>MN3</v>
          </cell>
          <cell r="I371">
            <v>2</v>
          </cell>
        </row>
        <row r="372">
          <cell r="I372">
            <v>2</v>
          </cell>
        </row>
        <row r="373">
          <cell r="I373">
            <v>2</v>
          </cell>
        </row>
        <row r="374">
          <cell r="I374">
            <v>120</v>
          </cell>
        </row>
        <row r="375">
          <cell r="I375">
            <v>1</v>
          </cell>
        </row>
        <row r="376">
          <cell r="D376" t="str">
            <v>B16-230</v>
          </cell>
          <cell r="I376">
            <v>1</v>
          </cell>
        </row>
        <row r="377">
          <cell r="D377" t="str">
            <v>K3B-C3/8</v>
          </cell>
          <cell r="I377">
            <v>5</v>
          </cell>
        </row>
        <row r="378">
          <cell r="D378" t="str">
            <v>SC</v>
          </cell>
          <cell r="I378">
            <v>1</v>
          </cell>
        </row>
        <row r="379">
          <cell r="D379" t="str">
            <v>C3/8</v>
          </cell>
          <cell r="I379">
            <v>11.5</v>
          </cell>
        </row>
        <row r="380">
          <cell r="D380" t="str">
            <v>YC</v>
          </cell>
          <cell r="I380">
            <v>3</v>
          </cell>
        </row>
        <row r="381">
          <cell r="D381" t="str">
            <v>GCMK</v>
          </cell>
          <cell r="I381">
            <v>9.5</v>
          </cell>
        </row>
        <row r="382">
          <cell r="D382" t="str">
            <v>GCMK</v>
          </cell>
          <cell r="I382">
            <v>0.6</v>
          </cell>
        </row>
        <row r="383">
          <cell r="D383" t="str">
            <v>GCMK</v>
          </cell>
          <cell r="I383">
            <v>0.78</v>
          </cell>
        </row>
        <row r="384">
          <cell r="D384" t="str">
            <v>GCMK</v>
          </cell>
          <cell r="I384">
            <v>0.66</v>
          </cell>
        </row>
        <row r="385">
          <cell r="D385" t="str">
            <v>BM16-60</v>
          </cell>
          <cell r="I385">
            <v>2</v>
          </cell>
        </row>
        <row r="386">
          <cell r="D386" t="str">
            <v>BM16-250/80</v>
          </cell>
          <cell r="I386">
            <v>1</v>
          </cell>
        </row>
        <row r="387">
          <cell r="D387" t="str">
            <v>MN</v>
          </cell>
          <cell r="I387">
            <v>1</v>
          </cell>
        </row>
        <row r="388">
          <cell r="I388">
            <v>1</v>
          </cell>
        </row>
        <row r="389">
          <cell r="D389" t="str">
            <v>BM16-260</v>
          </cell>
          <cell r="I389">
            <v>120</v>
          </cell>
        </row>
        <row r="390">
          <cell r="I390">
            <v>1</v>
          </cell>
        </row>
        <row r="391">
          <cell r="D391" t="str">
            <v>GCMK</v>
          </cell>
          <cell r="I391">
            <v>13.64</v>
          </cell>
        </row>
        <row r="392">
          <cell r="D392" t="str">
            <v>BM16-100/100</v>
          </cell>
          <cell r="I392">
            <v>4</v>
          </cell>
        </row>
        <row r="393">
          <cell r="D393" t="str">
            <v>GCMK</v>
          </cell>
          <cell r="I393">
            <v>4.6411999999999995</v>
          </cell>
        </row>
        <row r="394">
          <cell r="D394" t="str">
            <v>MT</v>
          </cell>
          <cell r="I394">
            <v>2</v>
          </cell>
        </row>
        <row r="395">
          <cell r="D395" t="str">
            <v>K3B-C3/8</v>
          </cell>
          <cell r="I395">
            <v>16</v>
          </cell>
        </row>
        <row r="396">
          <cell r="D396" t="str">
            <v>SC</v>
          </cell>
          <cell r="I396">
            <v>2</v>
          </cell>
        </row>
        <row r="397">
          <cell r="D397" t="str">
            <v>C3/8</v>
          </cell>
          <cell r="I397">
            <v>38</v>
          </cell>
        </row>
        <row r="398">
          <cell r="D398" t="str">
            <v>YC</v>
          </cell>
          <cell r="I398">
            <v>4</v>
          </cell>
        </row>
        <row r="399">
          <cell r="D399" t="str">
            <v>MN3</v>
          </cell>
          <cell r="I399">
            <v>2</v>
          </cell>
        </row>
        <row r="400">
          <cell r="I400">
            <v>2</v>
          </cell>
        </row>
        <row r="401">
          <cell r="I401">
            <v>2</v>
          </cell>
        </row>
        <row r="402">
          <cell r="I402">
            <v>120</v>
          </cell>
        </row>
        <row r="403">
          <cell r="I403">
            <v>1</v>
          </cell>
        </row>
        <row r="404">
          <cell r="D404" t="str">
            <v>GCMK</v>
          </cell>
          <cell r="I404">
            <v>26.200000000000003</v>
          </cell>
        </row>
        <row r="405">
          <cell r="D405" t="str">
            <v>BM16-100/100</v>
          </cell>
          <cell r="I405">
            <v>4</v>
          </cell>
        </row>
        <row r="406">
          <cell r="D406" t="str">
            <v>BM16-50/35</v>
          </cell>
          <cell r="I406">
            <v>4</v>
          </cell>
        </row>
        <row r="407">
          <cell r="D407" t="str">
            <v>GCMK</v>
          </cell>
          <cell r="I407">
            <v>9.2823999999999991</v>
          </cell>
        </row>
        <row r="408">
          <cell r="D408" t="str">
            <v>MT</v>
          </cell>
          <cell r="I408">
            <v>4</v>
          </cell>
        </row>
        <row r="409">
          <cell r="D409" t="str">
            <v>K3B-C3/8</v>
          </cell>
          <cell r="I409">
            <v>32</v>
          </cell>
        </row>
        <row r="410">
          <cell r="D410" t="str">
            <v>SC</v>
          </cell>
          <cell r="I410">
            <v>4</v>
          </cell>
        </row>
        <row r="411">
          <cell r="D411" t="str">
            <v>C5/8</v>
          </cell>
          <cell r="I411">
            <v>84</v>
          </cell>
        </row>
        <row r="412">
          <cell r="D412" t="str">
            <v>YC</v>
          </cell>
          <cell r="I412">
            <v>8</v>
          </cell>
        </row>
        <row r="413">
          <cell r="D413" t="str">
            <v>MN3</v>
          </cell>
          <cell r="I413">
            <v>4</v>
          </cell>
        </row>
        <row r="414">
          <cell r="I414">
            <v>4</v>
          </cell>
        </row>
        <row r="415">
          <cell r="I415">
            <v>4</v>
          </cell>
        </row>
        <row r="416">
          <cell r="I416">
            <v>84</v>
          </cell>
        </row>
        <row r="417">
          <cell r="I417">
            <v>1</v>
          </cell>
        </row>
        <row r="418">
          <cell r="D418" t="str">
            <v>CD-682</v>
          </cell>
          <cell r="I418">
            <v>2</v>
          </cell>
        </row>
        <row r="419">
          <cell r="D419" t="str">
            <v>BM16-100/100</v>
          </cell>
          <cell r="I419">
            <v>4</v>
          </cell>
        </row>
        <row r="420">
          <cell r="D420" t="str">
            <v>GCMK</v>
          </cell>
          <cell r="I420">
            <v>4.6411999999999995</v>
          </cell>
        </row>
        <row r="421">
          <cell r="D421" t="str">
            <v>MT</v>
          </cell>
          <cell r="I421">
            <v>2</v>
          </cell>
        </row>
        <row r="422">
          <cell r="D422" t="str">
            <v>K3B-C3/8</v>
          </cell>
          <cell r="I422">
            <v>20</v>
          </cell>
        </row>
        <row r="423">
          <cell r="D423" t="str">
            <v>SC</v>
          </cell>
          <cell r="I423">
            <v>2</v>
          </cell>
        </row>
        <row r="424">
          <cell r="D424" t="str">
            <v>C3/8</v>
          </cell>
          <cell r="I424">
            <v>50</v>
          </cell>
        </row>
        <row r="425">
          <cell r="D425" t="str">
            <v>YC</v>
          </cell>
          <cell r="I425">
            <v>4</v>
          </cell>
        </row>
        <row r="426">
          <cell r="D426" t="str">
            <v>MN3</v>
          </cell>
          <cell r="I426">
            <v>2</v>
          </cell>
        </row>
        <row r="427">
          <cell r="I427">
            <v>2</v>
          </cell>
        </row>
        <row r="428">
          <cell r="I428">
            <v>2</v>
          </cell>
        </row>
        <row r="429">
          <cell r="I429">
            <v>120</v>
          </cell>
        </row>
        <row r="430">
          <cell r="I430">
            <v>1</v>
          </cell>
        </row>
        <row r="431">
          <cell r="D431" t="str">
            <v>ACKP-70</v>
          </cell>
          <cell r="I431">
            <v>0</v>
          </cell>
        </row>
        <row r="432">
          <cell r="D432" t="str">
            <v>ACKP-50</v>
          </cell>
          <cell r="I432">
            <v>0</v>
          </cell>
        </row>
        <row r="433">
          <cell r="D433" t="str">
            <v>AC-95</v>
          </cell>
          <cell r="I433">
            <v>0.32600000000000001</v>
          </cell>
        </row>
        <row r="434">
          <cell r="D434" t="str">
            <v>AC-50</v>
          </cell>
          <cell r="I434">
            <v>5.0000000000000001E-3</v>
          </cell>
        </row>
        <row r="435">
          <cell r="D435" t="str">
            <v>SD</v>
          </cell>
          <cell r="I435">
            <v>0</v>
          </cell>
        </row>
        <row r="436">
          <cell r="D436" t="str">
            <v>SD-M</v>
          </cell>
          <cell r="I436">
            <v>11</v>
          </cell>
        </row>
        <row r="437">
          <cell r="D437" t="str">
            <v>ST</v>
          </cell>
          <cell r="I437">
            <v>30</v>
          </cell>
        </row>
        <row r="438">
          <cell r="D438" t="str">
            <v>CSD</v>
          </cell>
          <cell r="I438">
            <v>11</v>
          </cell>
        </row>
        <row r="439">
          <cell r="D439" t="str">
            <v>csdi</v>
          </cell>
          <cell r="I439">
            <v>0</v>
          </cell>
        </row>
        <row r="440">
          <cell r="D440" t="str">
            <v>csdg</v>
          </cell>
          <cell r="I440">
            <v>0</v>
          </cell>
        </row>
        <row r="441">
          <cell r="D441" t="str">
            <v>MT</v>
          </cell>
          <cell r="I441">
            <v>30</v>
          </cell>
        </row>
        <row r="442">
          <cell r="D442" t="str">
            <v>VT2</v>
          </cell>
          <cell r="I442">
            <v>15</v>
          </cell>
        </row>
        <row r="443">
          <cell r="D443" t="str">
            <v>MND</v>
          </cell>
          <cell r="I443">
            <v>15</v>
          </cell>
        </row>
        <row r="444">
          <cell r="D444" t="str">
            <v>KhN-AC95</v>
          </cell>
          <cell r="I444">
            <v>15</v>
          </cell>
        </row>
        <row r="445">
          <cell r="D445" t="str">
            <v>KhN-AC70</v>
          </cell>
          <cell r="I445">
            <v>0</v>
          </cell>
        </row>
        <row r="446">
          <cell r="D446" t="str">
            <v>ON-AC50</v>
          </cell>
          <cell r="I446">
            <v>0</v>
          </cell>
        </row>
        <row r="447">
          <cell r="D447" t="str">
            <v>ON-ACKP50</v>
          </cell>
          <cell r="I447">
            <v>0</v>
          </cell>
        </row>
        <row r="448">
          <cell r="D448" t="str">
            <v>ON-ACKP70</v>
          </cell>
          <cell r="I448">
            <v>0</v>
          </cell>
        </row>
        <row r="449">
          <cell r="D449" t="str">
            <v>FCO-24-200</v>
          </cell>
          <cell r="I449">
            <v>0</v>
          </cell>
        </row>
        <row r="450">
          <cell r="D450" t="str">
            <v>FCO-24-100</v>
          </cell>
          <cell r="I450">
            <v>0</v>
          </cell>
        </row>
        <row r="451">
          <cell r="D451" t="str">
            <v>on-AcKP70</v>
          </cell>
          <cell r="I451">
            <v>0</v>
          </cell>
        </row>
        <row r="452">
          <cell r="D452" t="str">
            <v>on-ACKP50</v>
          </cell>
          <cell r="I452">
            <v>0</v>
          </cell>
        </row>
        <row r="453">
          <cell r="D453" t="str">
            <v>R1S</v>
          </cell>
          <cell r="I453">
            <v>0</v>
          </cell>
        </row>
        <row r="454">
          <cell r="D454" t="str">
            <v>DC-60K</v>
          </cell>
          <cell r="I454">
            <v>0</v>
          </cell>
        </row>
        <row r="455">
          <cell r="D455" t="str">
            <v>UVIS</v>
          </cell>
          <cell r="I455">
            <v>0</v>
          </cell>
        </row>
        <row r="456">
          <cell r="D456" t="str">
            <v>SOC</v>
          </cell>
          <cell r="I456">
            <v>3</v>
          </cell>
        </row>
        <row r="457">
          <cell r="D457" t="str">
            <v>K2R-AC50</v>
          </cell>
          <cell r="I457">
            <v>7</v>
          </cell>
        </row>
        <row r="458">
          <cell r="D458" t="str">
            <v>K2R-AC70</v>
          </cell>
          <cell r="I458">
            <v>0</v>
          </cell>
        </row>
        <row r="459">
          <cell r="D459" t="str">
            <v>K2R-AC95</v>
          </cell>
          <cell r="I459">
            <v>6</v>
          </cell>
        </row>
        <row r="460">
          <cell r="D460" t="str">
            <v>KepNE-TH</v>
          </cell>
          <cell r="I460">
            <v>0</v>
          </cell>
        </row>
        <row r="461">
          <cell r="D461" t="str">
            <v>bnh</v>
          </cell>
          <cell r="I461">
            <v>0</v>
          </cell>
        </row>
        <row r="462">
          <cell r="I462">
            <v>0</v>
          </cell>
        </row>
        <row r="463">
          <cell r="I463">
            <v>2.7E-2</v>
          </cell>
        </row>
        <row r="464">
          <cell r="I464">
            <v>0.02</v>
          </cell>
        </row>
        <row r="465">
          <cell r="I465">
            <v>0</v>
          </cell>
        </row>
        <row r="466">
          <cell r="I466">
            <v>0</v>
          </cell>
        </row>
        <row r="467">
          <cell r="I467">
            <v>1</v>
          </cell>
        </row>
        <row r="468">
          <cell r="I468">
            <v>11</v>
          </cell>
        </row>
        <row r="469">
          <cell r="I469">
            <v>15</v>
          </cell>
        </row>
        <row r="470">
          <cell r="I470">
            <v>0</v>
          </cell>
        </row>
        <row r="471">
          <cell r="I471">
            <v>0</v>
          </cell>
        </row>
        <row r="472">
          <cell r="I472">
            <v>3</v>
          </cell>
        </row>
        <row r="473">
          <cell r="I473">
            <v>331</v>
          </cell>
        </row>
        <row r="474">
          <cell r="I474">
            <v>0.28399999999999997</v>
          </cell>
        </row>
        <row r="475">
          <cell r="I475">
            <v>0</v>
          </cell>
        </row>
        <row r="476">
          <cell r="I476">
            <v>5</v>
          </cell>
        </row>
        <row r="477">
          <cell r="I477">
            <v>0</v>
          </cell>
        </row>
        <row r="478">
          <cell r="I478">
            <v>0</v>
          </cell>
        </row>
        <row r="479">
          <cell r="I479">
            <v>1</v>
          </cell>
        </row>
        <row r="480">
          <cell r="I480">
            <v>1</v>
          </cell>
        </row>
        <row r="481">
          <cell r="I481">
            <v>1</v>
          </cell>
        </row>
        <row r="482">
          <cell r="D482" t="str">
            <v>BM22-950</v>
          </cell>
          <cell r="I482">
            <v>1</v>
          </cell>
        </row>
        <row r="483">
          <cell r="I483">
            <v>5.6</v>
          </cell>
        </row>
        <row r="484">
          <cell r="I484">
            <v>6.6999999999999993</v>
          </cell>
        </row>
        <row r="485">
          <cell r="D485" t="str">
            <v>MUAÑ</v>
          </cell>
          <cell r="I485">
            <v>1.1000000000000003</v>
          </cell>
        </row>
        <row r="486">
          <cell r="D486" t="str">
            <v>DCU5</v>
          </cell>
          <cell r="I486">
            <v>1.5999999999999999</v>
          </cell>
        </row>
        <row r="487">
          <cell r="D487" t="str">
            <v>ÑC2</v>
          </cell>
          <cell r="I487">
            <v>1.9999999999999998</v>
          </cell>
        </row>
        <row r="488">
          <cell r="D488" t="str">
            <v>BTM250</v>
          </cell>
          <cell r="I488">
            <v>0.21999999999999997</v>
          </cell>
        </row>
        <row r="489">
          <cell r="D489" t="str">
            <v>ST10M</v>
          </cell>
          <cell r="I489">
            <v>9.2999999999999989</v>
          </cell>
        </row>
        <row r="490">
          <cell r="D490" t="str">
            <v>VKM</v>
          </cell>
          <cell r="I490">
            <v>2.8599999999999997E-2</v>
          </cell>
        </row>
        <row r="491">
          <cell r="D491" t="str">
            <v>QBTUM</v>
          </cell>
          <cell r="I491">
            <v>2.9999999999999996</v>
          </cell>
        </row>
        <row r="492">
          <cell r="I492">
            <v>9.9999999999999992E-2</v>
          </cell>
        </row>
        <row r="493">
          <cell r="I493">
            <v>0</v>
          </cell>
        </row>
        <row r="494">
          <cell r="D494" t="str">
            <v>BLMK</v>
          </cell>
          <cell r="I494">
            <v>0</v>
          </cell>
        </row>
        <row r="495">
          <cell r="I495">
            <v>0</v>
          </cell>
        </row>
        <row r="496">
          <cell r="I496">
            <v>0</v>
          </cell>
        </row>
        <row r="497">
          <cell r="D497" t="str">
            <v>MUAÑ</v>
          </cell>
          <cell r="I497">
            <v>0</v>
          </cell>
        </row>
        <row r="498">
          <cell r="D498" t="str">
            <v>ÑC2</v>
          </cell>
          <cell r="I498">
            <v>0</v>
          </cell>
        </row>
        <row r="499">
          <cell r="D499" t="str">
            <v>QBTUM</v>
          </cell>
          <cell r="I499">
            <v>0</v>
          </cell>
        </row>
        <row r="500">
          <cell r="I500">
            <v>0</v>
          </cell>
        </row>
        <row r="501">
          <cell r="I501">
            <v>1</v>
          </cell>
        </row>
        <row r="502">
          <cell r="D502" t="str">
            <v>BTM200</v>
          </cell>
          <cell r="I502">
            <v>6.64</v>
          </cell>
        </row>
        <row r="503">
          <cell r="D503" t="str">
            <v>BTL100</v>
          </cell>
          <cell r="I503">
            <v>1.5</v>
          </cell>
        </row>
        <row r="504">
          <cell r="D504" t="str">
            <v>ST18M</v>
          </cell>
          <cell r="I504">
            <v>26.320000000000004</v>
          </cell>
        </row>
        <row r="505">
          <cell r="D505" t="str">
            <v>ST18M</v>
          </cell>
          <cell r="I505">
            <v>386.54000000000008</v>
          </cell>
        </row>
        <row r="506">
          <cell r="D506" t="str">
            <v>DCAT</v>
          </cell>
          <cell r="I506">
            <v>3.7000000000000006</v>
          </cell>
        </row>
        <row r="507">
          <cell r="D507" t="str">
            <v>DCU5</v>
          </cell>
          <cell r="I507">
            <v>16.7</v>
          </cell>
        </row>
        <row r="508">
          <cell r="I508">
            <v>105</v>
          </cell>
        </row>
        <row r="509">
          <cell r="I509">
            <v>105</v>
          </cell>
        </row>
        <row r="510">
          <cell r="I510">
            <v>0.1</v>
          </cell>
        </row>
        <row r="511">
          <cell r="I511">
            <v>0</v>
          </cell>
        </row>
        <row r="512">
          <cell r="D512" t="str">
            <v>BTM200</v>
          </cell>
          <cell r="I512">
            <v>0</v>
          </cell>
        </row>
        <row r="513">
          <cell r="D513" t="str">
            <v>BTL100</v>
          </cell>
          <cell r="I513">
            <v>0</v>
          </cell>
        </row>
        <row r="514">
          <cell r="D514" t="str">
            <v>BTL100</v>
          </cell>
          <cell r="I514">
            <v>0</v>
          </cell>
        </row>
        <row r="515">
          <cell r="D515" t="str">
            <v>ST10M</v>
          </cell>
          <cell r="I515">
            <v>0</v>
          </cell>
        </row>
        <row r="516">
          <cell r="D516" t="str">
            <v>ST18M</v>
          </cell>
          <cell r="I516">
            <v>0</v>
          </cell>
        </row>
        <row r="517">
          <cell r="D517" t="str">
            <v>D57+C</v>
          </cell>
          <cell r="I517">
            <v>0</v>
          </cell>
        </row>
        <row r="518">
          <cell r="I518">
            <v>0</v>
          </cell>
        </row>
        <row r="519">
          <cell r="I519">
            <v>0</v>
          </cell>
        </row>
        <row r="520">
          <cell r="I520">
            <v>0</v>
          </cell>
        </row>
        <row r="521">
          <cell r="I521">
            <v>1</v>
          </cell>
        </row>
        <row r="522">
          <cell r="D522" t="str">
            <v>BTM250</v>
          </cell>
          <cell r="I522">
            <v>0.78800000000000003</v>
          </cell>
        </row>
        <row r="523">
          <cell r="D523" t="str">
            <v>BTM250</v>
          </cell>
          <cell r="I523">
            <v>0.86199999999999988</v>
          </cell>
        </row>
        <row r="524">
          <cell r="D524" t="str">
            <v>BTL100</v>
          </cell>
          <cell r="I524">
            <v>0.4</v>
          </cell>
        </row>
        <row r="525">
          <cell r="D525" t="str">
            <v>ST10M</v>
          </cell>
          <cell r="I525">
            <v>63.07</v>
          </cell>
        </row>
        <row r="526">
          <cell r="D526" t="str">
            <v>ST18M</v>
          </cell>
          <cell r="I526">
            <v>49.7</v>
          </cell>
        </row>
        <row r="527">
          <cell r="D527" t="str">
            <v>VKM</v>
          </cell>
          <cell r="I527">
            <v>2.1000000000000001E-2</v>
          </cell>
        </row>
        <row r="528">
          <cell r="D528" t="str">
            <v>VKM</v>
          </cell>
          <cell r="I528">
            <v>6.7000000000000004E-2</v>
          </cell>
        </row>
        <row r="529">
          <cell r="D529" t="str">
            <v>DCU5</v>
          </cell>
          <cell r="I529">
            <v>3.9500000000000006</v>
          </cell>
        </row>
        <row r="530">
          <cell r="I530">
            <v>13.000000000000002</v>
          </cell>
        </row>
        <row r="531">
          <cell r="I531">
            <v>13.000000000000002</v>
          </cell>
        </row>
        <row r="532">
          <cell r="I532">
            <v>0.10000000000000002</v>
          </cell>
        </row>
        <row r="533">
          <cell r="I533">
            <v>1</v>
          </cell>
        </row>
        <row r="534">
          <cell r="D534" t="str">
            <v>M-25</v>
          </cell>
          <cell r="I534">
            <v>3</v>
          </cell>
        </row>
        <row r="535">
          <cell r="D535" t="str">
            <v>cTD-16/2400</v>
          </cell>
          <cell r="I535">
            <v>1</v>
          </cell>
        </row>
        <row r="536">
          <cell r="D536" t="str">
            <v>Kep-TD</v>
          </cell>
          <cell r="I536">
            <v>1</v>
          </cell>
        </row>
        <row r="537">
          <cell r="D537" t="str">
            <v>KepN-CU/AL</v>
          </cell>
          <cell r="I537">
            <v>1</v>
          </cell>
        </row>
        <row r="538">
          <cell r="I538">
            <v>3</v>
          </cell>
        </row>
        <row r="539">
          <cell r="I539">
            <v>1</v>
          </cell>
        </row>
        <row r="540">
          <cell r="I540">
            <v>7</v>
          </cell>
        </row>
        <row r="541">
          <cell r="I541">
            <v>0</v>
          </cell>
        </row>
        <row r="542">
          <cell r="I542">
            <v>1</v>
          </cell>
        </row>
        <row r="543">
          <cell r="D543" t="str">
            <v>BTLT-20</v>
          </cell>
          <cell r="I543">
            <v>1</v>
          </cell>
        </row>
        <row r="544">
          <cell r="I544">
            <v>1</v>
          </cell>
        </row>
        <row r="545">
          <cell r="I545">
            <v>1</v>
          </cell>
        </row>
        <row r="546">
          <cell r="I546">
            <v>2</v>
          </cell>
        </row>
        <row r="547">
          <cell r="I547">
            <v>1</v>
          </cell>
        </row>
        <row r="548">
          <cell r="I548">
            <v>1</v>
          </cell>
        </row>
        <row r="549">
          <cell r="D549" t="str">
            <v>GCMK</v>
          </cell>
          <cell r="I549">
            <v>48.25</v>
          </cell>
        </row>
        <row r="550">
          <cell r="D550" t="str">
            <v>GCMK</v>
          </cell>
          <cell r="I550">
            <v>19.149999999999999</v>
          </cell>
        </row>
        <row r="551">
          <cell r="D551" t="str">
            <v>GCMK</v>
          </cell>
          <cell r="I551">
            <v>7.0299999999999994</v>
          </cell>
        </row>
        <row r="552">
          <cell r="D552" t="str">
            <v>BM16-260</v>
          </cell>
          <cell r="I552">
            <v>0.99999999999999989</v>
          </cell>
        </row>
        <row r="553">
          <cell r="D553" t="str">
            <v>BM16-70</v>
          </cell>
          <cell r="I553">
            <v>1.9999999999999998</v>
          </cell>
        </row>
        <row r="554">
          <cell r="D554" t="str">
            <v>BM16-400</v>
          </cell>
          <cell r="I554">
            <v>2.9999999999999996</v>
          </cell>
        </row>
        <row r="555">
          <cell r="D555" t="str">
            <v>BM16-100</v>
          </cell>
          <cell r="I555">
            <v>3.9999999999999996</v>
          </cell>
        </row>
        <row r="556">
          <cell r="D556" t="str">
            <v>CD-194/7,135</v>
          </cell>
          <cell r="I556">
            <v>0.99999999999999989</v>
          </cell>
        </row>
        <row r="557">
          <cell r="D557" t="str">
            <v>CD-210/7,24</v>
          </cell>
          <cell r="I557">
            <v>0.99999999999999989</v>
          </cell>
        </row>
        <row r="558">
          <cell r="I558">
            <v>0.99999999999999989</v>
          </cell>
        </row>
        <row r="559">
          <cell r="I559">
            <v>1.9999999999999998</v>
          </cell>
        </row>
        <row r="560">
          <cell r="I560">
            <v>91.999999999999986</v>
          </cell>
        </row>
        <row r="561">
          <cell r="I561">
            <v>0</v>
          </cell>
        </row>
        <row r="562">
          <cell r="D562" t="str">
            <v>GCMK</v>
          </cell>
          <cell r="I562">
            <v>0</v>
          </cell>
        </row>
        <row r="563">
          <cell r="D563" t="str">
            <v>GCMK</v>
          </cell>
          <cell r="I563">
            <v>0</v>
          </cell>
        </row>
        <row r="564">
          <cell r="D564" t="str">
            <v>GCMK</v>
          </cell>
          <cell r="I564">
            <v>0</v>
          </cell>
        </row>
        <row r="565">
          <cell r="D565" t="str">
            <v>GCMK</v>
          </cell>
          <cell r="I565">
            <v>0</v>
          </cell>
        </row>
        <row r="566">
          <cell r="I566">
            <v>0</v>
          </cell>
        </row>
        <row r="567">
          <cell r="I567">
            <v>0</v>
          </cell>
        </row>
        <row r="568">
          <cell r="I568">
            <v>0</v>
          </cell>
        </row>
        <row r="569">
          <cell r="I569">
            <v>0</v>
          </cell>
        </row>
        <row r="570">
          <cell r="D570" t="str">
            <v>GCMK</v>
          </cell>
          <cell r="I570">
            <v>0</v>
          </cell>
        </row>
        <row r="571">
          <cell r="D571" t="str">
            <v>GCMK</v>
          </cell>
          <cell r="I571">
            <v>0</v>
          </cell>
        </row>
        <row r="572">
          <cell r="I572">
            <v>0</v>
          </cell>
        </row>
        <row r="573">
          <cell r="I573">
            <v>0</v>
          </cell>
        </row>
        <row r="574">
          <cell r="I574">
            <v>1</v>
          </cell>
        </row>
        <row r="575">
          <cell r="D575" t="str">
            <v>GCMK</v>
          </cell>
          <cell r="I575">
            <v>29.56</v>
          </cell>
        </row>
        <row r="576">
          <cell r="D576" t="str">
            <v>GCMK</v>
          </cell>
          <cell r="I576">
            <v>11.9</v>
          </cell>
        </row>
        <row r="577">
          <cell r="D577" t="str">
            <v>GCMK</v>
          </cell>
          <cell r="I577">
            <v>5.3899999999999988</v>
          </cell>
        </row>
        <row r="578">
          <cell r="D578" t="str">
            <v>BM16-35/28</v>
          </cell>
          <cell r="I578">
            <v>7.9999999999999991</v>
          </cell>
        </row>
        <row r="579">
          <cell r="D579" t="str">
            <v>BM16-240/80</v>
          </cell>
          <cell r="I579">
            <v>2.9999999999999996</v>
          </cell>
        </row>
        <row r="580">
          <cell r="D580" t="str">
            <v>BM16-300/300</v>
          </cell>
          <cell r="I580">
            <v>1.9999999999999998</v>
          </cell>
        </row>
        <row r="581">
          <cell r="I581">
            <v>0.99999999999999989</v>
          </cell>
        </row>
        <row r="582">
          <cell r="I582">
            <v>48.999999999999993</v>
          </cell>
        </row>
        <row r="583">
          <cell r="I583">
            <v>1</v>
          </cell>
        </row>
        <row r="584">
          <cell r="D584" t="str">
            <v>GCMK</v>
          </cell>
          <cell r="I584">
            <v>26.200000000000003</v>
          </cell>
        </row>
        <row r="585">
          <cell r="D585" t="str">
            <v>BM16-100/100</v>
          </cell>
          <cell r="I585">
            <v>4</v>
          </cell>
        </row>
        <row r="586">
          <cell r="D586" t="str">
            <v>BM16-50/35</v>
          </cell>
          <cell r="I586">
            <v>4</v>
          </cell>
        </row>
        <row r="587">
          <cell r="D587" t="str">
            <v>GCMK</v>
          </cell>
          <cell r="I587">
            <v>9.2823999999999991</v>
          </cell>
        </row>
        <row r="588">
          <cell r="D588" t="str">
            <v>MT</v>
          </cell>
          <cell r="I588">
            <v>4</v>
          </cell>
        </row>
        <row r="589">
          <cell r="D589" t="str">
            <v>K3B-C3/8</v>
          </cell>
          <cell r="I589">
            <v>32</v>
          </cell>
        </row>
        <row r="590">
          <cell r="D590" t="str">
            <v>SC</v>
          </cell>
          <cell r="I590">
            <v>4</v>
          </cell>
        </row>
        <row r="591">
          <cell r="D591" t="str">
            <v>C5/8</v>
          </cell>
          <cell r="I591">
            <v>84</v>
          </cell>
        </row>
        <row r="592">
          <cell r="D592" t="str">
            <v>YC</v>
          </cell>
          <cell r="I592">
            <v>8</v>
          </cell>
        </row>
        <row r="593">
          <cell r="D593" t="str">
            <v>MN3</v>
          </cell>
          <cell r="I593">
            <v>4</v>
          </cell>
        </row>
        <row r="594">
          <cell r="I594">
            <v>4</v>
          </cell>
        </row>
        <row r="595">
          <cell r="I595">
            <v>4</v>
          </cell>
        </row>
        <row r="596">
          <cell r="I596">
            <v>84</v>
          </cell>
        </row>
        <row r="597">
          <cell r="I597">
            <v>1</v>
          </cell>
        </row>
        <row r="598">
          <cell r="D598" t="str">
            <v>CD-682</v>
          </cell>
          <cell r="I598">
            <v>2</v>
          </cell>
        </row>
        <row r="599">
          <cell r="D599" t="str">
            <v>BM16-100/100</v>
          </cell>
          <cell r="I599">
            <v>4</v>
          </cell>
        </row>
        <row r="600">
          <cell r="D600" t="str">
            <v>GCMK</v>
          </cell>
          <cell r="I600">
            <v>4.6411999999999995</v>
          </cell>
        </row>
        <row r="601">
          <cell r="D601" t="str">
            <v>MT</v>
          </cell>
          <cell r="I601">
            <v>2</v>
          </cell>
        </row>
        <row r="602">
          <cell r="D602" t="str">
            <v>K3B-C3/8</v>
          </cell>
          <cell r="I602">
            <v>20</v>
          </cell>
        </row>
        <row r="603">
          <cell r="D603" t="str">
            <v>SC</v>
          </cell>
          <cell r="I603">
            <v>2</v>
          </cell>
        </row>
        <row r="604">
          <cell r="D604" t="str">
            <v>C3/8</v>
          </cell>
          <cell r="I604">
            <v>50</v>
          </cell>
        </row>
        <row r="605">
          <cell r="D605" t="str">
            <v>YC</v>
          </cell>
          <cell r="I605">
            <v>4</v>
          </cell>
        </row>
        <row r="606">
          <cell r="D606" t="str">
            <v>MN3</v>
          </cell>
          <cell r="I606">
            <v>2</v>
          </cell>
        </row>
        <row r="607">
          <cell r="I607">
            <v>2</v>
          </cell>
        </row>
        <row r="608">
          <cell r="I608">
            <v>2</v>
          </cell>
        </row>
        <row r="609">
          <cell r="I609">
            <v>120</v>
          </cell>
        </row>
        <row r="610">
          <cell r="I610">
            <v>1</v>
          </cell>
        </row>
        <row r="611">
          <cell r="D611" t="str">
            <v>ACKP-70</v>
          </cell>
          <cell r="I611">
            <v>0</v>
          </cell>
        </row>
        <row r="612">
          <cell r="D612" t="str">
            <v>ACKP-50</v>
          </cell>
          <cell r="I612">
            <v>0</v>
          </cell>
        </row>
        <row r="613">
          <cell r="D613" t="str">
            <v>AC-95</v>
          </cell>
          <cell r="I613">
            <v>0.32600000000000001</v>
          </cell>
        </row>
        <row r="614">
          <cell r="D614" t="str">
            <v>AC-50</v>
          </cell>
          <cell r="I614">
            <v>5.0000000000000001E-3</v>
          </cell>
        </row>
        <row r="615">
          <cell r="D615" t="str">
            <v>SD</v>
          </cell>
          <cell r="I615">
            <v>0</v>
          </cell>
        </row>
        <row r="616">
          <cell r="D616" t="str">
            <v>SD-M</v>
          </cell>
          <cell r="I616">
            <v>11</v>
          </cell>
        </row>
        <row r="617">
          <cell r="D617" t="str">
            <v>ST</v>
          </cell>
          <cell r="I617">
            <v>30</v>
          </cell>
        </row>
        <row r="618">
          <cell r="D618" t="str">
            <v>CSD</v>
          </cell>
          <cell r="I618">
            <v>11</v>
          </cell>
        </row>
        <row r="619">
          <cell r="D619" t="str">
            <v>csdi</v>
          </cell>
          <cell r="I619">
            <v>0</v>
          </cell>
        </row>
        <row r="620">
          <cell r="D620" t="str">
            <v>csdg</v>
          </cell>
          <cell r="I620">
            <v>0</v>
          </cell>
        </row>
        <row r="621">
          <cell r="D621" t="str">
            <v>MT</v>
          </cell>
          <cell r="I621">
            <v>30</v>
          </cell>
        </row>
        <row r="622">
          <cell r="D622" t="str">
            <v>VT2</v>
          </cell>
          <cell r="I622">
            <v>15</v>
          </cell>
        </row>
        <row r="623">
          <cell r="D623" t="str">
            <v>MND</v>
          </cell>
          <cell r="I623">
            <v>15</v>
          </cell>
        </row>
        <row r="624">
          <cell r="D624" t="str">
            <v>KhN-AC95</v>
          </cell>
          <cell r="I624">
            <v>15</v>
          </cell>
        </row>
        <row r="625">
          <cell r="D625" t="str">
            <v>KhN-AC70</v>
          </cell>
          <cell r="I625">
            <v>0</v>
          </cell>
        </row>
        <row r="626">
          <cell r="D626" t="str">
            <v>ON-AC50</v>
          </cell>
          <cell r="I626">
            <v>0</v>
          </cell>
        </row>
        <row r="627">
          <cell r="D627" t="str">
            <v>ON-ACKP50</v>
          </cell>
          <cell r="I627">
            <v>0</v>
          </cell>
        </row>
        <row r="628">
          <cell r="D628" t="str">
            <v>ON-ACKP70</v>
          </cell>
          <cell r="I628">
            <v>0</v>
          </cell>
        </row>
        <row r="629">
          <cell r="D629" t="str">
            <v>FCO-24-200</v>
          </cell>
          <cell r="I629">
            <v>0</v>
          </cell>
        </row>
        <row r="630">
          <cell r="D630" t="str">
            <v>FCO-24-100</v>
          </cell>
          <cell r="I630">
            <v>0</v>
          </cell>
        </row>
        <row r="631">
          <cell r="D631" t="str">
            <v>on-AcKP70</v>
          </cell>
          <cell r="I631">
            <v>0</v>
          </cell>
        </row>
        <row r="632">
          <cell r="D632" t="str">
            <v>on-ACKP50</v>
          </cell>
          <cell r="I632">
            <v>0</v>
          </cell>
        </row>
        <row r="633">
          <cell r="D633" t="str">
            <v>R1S</v>
          </cell>
          <cell r="I633">
            <v>0</v>
          </cell>
        </row>
        <row r="634">
          <cell r="D634" t="str">
            <v>DC-60K</v>
          </cell>
          <cell r="I634">
            <v>0</v>
          </cell>
        </row>
        <row r="635">
          <cell r="D635" t="str">
            <v>UVIS</v>
          </cell>
          <cell r="I635">
            <v>0</v>
          </cell>
        </row>
        <row r="636">
          <cell r="D636" t="str">
            <v>SOC</v>
          </cell>
          <cell r="I636">
            <v>3</v>
          </cell>
        </row>
        <row r="637">
          <cell r="D637" t="str">
            <v>K2R-AC50</v>
          </cell>
          <cell r="I637">
            <v>7</v>
          </cell>
        </row>
        <row r="638">
          <cell r="D638" t="str">
            <v>K2R-AC70</v>
          </cell>
          <cell r="I638">
            <v>0</v>
          </cell>
        </row>
        <row r="639">
          <cell r="D639" t="str">
            <v>K2R-AC95</v>
          </cell>
          <cell r="I639">
            <v>6</v>
          </cell>
        </row>
        <row r="640">
          <cell r="D640" t="str">
            <v>KepNE-TH</v>
          </cell>
          <cell r="I640">
            <v>0</v>
          </cell>
        </row>
        <row r="641">
          <cell r="D641" t="str">
            <v>bnh</v>
          </cell>
          <cell r="I641">
            <v>0</v>
          </cell>
        </row>
        <row r="642">
          <cell r="I642">
            <v>0</v>
          </cell>
        </row>
        <row r="643">
          <cell r="I643">
            <v>2.7E-2</v>
          </cell>
        </row>
        <row r="644">
          <cell r="I644">
            <v>0.02</v>
          </cell>
        </row>
        <row r="645">
          <cell r="I645">
            <v>0</v>
          </cell>
        </row>
        <row r="646">
          <cell r="I646">
            <v>0</v>
          </cell>
        </row>
        <row r="647">
          <cell r="I647">
            <v>1</v>
          </cell>
        </row>
        <row r="648">
          <cell r="I648">
            <v>11</v>
          </cell>
        </row>
        <row r="649">
          <cell r="I649">
            <v>15</v>
          </cell>
        </row>
        <row r="650">
          <cell r="I650">
            <v>0</v>
          </cell>
        </row>
        <row r="651">
          <cell r="I651">
            <v>0</v>
          </cell>
        </row>
        <row r="652">
          <cell r="I652">
            <v>3</v>
          </cell>
        </row>
        <row r="653">
          <cell r="I653">
            <v>0.33100000000000002</v>
          </cell>
        </row>
        <row r="654">
          <cell r="I654">
            <v>0.28399999999999997</v>
          </cell>
        </row>
        <row r="655">
          <cell r="I655">
            <v>0</v>
          </cell>
        </row>
        <row r="656">
          <cell r="I656">
            <v>5</v>
          </cell>
        </row>
        <row r="657">
          <cell r="I657">
            <v>0</v>
          </cell>
        </row>
        <row r="658">
          <cell r="I658">
            <v>0</v>
          </cell>
        </row>
        <row r="659">
          <cell r="I659">
            <v>0</v>
          </cell>
        </row>
        <row r="660">
          <cell r="I660">
            <v>0</v>
          </cell>
        </row>
        <row r="661">
          <cell r="D661" t="str">
            <v>BTL100</v>
          </cell>
          <cell r="I661">
            <v>0</v>
          </cell>
        </row>
        <row r="662">
          <cell r="D662" t="str">
            <v>BTM200</v>
          </cell>
          <cell r="I662">
            <v>0</v>
          </cell>
        </row>
        <row r="663">
          <cell r="D663" t="str">
            <v>BTM200</v>
          </cell>
          <cell r="I663">
            <v>0</v>
          </cell>
        </row>
        <row r="664">
          <cell r="D664" t="str">
            <v>BTM200</v>
          </cell>
          <cell r="I664">
            <v>0</v>
          </cell>
        </row>
        <row r="665">
          <cell r="D665" t="str">
            <v>VKM</v>
          </cell>
          <cell r="I665">
            <v>0</v>
          </cell>
        </row>
        <row r="666">
          <cell r="D666" t="str">
            <v>VKC</v>
          </cell>
          <cell r="I666">
            <v>0</v>
          </cell>
        </row>
        <row r="667">
          <cell r="D667" t="str">
            <v>VKM</v>
          </cell>
          <cell r="I667">
            <v>0</v>
          </cell>
        </row>
        <row r="668">
          <cell r="D668" t="str">
            <v>ST10M</v>
          </cell>
          <cell r="I668">
            <v>0</v>
          </cell>
        </row>
        <row r="669">
          <cell r="D669" t="str">
            <v>ST18M</v>
          </cell>
          <cell r="I669">
            <v>0</v>
          </cell>
        </row>
        <row r="670">
          <cell r="D670" t="str">
            <v>GCMK</v>
          </cell>
          <cell r="I670">
            <v>0</v>
          </cell>
        </row>
        <row r="671">
          <cell r="D671" t="str">
            <v>GCMK</v>
          </cell>
          <cell r="I671">
            <v>0</v>
          </cell>
        </row>
        <row r="672">
          <cell r="D672" t="str">
            <v>DCU5</v>
          </cell>
          <cell r="I672">
            <v>0</v>
          </cell>
        </row>
        <row r="673">
          <cell r="D673" t="str">
            <v>DCAT</v>
          </cell>
          <cell r="I673">
            <v>0</v>
          </cell>
        </row>
        <row r="674">
          <cell r="I674">
            <v>0</v>
          </cell>
        </row>
        <row r="675">
          <cell r="I675">
            <v>0</v>
          </cell>
        </row>
        <row r="676">
          <cell r="D676" t="str">
            <v>MUAÑ</v>
          </cell>
          <cell r="I676">
            <v>0</v>
          </cell>
        </row>
        <row r="677">
          <cell r="I677">
            <v>0</v>
          </cell>
        </row>
        <row r="678">
          <cell r="D678" t="str">
            <v>PUMP</v>
          </cell>
          <cell r="I678">
            <v>0</v>
          </cell>
        </row>
        <row r="679">
          <cell r="I679">
            <v>0</v>
          </cell>
        </row>
        <row r="680">
          <cell r="D680" t="str">
            <v>BTL100</v>
          </cell>
          <cell r="I680">
            <v>0</v>
          </cell>
        </row>
        <row r="681">
          <cell r="D681" t="str">
            <v>BTM200</v>
          </cell>
          <cell r="I681">
            <v>0</v>
          </cell>
        </row>
        <row r="682">
          <cell r="D682" t="str">
            <v>BTM200</v>
          </cell>
          <cell r="I682">
            <v>0</v>
          </cell>
        </row>
        <row r="683">
          <cell r="D683" t="str">
            <v>BTM200</v>
          </cell>
          <cell r="I683">
            <v>0</v>
          </cell>
        </row>
        <row r="684">
          <cell r="D684" t="str">
            <v>VKM</v>
          </cell>
          <cell r="I684">
            <v>0</v>
          </cell>
        </row>
        <row r="685">
          <cell r="D685" t="str">
            <v>VKC</v>
          </cell>
          <cell r="I685">
            <v>0</v>
          </cell>
        </row>
        <row r="686">
          <cell r="D686" t="str">
            <v>VKm</v>
          </cell>
          <cell r="I686">
            <v>0</v>
          </cell>
        </row>
        <row r="687">
          <cell r="D687" t="str">
            <v>ST10M</v>
          </cell>
          <cell r="I687">
            <v>0</v>
          </cell>
        </row>
        <row r="688">
          <cell r="D688" t="str">
            <v>ST18M</v>
          </cell>
          <cell r="I688">
            <v>0</v>
          </cell>
        </row>
        <row r="689">
          <cell r="D689" t="str">
            <v>GCMK</v>
          </cell>
          <cell r="I689">
            <v>0</v>
          </cell>
        </row>
        <row r="690">
          <cell r="D690" t="str">
            <v>GCMK</v>
          </cell>
          <cell r="I690">
            <v>0</v>
          </cell>
        </row>
        <row r="691">
          <cell r="D691" t="str">
            <v>DCU5</v>
          </cell>
          <cell r="I691">
            <v>0</v>
          </cell>
        </row>
        <row r="692">
          <cell r="D692" t="str">
            <v>DCAT</v>
          </cell>
          <cell r="I692">
            <v>0</v>
          </cell>
        </row>
        <row r="693">
          <cell r="I693">
            <v>0</v>
          </cell>
        </row>
        <row r="694">
          <cell r="I694">
            <v>0</v>
          </cell>
        </row>
        <row r="695">
          <cell r="D695" t="str">
            <v>MUAÑ</v>
          </cell>
          <cell r="I695">
            <v>0</v>
          </cell>
        </row>
        <row r="696">
          <cell r="I696">
            <v>0</v>
          </cell>
        </row>
        <row r="697">
          <cell r="D697" t="str">
            <v>PUMP</v>
          </cell>
          <cell r="I697">
            <v>0</v>
          </cell>
        </row>
        <row r="698">
          <cell r="I698">
            <v>0</v>
          </cell>
        </row>
        <row r="699">
          <cell r="D699" t="str">
            <v>BTL100</v>
          </cell>
          <cell r="I699">
            <v>0</v>
          </cell>
        </row>
        <row r="700">
          <cell r="D700" t="str">
            <v>BTM200</v>
          </cell>
          <cell r="I700">
            <v>0</v>
          </cell>
        </row>
        <row r="701">
          <cell r="D701" t="str">
            <v>BTM200</v>
          </cell>
          <cell r="I701">
            <v>0</v>
          </cell>
        </row>
        <row r="702">
          <cell r="D702" t="str">
            <v>BTM200</v>
          </cell>
          <cell r="I702">
            <v>0</v>
          </cell>
        </row>
        <row r="703">
          <cell r="D703" t="str">
            <v>VKM</v>
          </cell>
          <cell r="I703">
            <v>0</v>
          </cell>
        </row>
        <row r="704">
          <cell r="D704" t="str">
            <v>VKM</v>
          </cell>
          <cell r="I704">
            <v>0</v>
          </cell>
        </row>
        <row r="705">
          <cell r="D705" t="str">
            <v>VKM</v>
          </cell>
          <cell r="I705">
            <v>0</v>
          </cell>
        </row>
        <row r="706">
          <cell r="D706" t="str">
            <v>ST10M</v>
          </cell>
          <cell r="I706">
            <v>0</v>
          </cell>
        </row>
        <row r="707">
          <cell r="D707" t="str">
            <v>ST18M</v>
          </cell>
          <cell r="I707">
            <v>0</v>
          </cell>
        </row>
        <row r="708">
          <cell r="D708" t="str">
            <v>GCMK</v>
          </cell>
          <cell r="I708">
            <v>0</v>
          </cell>
        </row>
        <row r="709">
          <cell r="D709" t="str">
            <v>GCMK</v>
          </cell>
          <cell r="I709">
            <v>0</v>
          </cell>
        </row>
        <row r="710">
          <cell r="D710" t="str">
            <v>DCU5</v>
          </cell>
          <cell r="I710">
            <v>0</v>
          </cell>
        </row>
        <row r="711">
          <cell r="D711" t="str">
            <v>DCAT</v>
          </cell>
          <cell r="I711">
            <v>0</v>
          </cell>
        </row>
        <row r="712">
          <cell r="I712">
            <v>0</v>
          </cell>
        </row>
        <row r="713">
          <cell r="I713">
            <v>0</v>
          </cell>
        </row>
        <row r="714">
          <cell r="I714">
            <v>0</v>
          </cell>
        </row>
        <row r="715">
          <cell r="D715" t="str">
            <v>PUMP</v>
          </cell>
          <cell r="I715">
            <v>0</v>
          </cell>
        </row>
        <row r="716">
          <cell r="I716">
            <v>0</v>
          </cell>
        </row>
        <row r="717">
          <cell r="D717" t="str">
            <v>BTL100</v>
          </cell>
          <cell r="I717">
            <v>0</v>
          </cell>
        </row>
        <row r="718">
          <cell r="D718" t="str">
            <v>BTM200</v>
          </cell>
          <cell r="I718">
            <v>0</v>
          </cell>
        </row>
        <row r="719">
          <cell r="D719" t="str">
            <v>BTM200</v>
          </cell>
          <cell r="I719">
            <v>0</v>
          </cell>
        </row>
        <row r="720">
          <cell r="D720" t="str">
            <v>BTM200</v>
          </cell>
          <cell r="I720">
            <v>0</v>
          </cell>
        </row>
        <row r="721">
          <cell r="D721" t="str">
            <v>VKM</v>
          </cell>
          <cell r="I721">
            <v>0</v>
          </cell>
        </row>
        <row r="722">
          <cell r="D722" t="str">
            <v>VKM</v>
          </cell>
          <cell r="I722">
            <v>0</v>
          </cell>
        </row>
        <row r="723">
          <cell r="D723" t="str">
            <v>VKM</v>
          </cell>
          <cell r="I723">
            <v>0</v>
          </cell>
        </row>
        <row r="724">
          <cell r="D724" t="str">
            <v>ST10M</v>
          </cell>
          <cell r="I724">
            <v>0</v>
          </cell>
        </row>
        <row r="725">
          <cell r="D725" t="str">
            <v>ST18M</v>
          </cell>
          <cell r="I725">
            <v>0</v>
          </cell>
        </row>
        <row r="726">
          <cell r="D726" t="str">
            <v>GCMK</v>
          </cell>
          <cell r="I726">
            <v>0</v>
          </cell>
        </row>
        <row r="727">
          <cell r="D727" t="str">
            <v>GCMK</v>
          </cell>
          <cell r="I727">
            <v>0</v>
          </cell>
        </row>
        <row r="728">
          <cell r="D728" t="str">
            <v>DCU5</v>
          </cell>
          <cell r="I728">
            <v>0</v>
          </cell>
        </row>
        <row r="729">
          <cell r="D729" t="str">
            <v>DCAT</v>
          </cell>
          <cell r="I729">
            <v>0</v>
          </cell>
        </row>
        <row r="730">
          <cell r="I730">
            <v>0</v>
          </cell>
        </row>
        <row r="731">
          <cell r="I731">
            <v>0</v>
          </cell>
        </row>
        <row r="732">
          <cell r="I732">
            <v>0</v>
          </cell>
        </row>
        <row r="733">
          <cell r="D733" t="str">
            <v>PUMP</v>
          </cell>
          <cell r="I733">
            <v>0</v>
          </cell>
        </row>
        <row r="734">
          <cell r="I734">
            <v>0</v>
          </cell>
        </row>
        <row r="735">
          <cell r="D735" t="str">
            <v>SA&lt;18</v>
          </cell>
          <cell r="I735">
            <v>0</v>
          </cell>
        </row>
        <row r="736">
          <cell r="D736" t="str">
            <v>GCMK</v>
          </cell>
          <cell r="I736">
            <v>0</v>
          </cell>
        </row>
        <row r="737">
          <cell r="D737" t="str">
            <v>GCMK</v>
          </cell>
          <cell r="I737">
            <v>0</v>
          </cell>
        </row>
        <row r="738">
          <cell r="D738" t="str">
            <v>BM16-50</v>
          </cell>
          <cell r="I738">
            <v>0</v>
          </cell>
        </row>
        <row r="739">
          <cell r="I739">
            <v>0</v>
          </cell>
        </row>
        <row r="740">
          <cell r="I740">
            <v>0</v>
          </cell>
        </row>
        <row r="741">
          <cell r="I741">
            <v>0</v>
          </cell>
        </row>
        <row r="742">
          <cell r="I742">
            <v>0</v>
          </cell>
        </row>
        <row r="743">
          <cell r="I743">
            <v>0</v>
          </cell>
        </row>
        <row r="744">
          <cell r="I744">
            <v>0</v>
          </cell>
        </row>
        <row r="745">
          <cell r="D745" t="str">
            <v>GCMK</v>
          </cell>
          <cell r="I745">
            <v>0</v>
          </cell>
        </row>
        <row r="746">
          <cell r="I746">
            <v>0</v>
          </cell>
        </row>
        <row r="747">
          <cell r="I747">
            <v>0</v>
          </cell>
        </row>
        <row r="748">
          <cell r="I748">
            <v>0</v>
          </cell>
        </row>
        <row r="749">
          <cell r="I749">
            <v>0</v>
          </cell>
        </row>
        <row r="750">
          <cell r="I750">
            <v>0</v>
          </cell>
        </row>
        <row r="751">
          <cell r="I751">
            <v>0</v>
          </cell>
        </row>
        <row r="752">
          <cell r="D752" t="str">
            <v>GCMK</v>
          </cell>
          <cell r="I752">
            <v>0</v>
          </cell>
        </row>
        <row r="753">
          <cell r="I753">
            <v>0</v>
          </cell>
        </row>
        <row r="754">
          <cell r="I754">
            <v>0</v>
          </cell>
        </row>
        <row r="755">
          <cell r="I755">
            <v>0</v>
          </cell>
        </row>
        <row r="756">
          <cell r="I756">
            <v>0</v>
          </cell>
        </row>
        <row r="757">
          <cell r="I757">
            <v>0</v>
          </cell>
        </row>
        <row r="758">
          <cell r="I758">
            <v>0</v>
          </cell>
        </row>
        <row r="759">
          <cell r="D759" t="str">
            <v>GCMK</v>
          </cell>
          <cell r="I759">
            <v>0</v>
          </cell>
        </row>
        <row r="760">
          <cell r="I760">
            <v>0</v>
          </cell>
        </row>
        <row r="761">
          <cell r="I761">
            <v>0</v>
          </cell>
        </row>
        <row r="762">
          <cell r="I762">
            <v>0</v>
          </cell>
        </row>
        <row r="763">
          <cell r="I763">
            <v>0</v>
          </cell>
        </row>
        <row r="764">
          <cell r="I764">
            <v>0</v>
          </cell>
        </row>
        <row r="765">
          <cell r="I765">
            <v>0</v>
          </cell>
        </row>
        <row r="766">
          <cell r="D766" t="str">
            <v>GCMK</v>
          </cell>
          <cell r="I766">
            <v>0</v>
          </cell>
        </row>
        <row r="767">
          <cell r="I767">
            <v>0</v>
          </cell>
        </row>
        <row r="768">
          <cell r="I768">
            <v>0</v>
          </cell>
        </row>
        <row r="769">
          <cell r="I769">
            <v>0</v>
          </cell>
        </row>
        <row r="770">
          <cell r="I770">
            <v>0</v>
          </cell>
        </row>
        <row r="771">
          <cell r="I771">
            <v>0</v>
          </cell>
        </row>
        <row r="772">
          <cell r="I772">
            <v>0</v>
          </cell>
        </row>
        <row r="773">
          <cell r="D773" t="str">
            <v>ACSR-240/32</v>
          </cell>
          <cell r="I773">
            <v>0</v>
          </cell>
        </row>
        <row r="774">
          <cell r="D774" t="str">
            <v>ACKP-70</v>
          </cell>
          <cell r="I774">
            <v>0</v>
          </cell>
        </row>
        <row r="775">
          <cell r="D775" t="str">
            <v>ACKP-50</v>
          </cell>
          <cell r="I775">
            <v>0</v>
          </cell>
        </row>
        <row r="776">
          <cell r="D776" t="str">
            <v>AC-95</v>
          </cell>
          <cell r="I776">
            <v>0</v>
          </cell>
        </row>
        <row r="777">
          <cell r="D777" t="str">
            <v>AC-50</v>
          </cell>
          <cell r="I777">
            <v>0</v>
          </cell>
        </row>
        <row r="778">
          <cell r="D778" t="str">
            <v>TK-50</v>
          </cell>
          <cell r="I778">
            <v>0</v>
          </cell>
        </row>
        <row r="779">
          <cell r="D779" t="str">
            <v>SuT-70</v>
          </cell>
          <cell r="I779">
            <v>0</v>
          </cell>
        </row>
        <row r="780">
          <cell r="D780" t="str">
            <v>SuT-120</v>
          </cell>
          <cell r="I780">
            <v>0</v>
          </cell>
        </row>
        <row r="781">
          <cell r="D781" t="str">
            <v>CDD-185-240</v>
          </cell>
          <cell r="I781">
            <v>0</v>
          </cell>
        </row>
        <row r="782">
          <cell r="D782" t="str">
            <v>CND-185-240</v>
          </cell>
          <cell r="I782">
            <v>0</v>
          </cell>
        </row>
        <row r="783">
          <cell r="D783" t="str">
            <v>CDDCS2-50</v>
          </cell>
          <cell r="I783">
            <v>0</v>
          </cell>
        </row>
        <row r="784">
          <cell r="D784" t="str">
            <v>CNDCS-50</v>
          </cell>
          <cell r="I784">
            <v>0</v>
          </cell>
        </row>
        <row r="785">
          <cell r="D785" t="str">
            <v>CR-2-9</v>
          </cell>
          <cell r="I785">
            <v>0</v>
          </cell>
        </row>
        <row r="786">
          <cell r="D786" t="str">
            <v>CR-4-22</v>
          </cell>
          <cell r="I786">
            <v>0</v>
          </cell>
        </row>
        <row r="787">
          <cell r="D787" t="str">
            <v>KepNE-240</v>
          </cell>
          <cell r="I787">
            <v>0</v>
          </cell>
        </row>
        <row r="788">
          <cell r="D788" t="str">
            <v>Kep2R-TK50</v>
          </cell>
          <cell r="I788">
            <v>0</v>
          </cell>
        </row>
        <row r="789">
          <cell r="D789" t="str">
            <v>ON-AC240</v>
          </cell>
          <cell r="I789">
            <v>0</v>
          </cell>
        </row>
        <row r="790">
          <cell r="D790" t="str">
            <v>ON-TK50</v>
          </cell>
          <cell r="I790">
            <v>0</v>
          </cell>
        </row>
        <row r="791">
          <cell r="D791" t="str">
            <v>OV-AC240</v>
          </cell>
          <cell r="I791">
            <v>0</v>
          </cell>
        </row>
        <row r="792">
          <cell r="D792" t="str">
            <v>OV-TK50</v>
          </cell>
          <cell r="I792">
            <v>0</v>
          </cell>
        </row>
        <row r="793">
          <cell r="I793">
            <v>0</v>
          </cell>
        </row>
        <row r="794">
          <cell r="I794">
            <v>0</v>
          </cell>
        </row>
        <row r="795">
          <cell r="I795">
            <v>0</v>
          </cell>
        </row>
        <row r="796">
          <cell r="I796">
            <v>0</v>
          </cell>
        </row>
        <row r="797">
          <cell r="I797">
            <v>0</v>
          </cell>
        </row>
        <row r="798">
          <cell r="I798">
            <v>0</v>
          </cell>
        </row>
        <row r="799">
          <cell r="I799">
            <v>0</v>
          </cell>
        </row>
        <row r="800">
          <cell r="I800">
            <v>0</v>
          </cell>
        </row>
        <row r="801">
          <cell r="I801">
            <v>0</v>
          </cell>
        </row>
        <row r="802">
          <cell r="I802">
            <v>0</v>
          </cell>
        </row>
        <row r="803">
          <cell r="I803">
            <v>0</v>
          </cell>
        </row>
        <row r="804">
          <cell r="I804">
            <v>0</v>
          </cell>
        </row>
        <row r="805">
          <cell r="I805">
            <v>0</v>
          </cell>
        </row>
        <row r="806">
          <cell r="I806">
            <v>0</v>
          </cell>
        </row>
        <row r="807">
          <cell r="I807">
            <v>0</v>
          </cell>
        </row>
        <row r="808">
          <cell r="D808" t="str">
            <v>CD35-10</v>
          </cell>
          <cell r="I808">
            <v>0</v>
          </cell>
        </row>
        <row r="809">
          <cell r="D809" t="str">
            <v>CG35-10</v>
          </cell>
          <cell r="I809">
            <v>0</v>
          </cell>
        </row>
        <row r="810">
          <cell r="D810" t="str">
            <v>CM35-10</v>
          </cell>
          <cell r="I810">
            <v>0</v>
          </cell>
        </row>
        <row r="811">
          <cell r="I811">
            <v>0</v>
          </cell>
        </row>
        <row r="812">
          <cell r="I812">
            <v>0</v>
          </cell>
        </row>
        <row r="813">
          <cell r="I813">
            <v>0</v>
          </cell>
        </row>
        <row r="814">
          <cell r="I814">
            <v>0</v>
          </cell>
        </row>
        <row r="815">
          <cell r="D815" t="str">
            <v>CDAN</v>
          </cell>
          <cell r="I815">
            <v>0</v>
          </cell>
        </row>
        <row r="816">
          <cell r="I816">
            <v>0</v>
          </cell>
        </row>
        <row r="817">
          <cell r="D817" t="str">
            <v>TNDC</v>
          </cell>
          <cell r="I817">
            <v>0</v>
          </cell>
        </row>
        <row r="818">
          <cell r="I818">
            <v>0</v>
          </cell>
        </row>
        <row r="819">
          <cell r="D819" t="str">
            <v>QBTUM</v>
          </cell>
          <cell r="I819">
            <v>0</v>
          </cell>
        </row>
        <row r="820">
          <cell r="I820">
            <v>0</v>
          </cell>
        </row>
        <row r="821">
          <cell r="I821">
            <v>0</v>
          </cell>
        </row>
        <row r="822">
          <cell r="I822">
            <v>0</v>
          </cell>
        </row>
        <row r="823">
          <cell r="I823">
            <v>0</v>
          </cell>
        </row>
        <row r="824">
          <cell r="D824" t="str">
            <v>DCAT</v>
          </cell>
          <cell r="I824">
            <v>0</v>
          </cell>
        </row>
        <row r="825">
          <cell r="D825" t="str">
            <v>DCU5</v>
          </cell>
          <cell r="I825">
            <v>0</v>
          </cell>
        </row>
        <row r="826">
          <cell r="D826" t="str">
            <v>PTRE</v>
          </cell>
          <cell r="I826">
            <v>0</v>
          </cell>
        </row>
        <row r="827">
          <cell r="D827" t="str">
            <v>BTL100</v>
          </cell>
          <cell r="I827">
            <v>0</v>
          </cell>
        </row>
        <row r="828">
          <cell r="D828" t="str">
            <v>BTM200</v>
          </cell>
          <cell r="I828">
            <v>0</v>
          </cell>
        </row>
        <row r="829">
          <cell r="D829" t="str">
            <v>ST10M</v>
          </cell>
          <cell r="I829">
            <v>0</v>
          </cell>
        </row>
        <row r="830">
          <cell r="D830" t="str">
            <v>ST18M</v>
          </cell>
          <cell r="I830">
            <v>0</v>
          </cell>
        </row>
        <row r="831">
          <cell r="D831" t="str">
            <v>ST20M</v>
          </cell>
          <cell r="I831">
            <v>0</v>
          </cell>
        </row>
        <row r="832">
          <cell r="D832" t="str">
            <v>VKM</v>
          </cell>
          <cell r="I832">
            <v>0</v>
          </cell>
        </row>
        <row r="833">
          <cell r="I833">
            <v>0</v>
          </cell>
        </row>
        <row r="834">
          <cell r="D834" t="str">
            <v>GCMK</v>
          </cell>
          <cell r="I834">
            <v>0</v>
          </cell>
        </row>
        <row r="835">
          <cell r="D835" t="str">
            <v>M-22</v>
          </cell>
          <cell r="I835">
            <v>0</v>
          </cell>
        </row>
        <row r="836">
          <cell r="I836">
            <v>0</v>
          </cell>
        </row>
        <row r="837">
          <cell r="D837" t="str">
            <v>VCPTRE</v>
          </cell>
          <cell r="I837">
            <v>0</v>
          </cell>
        </row>
        <row r="838">
          <cell r="I838">
            <v>0</v>
          </cell>
        </row>
        <row r="839">
          <cell r="I839">
            <v>0</v>
          </cell>
        </row>
        <row r="840">
          <cell r="I840">
            <v>0</v>
          </cell>
        </row>
        <row r="841">
          <cell r="D841" t="str">
            <v>CD35-10</v>
          </cell>
          <cell r="I841">
            <v>0</v>
          </cell>
        </row>
        <row r="842">
          <cell r="D842" t="str">
            <v>CG35-10</v>
          </cell>
          <cell r="I842">
            <v>0</v>
          </cell>
        </row>
        <row r="843">
          <cell r="D843" t="str">
            <v>CM35-10</v>
          </cell>
          <cell r="I843">
            <v>0</v>
          </cell>
        </row>
        <row r="844">
          <cell r="I844">
            <v>0</v>
          </cell>
        </row>
        <row r="845">
          <cell r="I845">
            <v>0</v>
          </cell>
        </row>
        <row r="846">
          <cell r="I846">
            <v>0</v>
          </cell>
        </row>
        <row r="847">
          <cell r="D847" t="str">
            <v>CDAN</v>
          </cell>
          <cell r="I847">
            <v>0</v>
          </cell>
        </row>
        <row r="848">
          <cell r="I848">
            <v>0</v>
          </cell>
        </row>
        <row r="849">
          <cell r="D849" t="str">
            <v>TNDC</v>
          </cell>
          <cell r="I849">
            <v>0</v>
          </cell>
        </row>
        <row r="850">
          <cell r="I850">
            <v>0</v>
          </cell>
        </row>
        <row r="851">
          <cell r="D851" t="str">
            <v>QBTUM</v>
          </cell>
          <cell r="I851">
            <v>0</v>
          </cell>
        </row>
        <row r="852">
          <cell r="I852">
            <v>0</v>
          </cell>
        </row>
        <row r="853">
          <cell r="I853">
            <v>0</v>
          </cell>
        </row>
        <row r="854">
          <cell r="I854">
            <v>0</v>
          </cell>
        </row>
        <row r="855">
          <cell r="I855">
            <v>0</v>
          </cell>
        </row>
        <row r="856">
          <cell r="D856" t="str">
            <v>DCAT</v>
          </cell>
          <cell r="I856">
            <v>0</v>
          </cell>
        </row>
        <row r="857">
          <cell r="D857" t="str">
            <v>DCU5</v>
          </cell>
          <cell r="I857">
            <v>0</v>
          </cell>
        </row>
        <row r="858">
          <cell r="D858" t="str">
            <v>PTRE</v>
          </cell>
          <cell r="I858">
            <v>0</v>
          </cell>
        </row>
        <row r="859">
          <cell r="D859" t="str">
            <v>BTL100</v>
          </cell>
          <cell r="I859">
            <v>0</v>
          </cell>
        </row>
        <row r="860">
          <cell r="D860" t="str">
            <v>BTM200</v>
          </cell>
          <cell r="I860">
            <v>0</v>
          </cell>
        </row>
        <row r="861">
          <cell r="D861" t="str">
            <v>ST10M</v>
          </cell>
          <cell r="I861">
            <v>0</v>
          </cell>
        </row>
        <row r="862">
          <cell r="D862" t="str">
            <v>ST18M</v>
          </cell>
          <cell r="I862">
            <v>0</v>
          </cell>
        </row>
        <row r="863">
          <cell r="D863" t="str">
            <v>ST20M</v>
          </cell>
          <cell r="I863">
            <v>0</v>
          </cell>
        </row>
        <row r="864">
          <cell r="D864" t="str">
            <v>VKM</v>
          </cell>
          <cell r="I864">
            <v>0</v>
          </cell>
        </row>
        <row r="865">
          <cell r="D865" t="str">
            <v>GCMK</v>
          </cell>
          <cell r="I865">
            <v>0</v>
          </cell>
        </row>
        <row r="866">
          <cell r="D866" t="str">
            <v>SATH</v>
          </cell>
          <cell r="I866">
            <v>0</v>
          </cell>
        </row>
        <row r="867">
          <cell r="D867" t="str">
            <v>SATH</v>
          </cell>
          <cell r="I867">
            <v>0</v>
          </cell>
        </row>
        <row r="868">
          <cell r="I868">
            <v>0</v>
          </cell>
        </row>
        <row r="869">
          <cell r="D869" t="str">
            <v>GCMK</v>
          </cell>
          <cell r="I869">
            <v>0</v>
          </cell>
        </row>
        <row r="870">
          <cell r="D870" t="str">
            <v>M-22</v>
          </cell>
          <cell r="I870">
            <v>0</v>
          </cell>
        </row>
        <row r="871">
          <cell r="I871">
            <v>0</v>
          </cell>
        </row>
        <row r="872">
          <cell r="D872" t="str">
            <v>VCPTRE</v>
          </cell>
          <cell r="I872">
            <v>0</v>
          </cell>
        </row>
        <row r="873">
          <cell r="I873">
            <v>0</v>
          </cell>
        </row>
        <row r="874">
          <cell r="I874">
            <v>0</v>
          </cell>
        </row>
        <row r="875">
          <cell r="I875">
            <v>0</v>
          </cell>
        </row>
        <row r="876">
          <cell r="D876" t="str">
            <v>CD35-10</v>
          </cell>
          <cell r="I876">
            <v>0</v>
          </cell>
        </row>
        <row r="877">
          <cell r="D877" t="str">
            <v>CG35-10</v>
          </cell>
          <cell r="I877">
            <v>0</v>
          </cell>
        </row>
        <row r="878">
          <cell r="D878" t="str">
            <v>CM35-10</v>
          </cell>
          <cell r="I878">
            <v>0</v>
          </cell>
        </row>
        <row r="879">
          <cell r="I879">
            <v>0</v>
          </cell>
        </row>
        <row r="880">
          <cell r="I880">
            <v>0</v>
          </cell>
        </row>
        <row r="881">
          <cell r="I881">
            <v>0</v>
          </cell>
        </row>
        <row r="882">
          <cell r="D882" t="str">
            <v>CDAN</v>
          </cell>
          <cell r="I882">
            <v>0</v>
          </cell>
        </row>
        <row r="883">
          <cell r="I883">
            <v>0</v>
          </cell>
        </row>
        <row r="884">
          <cell r="D884" t="str">
            <v>TNDC</v>
          </cell>
          <cell r="I884">
            <v>0</v>
          </cell>
        </row>
        <row r="885">
          <cell r="I885">
            <v>0</v>
          </cell>
        </row>
        <row r="886">
          <cell r="D886" t="str">
            <v>QBTUM</v>
          </cell>
          <cell r="I886">
            <v>0</v>
          </cell>
        </row>
        <row r="887">
          <cell r="I887">
            <v>0</v>
          </cell>
        </row>
        <row r="888">
          <cell r="I888">
            <v>0</v>
          </cell>
        </row>
        <row r="889">
          <cell r="I889">
            <v>0</v>
          </cell>
        </row>
        <row r="890">
          <cell r="I890">
            <v>0</v>
          </cell>
        </row>
        <row r="891">
          <cell r="D891" t="str">
            <v>DCAT</v>
          </cell>
          <cell r="I891">
            <v>0</v>
          </cell>
        </row>
        <row r="892">
          <cell r="D892" t="str">
            <v>DCU5</v>
          </cell>
          <cell r="I892">
            <v>0</v>
          </cell>
        </row>
        <row r="893">
          <cell r="D893" t="str">
            <v>PTRE</v>
          </cell>
          <cell r="I893">
            <v>0</v>
          </cell>
        </row>
        <row r="894">
          <cell r="D894" t="str">
            <v>BTL100</v>
          </cell>
          <cell r="I894">
            <v>0</v>
          </cell>
        </row>
        <row r="895">
          <cell r="D895" t="str">
            <v>BTM200</v>
          </cell>
          <cell r="I895">
            <v>0</v>
          </cell>
        </row>
        <row r="896">
          <cell r="D896" t="str">
            <v>ST10M</v>
          </cell>
          <cell r="I896">
            <v>0</v>
          </cell>
        </row>
        <row r="897">
          <cell r="D897" t="str">
            <v>ST18M</v>
          </cell>
          <cell r="I897">
            <v>0</v>
          </cell>
        </row>
        <row r="898">
          <cell r="D898" t="str">
            <v>ST20M</v>
          </cell>
          <cell r="I898">
            <v>0</v>
          </cell>
        </row>
        <row r="899">
          <cell r="D899" t="str">
            <v>VKM</v>
          </cell>
          <cell r="I899">
            <v>0</v>
          </cell>
        </row>
        <row r="900">
          <cell r="D900" t="str">
            <v>GCMK</v>
          </cell>
          <cell r="I900">
            <v>0</v>
          </cell>
        </row>
        <row r="901">
          <cell r="D901" t="str">
            <v>SATH</v>
          </cell>
          <cell r="I901">
            <v>0</v>
          </cell>
        </row>
        <row r="902">
          <cell r="D902" t="str">
            <v>SATH</v>
          </cell>
          <cell r="I902">
            <v>0</v>
          </cell>
        </row>
        <row r="903">
          <cell r="I903">
            <v>0</v>
          </cell>
        </row>
        <row r="904">
          <cell r="D904" t="str">
            <v>GCMK</v>
          </cell>
          <cell r="I904">
            <v>0</v>
          </cell>
        </row>
        <row r="905">
          <cell r="D905" t="str">
            <v>M-22</v>
          </cell>
          <cell r="I905">
            <v>0</v>
          </cell>
        </row>
        <row r="906">
          <cell r="I906">
            <v>0</v>
          </cell>
        </row>
        <row r="907">
          <cell r="D907" t="str">
            <v>VCPTRE</v>
          </cell>
          <cell r="I907">
            <v>0</v>
          </cell>
        </row>
        <row r="908">
          <cell r="I908">
            <v>0</v>
          </cell>
        </row>
        <row r="909">
          <cell r="I909">
            <v>0</v>
          </cell>
        </row>
        <row r="910">
          <cell r="I910">
            <v>0</v>
          </cell>
        </row>
        <row r="911">
          <cell r="D911" t="str">
            <v>CD35-10</v>
          </cell>
          <cell r="I911">
            <v>0</v>
          </cell>
        </row>
        <row r="912">
          <cell r="D912" t="str">
            <v>CG35-10</v>
          </cell>
          <cell r="I912">
            <v>0</v>
          </cell>
        </row>
        <row r="913">
          <cell r="D913" t="str">
            <v>CM35-10</v>
          </cell>
          <cell r="I913">
            <v>0</v>
          </cell>
        </row>
        <row r="914">
          <cell r="I914">
            <v>0</v>
          </cell>
        </row>
        <row r="915">
          <cell r="I915">
            <v>0</v>
          </cell>
        </row>
        <row r="916">
          <cell r="I916">
            <v>0</v>
          </cell>
        </row>
        <row r="917">
          <cell r="I917">
            <v>0</v>
          </cell>
        </row>
        <row r="918">
          <cell r="D918" t="str">
            <v>CDAN</v>
          </cell>
          <cell r="I918">
            <v>0</v>
          </cell>
        </row>
        <row r="919">
          <cell r="I919">
            <v>0</v>
          </cell>
        </row>
        <row r="920">
          <cell r="D920" t="str">
            <v>TNDC</v>
          </cell>
          <cell r="I920">
            <v>0</v>
          </cell>
        </row>
        <row r="921">
          <cell r="I921">
            <v>0</v>
          </cell>
        </row>
        <row r="922">
          <cell r="D922" t="str">
            <v>QBTUM</v>
          </cell>
          <cell r="I922">
            <v>0</v>
          </cell>
        </row>
        <row r="923">
          <cell r="I923">
            <v>0</v>
          </cell>
        </row>
        <row r="924">
          <cell r="I924">
            <v>0</v>
          </cell>
        </row>
        <row r="925">
          <cell r="I925">
            <v>0</v>
          </cell>
        </row>
        <row r="926">
          <cell r="I926">
            <v>0</v>
          </cell>
        </row>
        <row r="927">
          <cell r="D927" t="str">
            <v>DCAT</v>
          </cell>
          <cell r="I927">
            <v>0</v>
          </cell>
        </row>
        <row r="928">
          <cell r="D928" t="str">
            <v>DCU5</v>
          </cell>
          <cell r="I928">
            <v>0</v>
          </cell>
        </row>
        <row r="929">
          <cell r="D929" t="str">
            <v>PTRE</v>
          </cell>
          <cell r="I929">
            <v>0</v>
          </cell>
        </row>
        <row r="930">
          <cell r="D930" t="str">
            <v>BTL100</v>
          </cell>
          <cell r="I930">
            <v>0</v>
          </cell>
        </row>
        <row r="931">
          <cell r="D931" t="str">
            <v>BTM200</v>
          </cell>
          <cell r="I931">
            <v>0</v>
          </cell>
        </row>
        <row r="932">
          <cell r="D932" t="str">
            <v>ST10M</v>
          </cell>
          <cell r="I932">
            <v>0</v>
          </cell>
        </row>
        <row r="933">
          <cell r="D933" t="str">
            <v>ST18M</v>
          </cell>
          <cell r="I933">
            <v>0</v>
          </cell>
        </row>
        <row r="934">
          <cell r="D934" t="str">
            <v>ST20M</v>
          </cell>
          <cell r="I934">
            <v>0</v>
          </cell>
        </row>
        <row r="935">
          <cell r="D935" t="str">
            <v>VKM</v>
          </cell>
          <cell r="I935">
            <v>0</v>
          </cell>
        </row>
        <row r="936">
          <cell r="I936">
            <v>0</v>
          </cell>
        </row>
        <row r="937">
          <cell r="D937" t="str">
            <v>GCMK</v>
          </cell>
          <cell r="I937">
            <v>0</v>
          </cell>
        </row>
        <row r="938">
          <cell r="D938" t="str">
            <v>M-22</v>
          </cell>
          <cell r="I938">
            <v>0</v>
          </cell>
        </row>
        <row r="939">
          <cell r="I939">
            <v>0</v>
          </cell>
        </row>
        <row r="940">
          <cell r="D940" t="str">
            <v>VCPTRE</v>
          </cell>
          <cell r="I940">
            <v>0</v>
          </cell>
        </row>
        <row r="941">
          <cell r="I941">
            <v>0</v>
          </cell>
        </row>
        <row r="942">
          <cell r="D942" t="str">
            <v>VKm</v>
          </cell>
          <cell r="I942">
            <v>0</v>
          </cell>
        </row>
        <row r="943">
          <cell r="I943">
            <v>0</v>
          </cell>
        </row>
        <row r="944">
          <cell r="D944" t="str">
            <v>CD35-8M</v>
          </cell>
          <cell r="I944">
            <v>0</v>
          </cell>
        </row>
        <row r="945">
          <cell r="D945" t="str">
            <v>CG35-10</v>
          </cell>
          <cell r="I945">
            <v>0</v>
          </cell>
        </row>
        <row r="946">
          <cell r="D946" t="str">
            <v>CM35-10</v>
          </cell>
          <cell r="I946">
            <v>0</v>
          </cell>
        </row>
        <row r="947">
          <cell r="I947">
            <v>0</v>
          </cell>
        </row>
        <row r="948">
          <cell r="I948">
            <v>0</v>
          </cell>
        </row>
        <row r="949">
          <cell r="I949">
            <v>0</v>
          </cell>
        </row>
        <row r="950">
          <cell r="I950">
            <v>0</v>
          </cell>
        </row>
        <row r="951">
          <cell r="D951" t="str">
            <v>CDAN</v>
          </cell>
          <cell r="I951">
            <v>0</v>
          </cell>
        </row>
        <row r="952">
          <cell r="I952">
            <v>0</v>
          </cell>
        </row>
        <row r="953">
          <cell r="D953" t="str">
            <v>TNDC</v>
          </cell>
          <cell r="I953">
            <v>0</v>
          </cell>
        </row>
        <row r="954">
          <cell r="I954">
            <v>0</v>
          </cell>
        </row>
        <row r="955">
          <cell r="D955" t="str">
            <v>QBTUM</v>
          </cell>
          <cell r="I955">
            <v>0</v>
          </cell>
        </row>
        <row r="956">
          <cell r="I956">
            <v>0</v>
          </cell>
        </row>
        <row r="957">
          <cell r="I957">
            <v>0</v>
          </cell>
        </row>
        <row r="958">
          <cell r="I958">
            <v>0</v>
          </cell>
        </row>
        <row r="959">
          <cell r="I959">
            <v>0</v>
          </cell>
        </row>
        <row r="960">
          <cell r="D960" t="str">
            <v>DCAT</v>
          </cell>
          <cell r="I960">
            <v>0</v>
          </cell>
        </row>
        <row r="961">
          <cell r="D961" t="str">
            <v>DCU5</v>
          </cell>
          <cell r="I961">
            <v>0</v>
          </cell>
        </row>
        <row r="962">
          <cell r="D962" t="str">
            <v>PTRE</v>
          </cell>
          <cell r="I962">
            <v>0</v>
          </cell>
        </row>
        <row r="963">
          <cell r="D963" t="str">
            <v>BTL100</v>
          </cell>
          <cell r="I963">
            <v>0</v>
          </cell>
        </row>
        <row r="964">
          <cell r="D964" t="str">
            <v>BTM200</v>
          </cell>
          <cell r="I964">
            <v>0</v>
          </cell>
        </row>
        <row r="965">
          <cell r="D965" t="str">
            <v>ST10M</v>
          </cell>
          <cell r="I965">
            <v>0</v>
          </cell>
        </row>
        <row r="966">
          <cell r="D966" t="str">
            <v>ST18M</v>
          </cell>
          <cell r="I966">
            <v>0</v>
          </cell>
        </row>
        <row r="967">
          <cell r="D967" t="str">
            <v>ST20M</v>
          </cell>
          <cell r="I967">
            <v>0</v>
          </cell>
        </row>
        <row r="968">
          <cell r="D968" t="str">
            <v>VKM</v>
          </cell>
          <cell r="I968">
            <v>0</v>
          </cell>
        </row>
        <row r="969">
          <cell r="I969">
            <v>0</v>
          </cell>
        </row>
        <row r="970">
          <cell r="D970" t="str">
            <v>GCMK</v>
          </cell>
          <cell r="I970">
            <v>0</v>
          </cell>
        </row>
        <row r="971">
          <cell r="D971" t="str">
            <v>M-22</v>
          </cell>
          <cell r="I971">
            <v>0</v>
          </cell>
        </row>
        <row r="972">
          <cell r="I972">
            <v>0</v>
          </cell>
        </row>
        <row r="973">
          <cell r="D973" t="str">
            <v>VCPTRE</v>
          </cell>
          <cell r="I973">
            <v>0</v>
          </cell>
        </row>
        <row r="974">
          <cell r="I974">
            <v>0</v>
          </cell>
        </row>
        <row r="975">
          <cell r="I975">
            <v>0</v>
          </cell>
        </row>
        <row r="976">
          <cell r="I976">
            <v>0</v>
          </cell>
        </row>
        <row r="977">
          <cell r="D977" t="str">
            <v>CD35-8M</v>
          </cell>
          <cell r="I977">
            <v>0</v>
          </cell>
        </row>
        <row r="978">
          <cell r="D978" t="str">
            <v>CG35-10</v>
          </cell>
          <cell r="I978">
            <v>0</v>
          </cell>
        </row>
        <row r="979">
          <cell r="D979" t="str">
            <v>CM35-10</v>
          </cell>
          <cell r="I979">
            <v>0</v>
          </cell>
        </row>
        <row r="980">
          <cell r="I980">
            <v>0</v>
          </cell>
        </row>
        <row r="981">
          <cell r="I981">
            <v>0</v>
          </cell>
        </row>
        <row r="982">
          <cell r="I982">
            <v>0</v>
          </cell>
        </row>
        <row r="983">
          <cell r="I983">
            <v>0</v>
          </cell>
        </row>
        <row r="984">
          <cell r="D984" t="str">
            <v>CDAN</v>
          </cell>
          <cell r="I984">
            <v>0</v>
          </cell>
        </row>
        <row r="985">
          <cell r="I985">
            <v>0</v>
          </cell>
        </row>
        <row r="986">
          <cell r="D986" t="str">
            <v>TNDC</v>
          </cell>
          <cell r="I986">
            <v>0</v>
          </cell>
        </row>
        <row r="987">
          <cell r="I987">
            <v>0</v>
          </cell>
        </row>
        <row r="988">
          <cell r="D988" t="str">
            <v>QBTUM</v>
          </cell>
          <cell r="I988">
            <v>0</v>
          </cell>
        </row>
        <row r="989">
          <cell r="I989">
            <v>0</v>
          </cell>
        </row>
        <row r="990">
          <cell r="I990">
            <v>0</v>
          </cell>
        </row>
        <row r="991">
          <cell r="I991">
            <v>0</v>
          </cell>
        </row>
        <row r="992">
          <cell r="I992">
            <v>0</v>
          </cell>
        </row>
        <row r="993">
          <cell r="D993" t="str">
            <v>DCAT</v>
          </cell>
          <cell r="I993">
            <v>0</v>
          </cell>
        </row>
        <row r="994">
          <cell r="D994" t="str">
            <v>DCU5</v>
          </cell>
          <cell r="I994">
            <v>0</v>
          </cell>
        </row>
        <row r="995">
          <cell r="D995" t="str">
            <v>PTRE</v>
          </cell>
          <cell r="I995">
            <v>0</v>
          </cell>
        </row>
        <row r="996">
          <cell r="D996" t="str">
            <v>BTL100</v>
          </cell>
          <cell r="I996">
            <v>0</v>
          </cell>
        </row>
        <row r="997">
          <cell r="D997" t="str">
            <v>BTM200</v>
          </cell>
          <cell r="I997">
            <v>0</v>
          </cell>
        </row>
        <row r="998">
          <cell r="D998" t="str">
            <v>ST10M</v>
          </cell>
          <cell r="I998">
            <v>0</v>
          </cell>
        </row>
        <row r="999">
          <cell r="D999" t="str">
            <v>ST18M</v>
          </cell>
          <cell r="I999">
            <v>0</v>
          </cell>
        </row>
        <row r="1000">
          <cell r="D1000" t="str">
            <v>ST20M</v>
          </cell>
          <cell r="I1000">
            <v>0</v>
          </cell>
        </row>
        <row r="1001">
          <cell r="D1001" t="str">
            <v>VKM</v>
          </cell>
          <cell r="I1001">
            <v>0</v>
          </cell>
        </row>
        <row r="1002">
          <cell r="D1002" t="str">
            <v>GCMK</v>
          </cell>
          <cell r="I1002">
            <v>0</v>
          </cell>
        </row>
        <row r="1003">
          <cell r="D1003" t="str">
            <v>SATH</v>
          </cell>
          <cell r="I1003">
            <v>0</v>
          </cell>
        </row>
        <row r="1004">
          <cell r="D1004" t="str">
            <v>SATH</v>
          </cell>
          <cell r="I1004">
            <v>0</v>
          </cell>
        </row>
        <row r="1005">
          <cell r="I1005">
            <v>0</v>
          </cell>
        </row>
        <row r="1006">
          <cell r="D1006" t="str">
            <v>GCMK</v>
          </cell>
          <cell r="I1006">
            <v>0</v>
          </cell>
        </row>
        <row r="1007">
          <cell r="D1007" t="str">
            <v>M-22</v>
          </cell>
          <cell r="I1007">
            <v>0</v>
          </cell>
        </row>
        <row r="1008">
          <cell r="I1008">
            <v>0</v>
          </cell>
        </row>
        <row r="1009">
          <cell r="D1009" t="str">
            <v>VCPTRE</v>
          </cell>
          <cell r="I1009">
            <v>0</v>
          </cell>
        </row>
        <row r="1010">
          <cell r="I1010">
            <v>0</v>
          </cell>
        </row>
        <row r="1011">
          <cell r="I1011">
            <v>0</v>
          </cell>
        </row>
        <row r="1012">
          <cell r="I1012">
            <v>0</v>
          </cell>
        </row>
        <row r="1013">
          <cell r="D1013" t="str">
            <v>CD35-8M</v>
          </cell>
          <cell r="I1013">
            <v>0</v>
          </cell>
        </row>
        <row r="1014">
          <cell r="D1014" t="str">
            <v>CG35-8M</v>
          </cell>
          <cell r="I1014">
            <v>0</v>
          </cell>
        </row>
        <row r="1015">
          <cell r="D1015" t="str">
            <v>CG35-10</v>
          </cell>
          <cell r="I1015">
            <v>0</v>
          </cell>
        </row>
        <row r="1016">
          <cell r="D1016" t="str">
            <v>CM35-10</v>
          </cell>
          <cell r="I1016">
            <v>0</v>
          </cell>
        </row>
        <row r="1017">
          <cell r="I1017">
            <v>0</v>
          </cell>
        </row>
        <row r="1018">
          <cell r="I1018">
            <v>0</v>
          </cell>
        </row>
        <row r="1019">
          <cell r="I1019">
            <v>0</v>
          </cell>
        </row>
        <row r="1020">
          <cell r="I1020">
            <v>0</v>
          </cell>
        </row>
        <row r="1021">
          <cell r="D1021" t="str">
            <v>CDAN</v>
          </cell>
          <cell r="I1021">
            <v>0</v>
          </cell>
        </row>
        <row r="1022">
          <cell r="I1022">
            <v>0</v>
          </cell>
        </row>
        <row r="1023">
          <cell r="D1023" t="str">
            <v>TNDC</v>
          </cell>
          <cell r="I1023">
            <v>0</v>
          </cell>
        </row>
        <row r="1024">
          <cell r="I1024">
            <v>0</v>
          </cell>
        </row>
        <row r="1025">
          <cell r="D1025" t="str">
            <v>SIKA</v>
          </cell>
          <cell r="I1025">
            <v>0</v>
          </cell>
        </row>
        <row r="1026">
          <cell r="D1026" t="str">
            <v>QBTUM</v>
          </cell>
          <cell r="I1026">
            <v>0</v>
          </cell>
        </row>
        <row r="1027">
          <cell r="I1027">
            <v>0</v>
          </cell>
        </row>
        <row r="1028">
          <cell r="I1028">
            <v>0</v>
          </cell>
        </row>
        <row r="1029">
          <cell r="I1029">
            <v>0</v>
          </cell>
        </row>
        <row r="1030">
          <cell r="I1030">
            <v>0</v>
          </cell>
        </row>
        <row r="1031">
          <cell r="D1031" t="str">
            <v>DCAT</v>
          </cell>
          <cell r="I1031">
            <v>0</v>
          </cell>
        </row>
        <row r="1032">
          <cell r="D1032" t="str">
            <v>DCU5</v>
          </cell>
          <cell r="I1032">
            <v>0</v>
          </cell>
        </row>
        <row r="1033">
          <cell r="D1033" t="str">
            <v>PTRE</v>
          </cell>
          <cell r="I1033">
            <v>0</v>
          </cell>
        </row>
        <row r="1034">
          <cell r="D1034" t="str">
            <v>BTL100</v>
          </cell>
          <cell r="I1034">
            <v>0</v>
          </cell>
        </row>
        <row r="1035">
          <cell r="D1035" t="str">
            <v>BTM200</v>
          </cell>
          <cell r="I1035">
            <v>0</v>
          </cell>
        </row>
        <row r="1036">
          <cell r="D1036" t="str">
            <v>ST10M</v>
          </cell>
          <cell r="I1036">
            <v>0</v>
          </cell>
        </row>
        <row r="1037">
          <cell r="D1037" t="str">
            <v>ST18M</v>
          </cell>
          <cell r="I1037">
            <v>0</v>
          </cell>
        </row>
        <row r="1038">
          <cell r="D1038" t="str">
            <v>ST20M</v>
          </cell>
          <cell r="I1038">
            <v>0</v>
          </cell>
        </row>
        <row r="1039">
          <cell r="D1039" t="str">
            <v>VKM</v>
          </cell>
          <cell r="I1039">
            <v>0</v>
          </cell>
        </row>
        <row r="1040">
          <cell r="D1040" t="str">
            <v>GCMK</v>
          </cell>
          <cell r="I1040">
            <v>0</v>
          </cell>
        </row>
        <row r="1041">
          <cell r="D1041" t="str">
            <v>SATH</v>
          </cell>
          <cell r="I1041">
            <v>0</v>
          </cell>
        </row>
        <row r="1042">
          <cell r="D1042" t="str">
            <v>SATH</v>
          </cell>
          <cell r="I1042">
            <v>0</v>
          </cell>
        </row>
        <row r="1043">
          <cell r="I1043">
            <v>0</v>
          </cell>
        </row>
        <row r="1044">
          <cell r="D1044" t="str">
            <v>GCMK</v>
          </cell>
          <cell r="I1044">
            <v>0</v>
          </cell>
        </row>
        <row r="1045">
          <cell r="D1045" t="str">
            <v>M-22</v>
          </cell>
          <cell r="I1045">
            <v>0</v>
          </cell>
        </row>
        <row r="1046">
          <cell r="I1046">
            <v>0</v>
          </cell>
        </row>
        <row r="1047">
          <cell r="D1047" t="str">
            <v>VCPTRE</v>
          </cell>
          <cell r="I1047">
            <v>0</v>
          </cell>
        </row>
        <row r="1048">
          <cell r="I1048">
            <v>0</v>
          </cell>
        </row>
        <row r="1049">
          <cell r="I1049">
            <v>0</v>
          </cell>
        </row>
        <row r="1050">
          <cell r="I1050">
            <v>0</v>
          </cell>
        </row>
        <row r="1051">
          <cell r="D1051" t="str">
            <v>CD35-8M</v>
          </cell>
          <cell r="I1051">
            <v>0</v>
          </cell>
        </row>
        <row r="1052">
          <cell r="D1052" t="str">
            <v>CG35-10</v>
          </cell>
          <cell r="I1052">
            <v>0</v>
          </cell>
        </row>
        <row r="1053">
          <cell r="D1053" t="str">
            <v>CM35-10</v>
          </cell>
          <cell r="I1053">
            <v>0</v>
          </cell>
        </row>
        <row r="1054">
          <cell r="I1054">
            <v>0</v>
          </cell>
        </row>
        <row r="1055">
          <cell r="I1055">
            <v>0</v>
          </cell>
        </row>
        <row r="1056">
          <cell r="I1056">
            <v>0</v>
          </cell>
        </row>
        <row r="1057">
          <cell r="I1057">
            <v>0</v>
          </cell>
        </row>
        <row r="1058">
          <cell r="D1058" t="str">
            <v>CDAN</v>
          </cell>
          <cell r="I1058">
            <v>0</v>
          </cell>
        </row>
        <row r="1059">
          <cell r="I1059">
            <v>0</v>
          </cell>
        </row>
        <row r="1060">
          <cell r="D1060" t="str">
            <v>TNDC</v>
          </cell>
          <cell r="I1060">
            <v>0</v>
          </cell>
        </row>
        <row r="1061">
          <cell r="I1061">
            <v>0</v>
          </cell>
        </row>
        <row r="1062">
          <cell r="D1062" t="str">
            <v>QBTUM</v>
          </cell>
          <cell r="I1062">
            <v>0</v>
          </cell>
        </row>
        <row r="1063">
          <cell r="I1063">
            <v>0</v>
          </cell>
        </row>
        <row r="1064">
          <cell r="I1064">
            <v>0</v>
          </cell>
        </row>
        <row r="1065">
          <cell r="I1065">
            <v>0</v>
          </cell>
        </row>
        <row r="1066">
          <cell r="I1066">
            <v>0</v>
          </cell>
        </row>
        <row r="1067">
          <cell r="D1067" t="str">
            <v>DCAT</v>
          </cell>
          <cell r="I1067">
            <v>0</v>
          </cell>
        </row>
        <row r="1068">
          <cell r="D1068" t="str">
            <v>DCU5</v>
          </cell>
          <cell r="I1068">
            <v>0</v>
          </cell>
        </row>
        <row r="1069">
          <cell r="D1069" t="str">
            <v>PTRE</v>
          </cell>
          <cell r="I1069">
            <v>0</v>
          </cell>
        </row>
        <row r="1070">
          <cell r="D1070" t="str">
            <v>BTL100</v>
          </cell>
          <cell r="I1070">
            <v>0</v>
          </cell>
        </row>
        <row r="1071">
          <cell r="D1071" t="str">
            <v>BTM200</v>
          </cell>
          <cell r="I1071">
            <v>0</v>
          </cell>
        </row>
        <row r="1072">
          <cell r="D1072" t="str">
            <v>ST10M</v>
          </cell>
          <cell r="I1072">
            <v>0</v>
          </cell>
        </row>
        <row r="1073">
          <cell r="D1073" t="str">
            <v>ST18M</v>
          </cell>
          <cell r="I1073">
            <v>0</v>
          </cell>
        </row>
        <row r="1074">
          <cell r="D1074" t="str">
            <v>ST20M</v>
          </cell>
          <cell r="I1074">
            <v>0</v>
          </cell>
        </row>
        <row r="1075">
          <cell r="D1075" t="str">
            <v>VKM</v>
          </cell>
          <cell r="I1075">
            <v>0</v>
          </cell>
        </row>
        <row r="1076">
          <cell r="I1076">
            <v>0</v>
          </cell>
        </row>
        <row r="1077">
          <cell r="D1077" t="str">
            <v>GCMK</v>
          </cell>
          <cell r="I1077">
            <v>0</v>
          </cell>
        </row>
        <row r="1078">
          <cell r="D1078" t="str">
            <v>M-22</v>
          </cell>
          <cell r="I1078">
            <v>0</v>
          </cell>
        </row>
        <row r="1079">
          <cell r="I1079">
            <v>0</v>
          </cell>
        </row>
        <row r="1080">
          <cell r="D1080" t="str">
            <v>VCPTRE</v>
          </cell>
          <cell r="I1080">
            <v>0</v>
          </cell>
        </row>
        <row r="1081">
          <cell r="I1081">
            <v>0</v>
          </cell>
        </row>
        <row r="1082">
          <cell r="D1082" t="str">
            <v>GCMK</v>
          </cell>
          <cell r="I1082">
            <v>0</v>
          </cell>
        </row>
        <row r="1083">
          <cell r="I1083">
            <v>0</v>
          </cell>
        </row>
        <row r="1084">
          <cell r="D1084" t="str">
            <v>CD35-10</v>
          </cell>
          <cell r="I1084">
            <v>0</v>
          </cell>
        </row>
        <row r="1085">
          <cell r="D1085" t="str">
            <v>CG35-10</v>
          </cell>
          <cell r="I1085">
            <v>0</v>
          </cell>
        </row>
        <row r="1086">
          <cell r="D1086" t="str">
            <v>CM35-10</v>
          </cell>
          <cell r="I1086">
            <v>0</v>
          </cell>
        </row>
        <row r="1087">
          <cell r="I1087">
            <v>0</v>
          </cell>
        </row>
        <row r="1088">
          <cell r="I1088">
            <v>0</v>
          </cell>
        </row>
        <row r="1089">
          <cell r="I1089">
            <v>0</v>
          </cell>
        </row>
        <row r="1090">
          <cell r="I1090">
            <v>0</v>
          </cell>
        </row>
        <row r="1091">
          <cell r="D1091" t="str">
            <v>CDAN</v>
          </cell>
          <cell r="I1091">
            <v>0</v>
          </cell>
        </row>
        <row r="1092">
          <cell r="I1092">
            <v>0</v>
          </cell>
        </row>
        <row r="1093">
          <cell r="D1093" t="str">
            <v>TNDC</v>
          </cell>
          <cell r="I1093">
            <v>0</v>
          </cell>
        </row>
        <row r="1094">
          <cell r="I1094">
            <v>0</v>
          </cell>
        </row>
        <row r="1095">
          <cell r="D1095" t="str">
            <v>QBTUM</v>
          </cell>
          <cell r="I1095">
            <v>0</v>
          </cell>
        </row>
        <row r="1096">
          <cell r="I1096">
            <v>0</v>
          </cell>
        </row>
        <row r="1097">
          <cell r="I1097">
            <v>0</v>
          </cell>
        </row>
        <row r="1098">
          <cell r="I1098">
            <v>0</v>
          </cell>
        </row>
        <row r="1099">
          <cell r="I1099">
            <v>0</v>
          </cell>
        </row>
        <row r="1100">
          <cell r="D1100" t="str">
            <v>DCAT</v>
          </cell>
          <cell r="I1100">
            <v>0</v>
          </cell>
        </row>
        <row r="1101">
          <cell r="D1101" t="str">
            <v>DCU5</v>
          </cell>
          <cell r="I1101">
            <v>0</v>
          </cell>
        </row>
        <row r="1102">
          <cell r="D1102" t="str">
            <v>PTRE</v>
          </cell>
          <cell r="I1102">
            <v>0</v>
          </cell>
        </row>
        <row r="1103">
          <cell r="D1103" t="str">
            <v>BTL100</v>
          </cell>
          <cell r="I1103">
            <v>0</v>
          </cell>
        </row>
        <row r="1104">
          <cell r="D1104" t="str">
            <v>BTM200</v>
          </cell>
          <cell r="I1104">
            <v>0</v>
          </cell>
        </row>
        <row r="1105">
          <cell r="D1105" t="str">
            <v>ST10M</v>
          </cell>
          <cell r="I1105">
            <v>0</v>
          </cell>
        </row>
        <row r="1106">
          <cell r="D1106" t="str">
            <v>ST18M</v>
          </cell>
          <cell r="I1106">
            <v>0</v>
          </cell>
        </row>
        <row r="1107">
          <cell r="D1107" t="str">
            <v>ST20M</v>
          </cell>
          <cell r="I1107">
            <v>0</v>
          </cell>
        </row>
        <row r="1108">
          <cell r="D1108" t="str">
            <v>VKM</v>
          </cell>
          <cell r="I1108">
            <v>0</v>
          </cell>
        </row>
        <row r="1109">
          <cell r="D1109" t="str">
            <v>GCMK</v>
          </cell>
          <cell r="I1109">
            <v>0</v>
          </cell>
        </row>
        <row r="1110">
          <cell r="D1110" t="str">
            <v>SATH</v>
          </cell>
          <cell r="I1110">
            <v>0</v>
          </cell>
        </row>
        <row r="1111">
          <cell r="D1111" t="str">
            <v>SATH</v>
          </cell>
          <cell r="I1111">
            <v>0</v>
          </cell>
        </row>
        <row r="1112">
          <cell r="I1112">
            <v>0</v>
          </cell>
        </row>
        <row r="1113">
          <cell r="D1113" t="str">
            <v>GCMK</v>
          </cell>
          <cell r="I1113">
            <v>0</v>
          </cell>
        </row>
        <row r="1114">
          <cell r="D1114" t="str">
            <v>M-22</v>
          </cell>
          <cell r="I1114">
            <v>0</v>
          </cell>
        </row>
        <row r="1115">
          <cell r="I1115">
            <v>0</v>
          </cell>
        </row>
        <row r="1116">
          <cell r="D1116" t="str">
            <v>VCPTRE</v>
          </cell>
          <cell r="I1116">
            <v>0</v>
          </cell>
        </row>
        <row r="1117">
          <cell r="I1117">
            <v>0</v>
          </cell>
        </row>
        <row r="1118">
          <cell r="I1118">
            <v>0</v>
          </cell>
        </row>
        <row r="1119">
          <cell r="I1119">
            <v>0</v>
          </cell>
        </row>
        <row r="1120">
          <cell r="D1120" t="str">
            <v>CD35-10</v>
          </cell>
          <cell r="I1120">
            <v>0</v>
          </cell>
        </row>
        <row r="1121">
          <cell r="D1121" t="str">
            <v>CG35-10</v>
          </cell>
          <cell r="I1121">
            <v>0</v>
          </cell>
        </row>
        <row r="1122">
          <cell r="D1122" t="str">
            <v>CM35-10</v>
          </cell>
          <cell r="I1122">
            <v>0</v>
          </cell>
        </row>
        <row r="1123">
          <cell r="I1123">
            <v>0</v>
          </cell>
        </row>
        <row r="1124">
          <cell r="I1124">
            <v>0</v>
          </cell>
        </row>
        <row r="1125">
          <cell r="I1125">
            <v>0</v>
          </cell>
        </row>
        <row r="1126">
          <cell r="I1126">
            <v>0</v>
          </cell>
        </row>
        <row r="1127">
          <cell r="D1127" t="str">
            <v>CDAN</v>
          </cell>
          <cell r="I1127">
            <v>0</v>
          </cell>
        </row>
        <row r="1128">
          <cell r="I1128">
            <v>0</v>
          </cell>
        </row>
        <row r="1129">
          <cell r="D1129" t="str">
            <v>TNDC</v>
          </cell>
          <cell r="I1129">
            <v>0</v>
          </cell>
        </row>
        <row r="1130">
          <cell r="I1130">
            <v>0</v>
          </cell>
        </row>
        <row r="1131">
          <cell r="D1131" t="str">
            <v>QBTUM</v>
          </cell>
          <cell r="I1131">
            <v>0</v>
          </cell>
        </row>
        <row r="1132">
          <cell r="I1132">
            <v>0</v>
          </cell>
        </row>
        <row r="1133">
          <cell r="I1133">
            <v>0</v>
          </cell>
        </row>
        <row r="1134">
          <cell r="I1134">
            <v>0</v>
          </cell>
        </row>
        <row r="1135">
          <cell r="I1135">
            <v>0</v>
          </cell>
        </row>
        <row r="1136">
          <cell r="D1136" t="str">
            <v>DCAT</v>
          </cell>
          <cell r="I1136">
            <v>0</v>
          </cell>
        </row>
        <row r="1137">
          <cell r="D1137" t="str">
            <v>DCU5</v>
          </cell>
          <cell r="I1137">
            <v>0</v>
          </cell>
        </row>
        <row r="1138">
          <cell r="D1138" t="str">
            <v>PTRE</v>
          </cell>
          <cell r="I1138">
            <v>0</v>
          </cell>
        </row>
        <row r="1139">
          <cell r="D1139" t="str">
            <v>BTL100</v>
          </cell>
          <cell r="I1139">
            <v>0</v>
          </cell>
        </row>
        <row r="1140">
          <cell r="D1140" t="str">
            <v>BTM200</v>
          </cell>
          <cell r="I1140">
            <v>0</v>
          </cell>
        </row>
        <row r="1141">
          <cell r="D1141" t="str">
            <v>ST10M</v>
          </cell>
          <cell r="I1141">
            <v>0</v>
          </cell>
        </row>
        <row r="1142">
          <cell r="D1142" t="str">
            <v>ST18M</v>
          </cell>
          <cell r="I1142">
            <v>0</v>
          </cell>
        </row>
        <row r="1143">
          <cell r="D1143" t="str">
            <v>ST20M</v>
          </cell>
          <cell r="I1143">
            <v>0</v>
          </cell>
        </row>
        <row r="1144">
          <cell r="D1144" t="str">
            <v>VKM</v>
          </cell>
          <cell r="I1144">
            <v>0</v>
          </cell>
        </row>
        <row r="1145">
          <cell r="D1145" t="str">
            <v>GCMK</v>
          </cell>
          <cell r="I1145">
            <v>0</v>
          </cell>
        </row>
        <row r="1146">
          <cell r="D1146" t="str">
            <v>SATH</v>
          </cell>
          <cell r="I1146">
            <v>0</v>
          </cell>
        </row>
        <row r="1147">
          <cell r="D1147" t="str">
            <v>SATH</v>
          </cell>
          <cell r="I1147">
            <v>0</v>
          </cell>
        </row>
        <row r="1148">
          <cell r="I1148">
            <v>0</v>
          </cell>
        </row>
        <row r="1149">
          <cell r="D1149" t="str">
            <v>GCMK</v>
          </cell>
          <cell r="I1149">
            <v>0</v>
          </cell>
        </row>
        <row r="1150">
          <cell r="D1150" t="str">
            <v>M-22</v>
          </cell>
          <cell r="I1150">
            <v>0</v>
          </cell>
        </row>
        <row r="1151">
          <cell r="I1151">
            <v>0</v>
          </cell>
        </row>
        <row r="1152">
          <cell r="D1152" t="str">
            <v>VCPTRE</v>
          </cell>
          <cell r="I1152">
            <v>0</v>
          </cell>
        </row>
        <row r="1153">
          <cell r="I1153">
            <v>0</v>
          </cell>
        </row>
        <row r="1154">
          <cell r="I1154">
            <v>0</v>
          </cell>
        </row>
        <row r="1155">
          <cell r="I1155">
            <v>0</v>
          </cell>
        </row>
        <row r="1156">
          <cell r="D1156" t="str">
            <v>CD35-10</v>
          </cell>
          <cell r="I1156">
            <v>0</v>
          </cell>
        </row>
        <row r="1157">
          <cell r="D1157" t="str">
            <v>CG35-10</v>
          </cell>
          <cell r="I1157">
            <v>0</v>
          </cell>
        </row>
        <row r="1158">
          <cell r="D1158" t="str">
            <v>CM35-10</v>
          </cell>
          <cell r="I1158">
            <v>0</v>
          </cell>
        </row>
        <row r="1159">
          <cell r="I1159">
            <v>0</v>
          </cell>
        </row>
        <row r="1160">
          <cell r="I1160">
            <v>0</v>
          </cell>
        </row>
        <row r="1161">
          <cell r="I1161">
            <v>0</v>
          </cell>
        </row>
        <row r="1162">
          <cell r="I1162">
            <v>0</v>
          </cell>
        </row>
        <row r="1163">
          <cell r="D1163" t="str">
            <v>CDAN</v>
          </cell>
          <cell r="I1163">
            <v>0</v>
          </cell>
        </row>
        <row r="1164">
          <cell r="I1164">
            <v>0</v>
          </cell>
        </row>
        <row r="1165">
          <cell r="D1165" t="str">
            <v>TNDC</v>
          </cell>
          <cell r="I1165">
            <v>0</v>
          </cell>
        </row>
        <row r="1166">
          <cell r="I1166">
            <v>0</v>
          </cell>
        </row>
        <row r="1167">
          <cell r="D1167" t="str">
            <v>QBTUM</v>
          </cell>
          <cell r="I1167">
            <v>0</v>
          </cell>
        </row>
        <row r="1168">
          <cell r="I1168">
            <v>0</v>
          </cell>
        </row>
        <row r="1169">
          <cell r="I1169">
            <v>0</v>
          </cell>
        </row>
        <row r="1170">
          <cell r="I1170">
            <v>0</v>
          </cell>
        </row>
        <row r="1171">
          <cell r="I1171">
            <v>0</v>
          </cell>
        </row>
        <row r="1172">
          <cell r="D1172" t="str">
            <v>DCAT</v>
          </cell>
          <cell r="I1172">
            <v>0</v>
          </cell>
        </row>
        <row r="1173">
          <cell r="D1173" t="str">
            <v>DCU5</v>
          </cell>
          <cell r="I1173">
            <v>0</v>
          </cell>
        </row>
        <row r="1174">
          <cell r="D1174" t="str">
            <v>PTRE</v>
          </cell>
          <cell r="I1174">
            <v>0</v>
          </cell>
        </row>
        <row r="1175">
          <cell r="D1175" t="str">
            <v>BTL100</v>
          </cell>
          <cell r="I1175">
            <v>0</v>
          </cell>
        </row>
        <row r="1176">
          <cell r="D1176" t="str">
            <v>BTM200</v>
          </cell>
          <cell r="I1176">
            <v>0</v>
          </cell>
        </row>
        <row r="1177">
          <cell r="D1177" t="str">
            <v>ST10M</v>
          </cell>
          <cell r="I1177">
            <v>0</v>
          </cell>
        </row>
        <row r="1178">
          <cell r="D1178" t="str">
            <v>ST18M</v>
          </cell>
          <cell r="I1178">
            <v>0</v>
          </cell>
        </row>
        <row r="1179">
          <cell r="D1179" t="str">
            <v>ST20M</v>
          </cell>
          <cell r="I1179">
            <v>0</v>
          </cell>
        </row>
        <row r="1180">
          <cell r="D1180" t="str">
            <v>VKM</v>
          </cell>
          <cell r="I1180">
            <v>0</v>
          </cell>
        </row>
        <row r="1181">
          <cell r="I1181">
            <v>0</v>
          </cell>
        </row>
        <row r="1182">
          <cell r="D1182" t="str">
            <v>GCMK</v>
          </cell>
          <cell r="I1182">
            <v>0</v>
          </cell>
        </row>
        <row r="1183">
          <cell r="D1183" t="str">
            <v>M-22</v>
          </cell>
          <cell r="I1183">
            <v>0</v>
          </cell>
        </row>
        <row r="1184">
          <cell r="I1184">
            <v>0</v>
          </cell>
        </row>
        <row r="1185">
          <cell r="D1185" t="str">
            <v>VCPTRE</v>
          </cell>
          <cell r="I1185">
            <v>0</v>
          </cell>
        </row>
        <row r="1186">
          <cell r="I1186">
            <v>0</v>
          </cell>
        </row>
        <row r="1187">
          <cell r="I1187">
            <v>0</v>
          </cell>
        </row>
        <row r="1188">
          <cell r="D1188" t="str">
            <v>GCMK</v>
          </cell>
          <cell r="I1188">
            <v>0</v>
          </cell>
        </row>
        <row r="1189">
          <cell r="D1189" t="str">
            <v>BCAM</v>
          </cell>
          <cell r="I1189">
            <v>0</v>
          </cell>
        </row>
        <row r="1190">
          <cell r="I1190">
            <v>0</v>
          </cell>
        </row>
        <row r="1191">
          <cell r="I1191">
            <v>0</v>
          </cell>
        </row>
        <row r="1192">
          <cell r="I1192">
            <v>0</v>
          </cell>
        </row>
        <row r="1193">
          <cell r="I1193">
            <v>0</v>
          </cell>
        </row>
        <row r="1194">
          <cell r="I1194">
            <v>0</v>
          </cell>
        </row>
        <row r="1195">
          <cell r="D1195" t="str">
            <v>GCMK</v>
          </cell>
          <cell r="I1195">
            <v>0</v>
          </cell>
        </row>
        <row r="1196">
          <cell r="D1196" t="str">
            <v>BCAM</v>
          </cell>
          <cell r="I1196">
            <v>0</v>
          </cell>
        </row>
        <row r="1197">
          <cell r="I1197">
            <v>0</v>
          </cell>
        </row>
        <row r="1198">
          <cell r="I1198">
            <v>0</v>
          </cell>
        </row>
        <row r="1199">
          <cell r="I1199">
            <v>0</v>
          </cell>
        </row>
        <row r="1200">
          <cell r="I1200">
            <v>0</v>
          </cell>
        </row>
        <row r="1201">
          <cell r="I1201">
            <v>0</v>
          </cell>
        </row>
        <row r="1202">
          <cell r="D1202" t="str">
            <v>GCMK</v>
          </cell>
          <cell r="I1202">
            <v>0</v>
          </cell>
        </row>
        <row r="1203">
          <cell r="D1203" t="str">
            <v>BCAM</v>
          </cell>
          <cell r="I1203">
            <v>0</v>
          </cell>
        </row>
        <row r="1204">
          <cell r="I1204">
            <v>0</v>
          </cell>
        </row>
        <row r="1205">
          <cell r="I1205">
            <v>0</v>
          </cell>
        </row>
        <row r="1206">
          <cell r="I1206">
            <v>0</v>
          </cell>
        </row>
        <row r="1207">
          <cell r="I1207">
            <v>0</v>
          </cell>
        </row>
        <row r="1208">
          <cell r="I1208">
            <v>0</v>
          </cell>
        </row>
        <row r="1209">
          <cell r="I1209">
            <v>0</v>
          </cell>
        </row>
        <row r="1210">
          <cell r="D1210" t="str">
            <v>GCMK</v>
          </cell>
          <cell r="I1210">
            <v>0</v>
          </cell>
        </row>
        <row r="1211">
          <cell r="D1211" t="str">
            <v>BCAM</v>
          </cell>
          <cell r="I1211">
            <v>0</v>
          </cell>
        </row>
        <row r="1212">
          <cell r="I1212">
            <v>0</v>
          </cell>
        </row>
        <row r="1213">
          <cell r="I1213">
            <v>0</v>
          </cell>
        </row>
        <row r="1214">
          <cell r="I1214">
            <v>0</v>
          </cell>
        </row>
        <row r="1215">
          <cell r="I1215">
            <v>0</v>
          </cell>
        </row>
        <row r="1216">
          <cell r="I1216">
            <v>0</v>
          </cell>
        </row>
        <row r="1217">
          <cell r="I1217">
            <v>0</v>
          </cell>
        </row>
        <row r="1218">
          <cell r="D1218" t="str">
            <v>GCMK</v>
          </cell>
          <cell r="I1218">
            <v>0</v>
          </cell>
        </row>
        <row r="1219">
          <cell r="D1219" t="str">
            <v>BCAM</v>
          </cell>
          <cell r="I1219">
            <v>0</v>
          </cell>
        </row>
        <row r="1220">
          <cell r="I1220">
            <v>0</v>
          </cell>
        </row>
        <row r="1221">
          <cell r="I1221">
            <v>0</v>
          </cell>
        </row>
        <row r="1222">
          <cell r="I1222">
            <v>0</v>
          </cell>
        </row>
        <row r="1223">
          <cell r="I1223">
            <v>0</v>
          </cell>
        </row>
        <row r="1224">
          <cell r="I1224">
            <v>0</v>
          </cell>
        </row>
        <row r="1225">
          <cell r="I1225">
            <v>0</v>
          </cell>
        </row>
        <row r="1226">
          <cell r="D1226" t="str">
            <v>ACSR-612</v>
          </cell>
          <cell r="I1226">
            <v>0</v>
          </cell>
        </row>
        <row r="1227">
          <cell r="D1227" t="str">
            <v>ACSR-795/MCM</v>
          </cell>
          <cell r="I1227">
            <v>0</v>
          </cell>
        </row>
        <row r="1228">
          <cell r="D1228" t="str">
            <v>DCS-7/16</v>
          </cell>
          <cell r="I1228">
            <v>0</v>
          </cell>
        </row>
        <row r="1229">
          <cell r="D1229" t="str">
            <v>AGW-9/19</v>
          </cell>
          <cell r="I1229">
            <v>0</v>
          </cell>
        </row>
        <row r="1230">
          <cell r="D1230" t="str">
            <v>CDDD-DK1</v>
          </cell>
          <cell r="I1230">
            <v>0</v>
          </cell>
        </row>
        <row r="1231">
          <cell r="D1231" t="str">
            <v>CDDD-DK2</v>
          </cell>
          <cell r="I1231">
            <v>0</v>
          </cell>
        </row>
        <row r="1232">
          <cell r="D1232" t="str">
            <v>CDDD-DK2a</v>
          </cell>
          <cell r="I1232">
            <v>0</v>
          </cell>
        </row>
        <row r="1233">
          <cell r="D1233" t="str">
            <v>CNDD-NK1</v>
          </cell>
          <cell r="I1233">
            <v>0</v>
          </cell>
        </row>
        <row r="1234">
          <cell r="D1234" t="str">
            <v>CNDD-NK2</v>
          </cell>
          <cell r="I1234">
            <v>0</v>
          </cell>
        </row>
        <row r="1235">
          <cell r="D1235" t="str">
            <v>CNCS-NS1</v>
          </cell>
          <cell r="I1235">
            <v>0</v>
          </cell>
        </row>
        <row r="1236">
          <cell r="D1236" t="str">
            <v>CNCS-NS2</v>
          </cell>
          <cell r="I1236">
            <v>0</v>
          </cell>
        </row>
        <row r="1237">
          <cell r="D1237" t="str">
            <v>CDCS-DS1</v>
          </cell>
          <cell r="I1237">
            <v>0</v>
          </cell>
        </row>
        <row r="1238">
          <cell r="D1238" t="str">
            <v>CDCS-DS2</v>
          </cell>
          <cell r="I1238">
            <v>0</v>
          </cell>
        </row>
        <row r="1239">
          <cell r="D1239" t="str">
            <v>CRD-220</v>
          </cell>
          <cell r="I1239">
            <v>0</v>
          </cell>
        </row>
        <row r="1240">
          <cell r="D1240" t="str">
            <v>CRCS-220</v>
          </cell>
          <cell r="I1240">
            <v>0</v>
          </cell>
        </row>
        <row r="1241">
          <cell r="D1241" t="str">
            <v>HTBH</v>
          </cell>
          <cell r="I1241">
            <v>0</v>
          </cell>
        </row>
        <row r="1242">
          <cell r="I1242">
            <v>0</v>
          </cell>
        </row>
        <row r="1243">
          <cell r="I1243">
            <v>0</v>
          </cell>
        </row>
        <row r="1244">
          <cell r="I1244">
            <v>0</v>
          </cell>
        </row>
        <row r="1245">
          <cell r="I1245">
            <v>0</v>
          </cell>
        </row>
        <row r="1246">
          <cell r="I1246">
            <v>0</v>
          </cell>
        </row>
        <row r="1247">
          <cell r="I1247">
            <v>0</v>
          </cell>
        </row>
        <row r="1248">
          <cell r="I1248">
            <v>0</v>
          </cell>
        </row>
        <row r="1249">
          <cell r="I1249">
            <v>0</v>
          </cell>
        </row>
        <row r="1250">
          <cell r="I1250">
            <v>0</v>
          </cell>
        </row>
        <row r="1251">
          <cell r="I1251">
            <v>0</v>
          </cell>
        </row>
        <row r="1252">
          <cell r="I1252">
            <v>0</v>
          </cell>
        </row>
        <row r="1253">
          <cell r="I1253">
            <v>0</v>
          </cell>
        </row>
        <row r="1254">
          <cell r="I1254">
            <v>0</v>
          </cell>
        </row>
        <row r="1255">
          <cell r="I1255">
            <v>0</v>
          </cell>
        </row>
        <row r="1256">
          <cell r="I1256">
            <v>0</v>
          </cell>
        </row>
        <row r="1257">
          <cell r="I1257">
            <v>0</v>
          </cell>
        </row>
        <row r="1258">
          <cell r="I1258">
            <v>0</v>
          </cell>
        </row>
        <row r="1259">
          <cell r="I1259">
            <v>0</v>
          </cell>
        </row>
        <row r="1260">
          <cell r="D1260" t="str">
            <v>DCS-7/16</v>
          </cell>
          <cell r="I1260">
            <v>0</v>
          </cell>
        </row>
        <row r="1261">
          <cell r="I1261">
            <v>0</v>
          </cell>
        </row>
        <row r="1262">
          <cell r="I1262">
            <v>0</v>
          </cell>
        </row>
        <row r="1263">
          <cell r="I1263">
            <v>0</v>
          </cell>
        </row>
        <row r="1264">
          <cell r="I1264">
            <v>0</v>
          </cell>
        </row>
        <row r="1265">
          <cell r="I1265">
            <v>0</v>
          </cell>
        </row>
        <row r="1266">
          <cell r="I1266">
            <v>0</v>
          </cell>
        </row>
        <row r="1267">
          <cell r="I1267">
            <v>0</v>
          </cell>
        </row>
        <row r="1268">
          <cell r="I1268">
            <v>0</v>
          </cell>
        </row>
        <row r="1269">
          <cell r="D1269" t="str">
            <v>CATD</v>
          </cell>
          <cell r="I1269">
            <v>0</v>
          </cell>
        </row>
        <row r="1270">
          <cell r="D1270" t="str">
            <v>DDCL</v>
          </cell>
          <cell r="I1270">
            <v>0</v>
          </cell>
        </row>
        <row r="1271">
          <cell r="D1271" t="str">
            <v>DCU2,5</v>
          </cell>
          <cell r="I1271">
            <v>0</v>
          </cell>
        </row>
        <row r="1272">
          <cell r="D1272" t="str">
            <v>PTRE</v>
          </cell>
          <cell r="I1272">
            <v>0</v>
          </cell>
        </row>
        <row r="1273">
          <cell r="I1273">
            <v>0</v>
          </cell>
        </row>
        <row r="1274">
          <cell r="D1274" t="str">
            <v>MUAÑ</v>
          </cell>
          <cell r="I1274">
            <v>0</v>
          </cell>
        </row>
        <row r="1275">
          <cell r="I1275">
            <v>0</v>
          </cell>
        </row>
        <row r="1276">
          <cell r="I1276">
            <v>0</v>
          </cell>
        </row>
        <row r="1277">
          <cell r="D1277" t="str">
            <v>DCU5</v>
          </cell>
          <cell r="I1277">
            <v>0</v>
          </cell>
        </row>
        <row r="1278">
          <cell r="I1278">
            <v>0</v>
          </cell>
        </row>
        <row r="1279">
          <cell r="D1279" t="str">
            <v>CATD</v>
          </cell>
          <cell r="I1279">
            <v>0</v>
          </cell>
        </row>
        <row r="1280">
          <cell r="D1280" t="str">
            <v>DDCL</v>
          </cell>
          <cell r="I1280">
            <v>0</v>
          </cell>
        </row>
        <row r="1281">
          <cell r="I1281">
            <v>0</v>
          </cell>
        </row>
        <row r="1282">
          <cell r="D1282" t="str">
            <v>OBT600</v>
          </cell>
          <cell r="I1282">
            <v>0</v>
          </cell>
        </row>
        <row r="1283">
          <cell r="I1283">
            <v>0</v>
          </cell>
        </row>
        <row r="1284">
          <cell r="I1284">
            <v>0</v>
          </cell>
        </row>
        <row r="1285">
          <cell r="I1285">
            <v>0</v>
          </cell>
        </row>
        <row r="1286">
          <cell r="I1286">
            <v>0</v>
          </cell>
        </row>
        <row r="1287">
          <cell r="I1287">
            <v>0</v>
          </cell>
        </row>
        <row r="1288">
          <cell r="D1288" t="str">
            <v>CATD</v>
          </cell>
          <cell r="I1288">
            <v>0</v>
          </cell>
        </row>
        <row r="1289">
          <cell r="I1289">
            <v>0</v>
          </cell>
        </row>
        <row r="1290">
          <cell r="D1290" t="str">
            <v>MUAÑ</v>
          </cell>
          <cell r="I1290">
            <v>0</v>
          </cell>
        </row>
        <row r="1291">
          <cell r="D1291" t="str">
            <v>BTL100</v>
          </cell>
          <cell r="I1291">
            <v>0</v>
          </cell>
        </row>
        <row r="1292">
          <cell r="D1292" t="str">
            <v>LN2-M100</v>
          </cell>
          <cell r="I1292">
            <v>0</v>
          </cell>
        </row>
        <row r="1293">
          <cell r="D1293" t="str">
            <v>PUMP</v>
          </cell>
          <cell r="I1293">
            <v>0</v>
          </cell>
        </row>
        <row r="1294">
          <cell r="I1294">
            <v>0</v>
          </cell>
        </row>
        <row r="1295">
          <cell r="I1295">
            <v>0</v>
          </cell>
        </row>
        <row r="1296">
          <cell r="I1296">
            <v>0</v>
          </cell>
        </row>
      </sheetData>
      <sheetData sheetId="7"/>
      <sheetData sheetId="8"/>
      <sheetData sheetId="9"/>
      <sheetData sheetId="10"/>
      <sheetData sheetId="11"/>
      <sheetData sheetId="12"/>
      <sheetData sheetId="13"/>
      <sheetData sheetId="14"/>
      <sheetData sheetId="15"/>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refreshError="1"/>
      <sheetData sheetId="112" refreshError="1"/>
      <sheetData sheetId="113" refreshError="1"/>
      <sheetData sheetId="114" refreshError="1"/>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T"/>
      <sheetName val="BIA (2)"/>
      <sheetName val="TDTKP (2)"/>
      <sheetName val="t-h TT3P"/>
      <sheetName val="TONG HOP VL-NC"/>
      <sheetName val="CHITIET-TT1p"/>
      <sheetName val="CHITIET VL-NC-DDTT3PHA  (3)"/>
      <sheetName val="VC-3P"/>
      <sheetName val="BETON"/>
      <sheetName val="t-h TT1P (2)"/>
      <sheetName val="VC-1P "/>
      <sheetName val="DON GIA"/>
      <sheetName val="TONG HOP VL-NC (2)"/>
      <sheetName val="t-h TT1P (3)"/>
      <sheetName val="KHOANGVUOT"/>
      <sheetName val="VC-1P  (2)"/>
      <sheetName val="DON GIA DD"/>
      <sheetName val="t-h HA THE"/>
      <sheetName val="TH VL, NC, DDHT "/>
      <sheetName val="CHITIET VL-NCHT1 (2)"/>
      <sheetName val="CHITIET VL-NC-TT1p"/>
      <sheetName val="CHITIET VL_NC_TT _1p"/>
      <sheetName val="TONG HOP VL_NC TT"/>
      <sheetName val="TDTKP1"/>
      <sheetName val="KPVC_BD "/>
      <sheetName val="ChiTietDZ"/>
      <sheetName val="VuaBT"/>
      <sheetName val="khung ten TD"/>
      <sheetName val="CHITIET VL-NC-TT -1p"/>
      <sheetName val="TONG HOP VL-NC TT"/>
      <sheetName val="KPVC-BD "/>
      <sheetName val="TienLuong"/>
      <sheetName val="CHITIET VL-NC-TT-3p"/>
      <sheetName val="MYAN"/>
      <sheetName val="CHITIET VL_NC_TT1p"/>
      <sheetName val="kinh phí XD"/>
      <sheetName val="BC L-V-Tam"/>
      <sheetName val="dg-VTu"/>
      <sheetName val="TONGKE-H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VL-NC"/>
      <sheetName val="TONGKE3p"/>
      <sheetName val="phuluc2"/>
      <sheetName val="phuluc1"/>
      <sheetName val="t-h dau noi"/>
      <sheetName val="t-h dau noi (2)"/>
      <sheetName val="TONG HOP VL-NC"/>
      <sheetName val="DON GIA"/>
      <sheetName val="tkp"/>
      <sheetName val="vl-nc-mtc-nhanhre"/>
      <sheetName val="LKVT (3)"/>
      <sheetName val="CHITIET VL-NC (2)"/>
      <sheetName val="TONG HOP VL-NC (2)"/>
      <sheetName val="TDTKP"/>
      <sheetName val="CHITIET VL_NC"/>
      <sheetName val="TONGKE3p "/>
      <sheetName val="gVL"/>
      <sheetName val="QMCT"/>
      <sheetName val="DOÎ GIA"/>
      <sheetName val="CHITIET VL-NC-TT -1p"/>
      <sheetName val="CHITIET VL-NC-TT-3p"/>
      <sheetName val="lam-moi"/>
      <sheetName val="TH VL, NC, DDHT Thanhphuoc"/>
      <sheetName val="HT"/>
      <sheetName val="Sheet1"/>
      <sheetName val="Sheet2"/>
      <sheetName val="Sheet3"/>
      <sheetName val="G.RAP"/>
      <sheetName val="E.IEE"/>
      <sheetName val="D.CBM"/>
      <sheetName val="DG-LNC"/>
      <sheetName val="KPVC-BD "/>
      <sheetName val="CHITIET VL-NC-TT1p"/>
      <sheetName val="ChiTietDZ"/>
      <sheetName val="VuaBT"/>
    </sheetNames>
    <sheetDataSet>
      <sheetData sheetId="0" refreshError="1">
        <row r="103">
          <cell r="G103">
            <v>350000</v>
          </cell>
        </row>
        <row r="136">
          <cell r="G136">
            <v>416500</v>
          </cell>
        </row>
        <row r="141">
          <cell r="G141">
            <v>115954.28999999998</v>
          </cell>
        </row>
        <row r="157">
          <cell r="G157">
            <v>416500</v>
          </cell>
        </row>
        <row r="162">
          <cell r="G162">
            <v>119657.68999999997</v>
          </cell>
        </row>
      </sheetData>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NHCHINH"/>
      <sheetName val="ChiTiet"/>
      <sheetName val="TONGKE1P"/>
      <sheetName val="BC.TN"/>
      <sheetName val="MSTN"/>
      <sheetName val="TDTKP (2)"/>
      <sheetName val="TONGKE3p"/>
      <sheetName val="CHITIET VL-NC-DDTT3PHA "/>
      <sheetName val="CHITIET VL-NC-TT1p"/>
      <sheetName val="DATA"/>
      <sheetName val="XL4Poppy"/>
      <sheetName val="HT"/>
      <sheetName val="dongia (2)"/>
      <sheetName val="TDTKP _2_"/>
      <sheetName val="CHITIET VL_NC_DDTT3PHA "/>
      <sheetName val="CHITIET VL_NC_TT1p"/>
      <sheetName val="Chi tiet"/>
      <sheetName val="TDTKP"/>
      <sheetName val="DK-KH"/>
      <sheetName val="Dinh Muc VT"/>
      <sheetName val="Tien Luong"/>
      <sheetName val="METAL WORKS"/>
      <sheetName val="DONGIA"/>
      <sheetName val="CHITIET VL-NCHT1 (2)"/>
      <sheetName val="Tke"/>
      <sheetName val="Sheet2"/>
      <sheetName val="hsnv"/>
      <sheetName val="thuong"/>
      <sheetName val="CHITIET VL-NC"/>
    </sheetNames>
    <sheetDataSet>
      <sheetData sheetId="0" refreshError="1">
        <row r="38">
          <cell r="I38">
            <v>3796545</v>
          </cell>
          <cell r="J38">
            <v>7140136</v>
          </cell>
          <cell r="K38">
            <v>6113655</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TON"/>
      <sheetName val="BIA (2)"/>
      <sheetName val="TDTKP (2)"/>
      <sheetName val="t-h TT3P"/>
      <sheetName val="TONG HOP VL-NC"/>
      <sheetName val="CHITIET-TT1p"/>
      <sheetName val="CHITIET VL-NC-DDTT3PHA  (3)"/>
      <sheetName val="VC-3P"/>
      <sheetName val="TH VL, NC, DDHT Thanhphuoc"/>
      <sheetName val="CHITIET VL-NC-TT -1p"/>
      <sheetName val="CHITIET VL-NC-TT-3p"/>
      <sheetName val="TONG HOP VL-NC TT"/>
      <sheetName val="TDTKP1"/>
      <sheetName val="KPVC-BD "/>
      <sheetName val="CHITIET VL-NC-TT1p"/>
      <sheetName val="dg_VTu"/>
      <sheetName val="CHITIET VL_NC_TT _1p"/>
      <sheetName val="CHITIET VL_NC_TT_3p"/>
      <sheetName val="TONG HOP VL_NC TT"/>
      <sheetName val="KPVC_BD "/>
      <sheetName val="HT"/>
      <sheetName val="TNHCHINH"/>
      <sheetName val="TONGKE-HT"/>
      <sheetName val="dg tphcm"/>
      <sheetName val="CHITIET VL-NCHT1 (2)"/>
      <sheetName val="DPVT"/>
      <sheetName val="DongiaVL2"/>
      <sheetName val="Tke"/>
      <sheetName val="DON GIA TRAM (3)"/>
      <sheetName val="TH-Dien"/>
      <sheetName val="HTBACHUC"/>
      <sheetName val="KT(D-D)"/>
      <sheetName val="CHITIET VL-NC (2)"/>
      <sheetName val="lkbv"/>
      <sheetName val="DON GIA"/>
      <sheetName val="TONGKE3p"/>
      <sheetName val="TONGKE1P"/>
      <sheetName val="TONGKE1P (2)"/>
      <sheetName val="LKVT-1P"/>
      <sheetName val="t-h TT1P (2)"/>
      <sheetName val="CHITIET VL-NC-DDTT3PHA  (2)"/>
      <sheetName val="Chi tiet TRAM HA THE (2)"/>
      <sheetName val="TONGKEHT"/>
      <sheetName val="TONGKE-T"/>
      <sheetName val="LKVTHT"/>
      <sheetName val="LKVT-TRAM"/>
      <sheetName val="LKVT-TRAM (2)"/>
      <sheetName val="DAYSUPHUKIEN ha the"/>
      <sheetName val="Sheet2"/>
      <sheetName val="Chi tiet TRAM HA THE"/>
      <sheetName val="DAYSUPHUKIEN-3PHA Thanhphuoc"/>
      <sheetName val="CHITIET VL-NCTR (2)"/>
      <sheetName val="CHITIET VL-NCHT1"/>
      <sheetName val="DON GIA DD"/>
      <sheetName val="DON GIA TRAM"/>
      <sheetName val="THPD "/>
      <sheetName val="CHITIET VL-NCTR"/>
      <sheetName val="t-h HA THE"/>
      <sheetName val="VCDDHT"/>
      <sheetName val="TH VL_ NC_ DDHT Thanhphuoc"/>
      <sheetName val="TKP"/>
      <sheetName val="th1"/>
      <sheetName val="th2"/>
      <sheetName val="th3"/>
      <sheetName val="th4"/>
      <sheetName val="th5"/>
      <sheetName val="th6"/>
      <sheetName val="th7"/>
      <sheetName val="th8"/>
      <sheetName val="th9"/>
      <sheetName val="th10"/>
      <sheetName val="th11"/>
      <sheetName val="th12"/>
      <sheetName val="00000000"/>
      <sheetName val="10000000"/>
      <sheetName val="20000000"/>
      <sheetName val="30000000"/>
      <sheetName val="chitiet"/>
      <sheetName val="DG"/>
      <sheetName val="VC_x0000__x0000__x0000__x0000_"/>
      <sheetName val="VC????"/>
      <sheetName val="BIA_(2)"/>
      <sheetName val="TDTKP_(2)"/>
      <sheetName val="t-h_TT3P"/>
      <sheetName val="TONG_HOP_VL-NC"/>
      <sheetName val="CHITIET_VL-NC-DDTT3PHA__(3)"/>
      <sheetName val="VC____"/>
      <sheetName val="Lç khoan LK1"/>
      <sheetName val="gvt"/>
    </sheetNames>
    <sheetDataSet>
      <sheetData sheetId="0" refreshError="1"/>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VL-NCHT1 (2)"/>
      <sheetName val="HT"/>
      <sheetName val="t-h HA THE"/>
      <sheetName val="TH VL, NC, DDHT "/>
      <sheetName val="THPD-1"/>
      <sheetName val="CHITIET VL-NCTR (1)"/>
      <sheetName val="DON GIA TRAM (2)"/>
      <sheetName val="BIA (2)"/>
      <sheetName val="t-h HA THE (2)"/>
      <sheetName val="HT (2)"/>
      <sheetName val="THPD-1 (2)"/>
      <sheetName val="CHITIET VL-NCTR -(2)"/>
      <sheetName val="CHITIET VL-NCTR -(4)"/>
      <sheetName val="CHITIET VL-NCTR -(5)"/>
      <sheetName val="THPD-1 (3)"/>
      <sheetName val="CHITIET VL-NCTR -(6)"/>
      <sheetName val="THPD-1 (6)"/>
      <sheetName val="CHITIET VL-NCTR -(3)"/>
      <sheetName val="THPD-1 (4)"/>
      <sheetName val="THPD-1 (5)"/>
      <sheetName val="LKVT-TRAM (2)"/>
      <sheetName val="VCDDHT (2)"/>
      <sheetName val="Chi tiet TRAM HA THE (2)"/>
      <sheetName val="TONGKEHT"/>
      <sheetName val="TONGKE-T"/>
      <sheetName val="LKVTHT"/>
      <sheetName val="LKVT-TRAM"/>
      <sheetName val="DON GIA DD"/>
      <sheetName val="BIA"/>
      <sheetName val="DON GIA"/>
      <sheetName val="DAYSUPHUKIEN ha the"/>
      <sheetName val="THPD "/>
      <sheetName val="TH VL, NC, DDHT Thanhphuoc"/>
      <sheetName val="CHITIET VL-NCTR"/>
      <sheetName val="Sheet2"/>
      <sheetName val="CHITIET VL_NCHT1 _2_"/>
      <sheetName val="CHITIET VL-NC-TT1p"/>
      <sheetName val="터널조도"/>
      <sheetName val="TNHCHINH"/>
      <sheetName val="Giathanh1m3BT"/>
      <sheetName val="BETON"/>
      <sheetName val="CHITIET VL-NC-TT -1p"/>
      <sheetName val="CHITIET VL-NC-TT-3p"/>
      <sheetName val="TONG HOP VL-NC TT"/>
      <sheetName val="TDTKP1"/>
      <sheetName val="KPVC-BD "/>
      <sheetName val="TONGKE3p "/>
      <sheetName val="TDTKP"/>
      <sheetName val="Don gia III"/>
      <sheetName val="Don gia CT"/>
      <sheetName val="TDTKP (2)"/>
      <sheetName val="TONGKE3p"/>
      <sheetName val="CHITIET VL-NC-DDTT3PHA "/>
      <sheetName val="????"/>
      <sheetName val="CHITIET VL_NC"/>
      <sheetName val="DKHLKIEN"/>
      <sheetName val="ChiTietDZ"/>
      <sheetName val="VuaBT"/>
      <sheetName val="DPVT"/>
      <sheetName val="MTP"/>
      <sheetName val="MTP1"/>
      <sheetName val="luong06"/>
      <sheetName val="____"/>
      <sheetName val="TO_x000e_GK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KE-HT"/>
      <sheetName val="LKVL-CK-HT-GD1"/>
      <sheetName val="DON GIA"/>
      <sheetName val="TONGKE_HT"/>
      <sheetName val="LKVL_CK_HT_GD1"/>
      <sheetName val="TONGKE3p"/>
      <sheetName val="CHITIET VL-NC"/>
      <sheetName val="CTinh"/>
      <sheetName val="V.c noi bo"/>
      <sheetName val="DG"/>
      <sheetName val="HTTANHU"/>
      <sheetName val="chitiet"/>
      <sheetName val="DGXDCB_DD"/>
      <sheetName val="KH-Q1,Q2,01"/>
      <sheetName val="TH VL, NC, DDHT Thanhphuoc"/>
      <sheetName val="Chiet tinh dz22"/>
      <sheetName val="CT Thang Mo"/>
      <sheetName val="CT  PL"/>
      <sheetName val="LKVL-CK-HU-GD1"/>
      <sheetName val="CHITIET VL-NC-TT -1p"/>
      <sheetName val="TONG HOP VL-NC TT"/>
      <sheetName val="TDTKP1"/>
      <sheetName val="KPVC-BD "/>
      <sheetName val="temp"/>
      <sheetName val="TONGKE3p "/>
      <sheetName val="TDTKP"/>
      <sheetName val="dongia (2)"/>
      <sheetName val="dg_VTu"/>
      <sheetName val="Chiet tinh dz35"/>
      <sheetName val="vc"/>
      <sheetName val="CT Th_x0000_®g Mo"/>
      <sheetName val="dg-VTu"/>
      <sheetName val="DG CANTHO"/>
      <sheetName val="Dutoan KL"/>
      <sheetName val="PT VATTU"/>
      <sheetName val="DON GIA CAN THO"/>
    </sheetNames>
    <sheetDataSet>
      <sheetData sheetId="0"/>
      <sheetData sheetId="1" refreshError="1">
        <row r="4">
          <cell r="A4" t="str">
            <v>( GIAI ÑOAÏN 1 )</v>
          </cell>
        </row>
      </sheetData>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BASE"/>
      <sheetName val="Sheet1"/>
      <sheetName val="T3-99"/>
      <sheetName val="T4-99"/>
      <sheetName val="T5-99"/>
      <sheetName val="T6-99"/>
      <sheetName val="T7-99"/>
      <sheetName val="T8-99"/>
      <sheetName val="T9-99"/>
      <sheetName val="T10-99"/>
      <sheetName val="T11-99"/>
      <sheetName val="T12-99"/>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Sheet2"/>
      <sheetName val="00000000"/>
      <sheetName val="KHQ2"/>
      <sheetName val="KHT4,5-02"/>
      <sheetName val="KHVt "/>
      <sheetName val="KHVtt4"/>
      <sheetName val="KHVt XL"/>
      <sheetName val="KHVt XLT4"/>
      <sheetName val="TNHNoi"/>
      <sheetName val="Sheet3"/>
      <sheetName val="XL4Poppy"/>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BA"/>
      <sheetName val="Netbook"/>
      <sheetName val="DZ"/>
      <sheetName val="PA_coso"/>
      <sheetName val="PA_von"/>
      <sheetName val="PA_nhucau"/>
      <sheetName val="PA_TH"/>
      <sheetName val="THDT"/>
      <sheetName val="XL35"/>
      <sheetName val="DZ-35"/>
      <sheetName val="TN_35"/>
      <sheetName val="CT-DZ"/>
      <sheetName val="VC"/>
      <sheetName val="TC"/>
      <sheetName val="TH_BA"/>
      <sheetName val="TNT"/>
      <sheetName val="CT_TBA"/>
      <sheetName val="KB"/>
      <sheetName val="CT_BT"/>
      <sheetName val="KS"/>
      <sheetName val="BT"/>
      <sheetName val="CP_BT"/>
      <sheetName val="Sheet4"/>
      <sheetName val="Sheet5"/>
      <sheetName val="DB"/>
      <sheetName val="XXXXXXXX"/>
      <sheetName val="Thep be"/>
      <sheetName val="Thep than"/>
      <sheetName val="Thep xa mu"/>
      <sheetName val="Kluong phu"/>
      <sheetName val="Lan can"/>
      <sheetName val="Ho lan"/>
      <sheetName val="Coc tieu"/>
      <sheetName val="Bien bao"/>
      <sheetName val="Ranh"/>
      <sheetName val="Tuongchan"/>
      <sheetName val="Op mai 274"/>
      <sheetName val="Op mai 275"/>
      <sheetName val="Op mai 276"/>
      <sheetName val="Op mai 277"/>
      <sheetName val="Op mai 278"/>
      <sheetName val="Op mai 279"/>
      <sheetName val="Op mai 280"/>
      <sheetName val="Op mai 281"/>
      <sheetName val="Op mai 282"/>
      <sheetName val="Op mai 283"/>
      <sheetName val="Km274-Km275"/>
      <sheetName val="Km275-Km276"/>
      <sheetName val="Km276-Km277"/>
      <sheetName val="Km277-Km278"/>
      <sheetName val="Km278-Km279"/>
      <sheetName val="Km279-Km280"/>
      <sheetName val="Km280-Km281"/>
      <sheetName val="Km281-Km282"/>
      <sheetName val="Km282-Km283"/>
      <sheetName val="Km283-Km284"/>
      <sheetName val="Km284-Km285"/>
      <sheetName val="Nenduong"/>
      <sheetName val="Op mai 284"/>
      <sheetName val="Op mai"/>
      <sheetName val="142201-T1-th"/>
      <sheetName val="142201-T1 "/>
      <sheetName val="142201-T2-th "/>
      <sheetName val="142201-T2"/>
      <sheetName val="142201-T3-th "/>
      <sheetName val="142201-T3"/>
      <sheetName val="142201-T4-th  "/>
      <sheetName val="142201-T4"/>
      <sheetName val="142201-T6"/>
      <sheetName val="142201-T10"/>
      <sheetName val="thk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km248"/>
      <sheetName val="LuongT1"/>
      <sheetName val="LuongT2"/>
      <sheetName val="luongthang12"/>
      <sheetName val="LuongT11"/>
      <sheetName val="thang5"/>
      <sheetName val="T7"/>
      <sheetName val="T10"/>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10000000"/>
      <sheetName val="SoCaiTM"/>
      <sheetName val="NK"/>
      <sheetName val="PhieuKT"/>
      <sheetName val="Song trai"/>
      <sheetName val="Dinh+ha nha"/>
      <sheetName val="PTLK"/>
      <sheetName val="NG k"/>
      <sheetName val="THcong"/>
      <sheetName val="BHXH"/>
      <sheetName val="BHXH12"/>
      <sheetName val="Sheet8"/>
      <sheetName val="Sheet9"/>
      <sheetName val="t1"/>
      <sheetName val=" t5"/>
      <sheetName val="t.4"/>
      <sheetName val=" t3 "/>
      <sheetName val="T2"/>
      <sheetName val="t"/>
      <sheetName val=" TH331"/>
      <sheetName val=" Minh ha"/>
      <sheetName val="HTay03"/>
      <sheetName val=" Ha Tay"/>
      <sheetName val="tw2"/>
      <sheetName val=" Vinhphuc"/>
      <sheetName val=" Nbinh"/>
      <sheetName val=" QVinh"/>
      <sheetName val=" TW1"/>
      <sheetName val="T.so thay doi"/>
      <sheetName val="BTHDT_DZcaothe"/>
      <sheetName val="BTHDT_TBA"/>
      <sheetName val="THXL_DZcaothe"/>
      <sheetName val="TN_DZcaothe"/>
      <sheetName val="b.THchitietDZCT"/>
      <sheetName val="tr_tinhDZcaothe"/>
      <sheetName val="THXL_TBA"/>
      <sheetName val="TN_TBA"/>
      <sheetName val="b.THchitietTBA"/>
      <sheetName val="tr_tinhTBA"/>
      <sheetName val="Khao sat"/>
      <sheetName val="TT khao sat"/>
      <sheetName val="Sheet6"/>
      <sheetName val="tb1"/>
      <sheetName val="Congty"/>
      <sheetName val="VPPN"/>
      <sheetName val="XN74"/>
      <sheetName val="XN54"/>
      <sheetName val="XN33"/>
      <sheetName val="NK96"/>
      <sheetName val="XL4Test5"/>
      <sheetName val="tong hop"/>
      <sheetName val="phan tich DG"/>
      <sheetName val="gia vat lieu"/>
      <sheetName val="gia xe may"/>
      <sheetName val="gia nhan cong"/>
      <sheetName val="Km274 - Km275"/>
      <sheetName val="Km275 - Km276"/>
      <sheetName val="Km276 - Km277"/>
      <sheetName val="Km277 - Km278 "/>
      <sheetName val="Km278 - Km279"/>
      <sheetName val="Km279 - Km280"/>
      <sheetName val="Km280 - Km281"/>
      <sheetName val="Km281 - Km282"/>
      <sheetName val="Km282 - Km283"/>
      <sheetName val="Km283 - Km284"/>
      <sheetName val="Km284 - Km285"/>
      <sheetName val="Tong hop Matduong"/>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Tong hop (2)"/>
      <sheetName val="Cong"/>
      <sheetName val="Cong cu"/>
      <sheetName val="Dinhhinh"/>
      <sheetName val="Cot thep"/>
      <sheetName val="Cong tron D75"/>
      <sheetName val="Cong tron D100"/>
      <sheetName val="Cong tron D150"/>
      <sheetName val="Cong tron 2D150"/>
      <sheetName val="Cong ban 1,0x1,0"/>
      <sheetName val="Cong ban 1,0x1,2"/>
      <sheetName val="Cong hop 1,5x1,5"/>
      <sheetName val="Cong hop 2,0x1,5"/>
      <sheetName val="Cong hop 2,0x2,0"/>
      <sheetName val="VtuHaTheSauTramBT3"/>
      <sheetName val="VtuHaTheSauTRamBT9"/>
      <sheetName val="VtuHaTheSautramLienThang"/>
      <sheetName val="VTuHaTheSautramBT5"/>
      <sheetName val="VTuHaTheSautramBT2"/>
      <sheetName val="VtuHaTheSautramTTCocSoi"/>
      <sheetName val="VtuHaTheSauTBAKhoi13"/>
      <sheetName val="VtuHaTheSauTBAKhoi12"/>
      <sheetName val="VtuHaTheSauTBANgDu4"/>
      <sheetName val="VtuHaTheSauTBAHungThuy"/>
      <sheetName val="VtuHaTheSauTBAHaiSan"/>
      <sheetName val="VtuHaTheSauTBANgVanTroi1"/>
      <sheetName val="VtuHaTheSauTBANgVanTroi2"/>
      <sheetName val="VtuHaTheSauTBANguyenDu2"/>
      <sheetName val="VtuHaTheSauTBANguyenDu6"/>
      <sheetName val="VtuHaTheSauTBABenThuy1"/>
      <sheetName val="VatTuThuHoi"/>
      <sheetName val="VtuHaTheSauTBABenThuy1 (2)"/>
      <sheetName val="KM"/>
      <sheetName val="KHOANMUC"/>
      <sheetName val="QTNC"/>
      <sheetName val="CPQL"/>
      <sheetName val="SANLUONG"/>
      <sheetName val="SSCP-SL"/>
      <sheetName val="CPSX"/>
      <sheetName val="CDSL (2)"/>
      <sheetName val="THVDT"/>
      <sheetName val="NCLD"/>
      <sheetName val="MMTB"/>
      <sheetName val="CFSX"/>
      <sheetName val="KQ"/>
      <sheetName val="DTSL"/>
      <sheetName val="XDCBK"/>
      <sheetName val="KHTSCD"/>
      <sheetName val="XDCB"/>
      <sheetName val="F ThanhTri"/>
      <sheetName val="F Gialam"/>
      <sheetName val="DG"/>
      <sheetName val="TH dam"/>
      <sheetName val="SX dam"/>
      <sheetName val="LD dam"/>
      <sheetName val="Bang gia VL"/>
      <sheetName val="Gia NC"/>
      <sheetName val="Gia may"/>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rich Ngang"/>
      <sheetName val="Danh sach Rieng"/>
      <sheetName val="Dia Diem Thuc Tap"/>
      <sheetName val="De Tai Thuc Tap"/>
      <sheetName val="XXXXXX_xda24_X"/>
      <sheetName val="Tonghop"/>
      <sheetName val="Sheet7"/>
      <sheetName val="Napheo-SPP"/>
      <sheetName val="VPLaichau"/>
      <sheetName val="VPTruongson"/>
      <sheetName val="D9"/>
      <sheetName val="TLNamChim"/>
      <sheetName val="Dancau-Q.Ninh"/>
      <sheetName val="D91"/>
      <sheetName val="Kenhta-himlam"/>
      <sheetName val="TCQ5-"/>
      <sheetName val="HDkhoanduoc"/>
      <sheetName val="TCQ1-4"/>
      <sheetName val="Khac"/>
      <sheetName val="BaTrieu-L.son"/>
      <sheetName val="SBayDBien"/>
      <sheetName val="QL32YB(12)"/>
      <sheetName val="QL32AYB"/>
      <sheetName val="THSonNam"/>
      <sheetName val="Coquan"/>
      <sheetName val="Quoclo6mchau"/>
      <sheetName val="QLo4B-LS"/>
      <sheetName val="Phanthiet"/>
      <sheetName val="Muongnhe"/>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HHVt "/>
      <sheetName val="D1"/>
      <sheetName val="D2"/>
      <sheetName val="D3"/>
      <sheetName val="D4"/>
      <sheetName val="D5"/>
      <sheetName val="D6"/>
      <sheetName val="Tay ninh"/>
      <sheetName val="A.Duc"/>
      <sheetName val="TH"/>
      <sheetName val="TH2003"/>
      <sheetName val="GVL"/>
      <sheetName val="giai thich"/>
      <sheetName val="Heso"/>
      <sheetName val="CTDG"/>
      <sheetName val="DT - Ro"/>
      <sheetName val="TH - Ro "/>
      <sheetName val="GDT - Ro"/>
      <sheetName val="DT - TB"/>
      <sheetName val="TH - TB"/>
      <sheetName val="GDT - TB"/>
      <sheetName val="DT - NT"/>
      <sheetName val="TH - NT"/>
      <sheetName val="GDT - NT"/>
      <sheetName val="THGT"/>
      <sheetName val="socai2003-6tc"/>
      <sheetName val="SCT Cong trinh"/>
      <sheetName val="06-2003 (2)"/>
      <sheetName val="CDPS 6tc"/>
      <sheetName val="SCT Nha thau"/>
      <sheetName val="socai2003 (6tc)dp"/>
      <sheetName val="socai2003 (6tc)"/>
      <sheetName val="CDPS 6tc (2)"/>
      <sheetName val="20000000"/>
      <sheetName val="Thau"/>
      <sheetName val="CT-BT"/>
      <sheetName val="Xa"/>
      <sheetName val="TH du toan "/>
      <sheetName val="Du toan "/>
      <sheetName val="C.Tinh"/>
      <sheetName val="TK_cap"/>
      <sheetName val="Sheet10"/>
      <sheetName val="CT 03"/>
      <sheetName val="TH 03"/>
      <sheetName val="Don gia CPM"/>
      <sheetName val="Tong Thieu HD cac CT-2001"/>
      <sheetName val="VL thieu HD - 2001"/>
      <sheetName val="Tong thieu HD cac CT - 2002"/>
      <sheetName val="Lan trai"/>
      <sheetName val="Van chuyen"/>
      <sheetName val="Vchuyen(C)"/>
      <sheetName val="HDong VC"/>
      <sheetName val="ThieuHD nam 2001"/>
      <sheetName val="CPChung"/>
      <sheetName val="Bang TH"/>
      <sheetName val="Tong Chinh"/>
      <sheetName val="000000000000"/>
      <sheetName val="100000000000"/>
      <sheetName val="200000000000"/>
      <sheetName val="300000000000"/>
      <sheetName val="Ctieucnghe(12-03"/>
      <sheetName val="DmdbTVN"/>
      <sheetName val="Hsdancach"/>
      <sheetName val="TanLap"/>
      <sheetName val="CaoThang"/>
      <sheetName val="GiapKhau"/>
      <sheetName val="917"/>
      <sheetName val="CBTT"/>
      <sheetName val="TramKCS"/>
      <sheetName val="Tohop1(LD"/>
      <sheetName val="Tohop2(QL&amp;an"/>
      <sheetName val="ThunhapBQ"/>
      <sheetName val="QDgiao1"/>
      <sheetName val="So sanh"/>
      <sheetName val="NCxdcb"/>
      <sheetName val="BangTH"/>
      <sheetName val="Xaylap "/>
      <sheetName val="Nhan cong"/>
      <sheetName val="Thietbi"/>
      <sheetName val="Diengiai"/>
      <sheetName val="Vanchuyen"/>
      <sheetName val=" KQTH quy hoach 135"/>
      <sheetName val="Bao cao KQTH quy hoach 135"/>
      <sheetName val="Co~g hop 1,5x1,5"/>
      <sheetName val="DATA"/>
      <sheetName val="CamPha"/>
      <sheetName val="MongCai"/>
      <sheetName val="30000000"/>
      <sheetName val="40000000"/>
      <sheetName val="50000000"/>
      <sheetName val="60000000"/>
      <sheetName val="70000000"/>
      <sheetName val="Heso 3-2004 (3)"/>
      <sheetName val="Luong (2)"/>
      <sheetName val="heso T3"/>
      <sheetName val="heso T4"/>
      <sheetName val="heso T5"/>
      <sheetName val="Heso T6"/>
      <sheetName val="Heso T7"/>
      <sheetName val="Heso T8"/>
      <sheetName val="Heso T9"/>
      <sheetName val="Heso 2-2004"/>
      <sheetName val="Heso 3-2004"/>
      <sheetName val="chamcong"/>
      <sheetName val="Baocao"/>
      <sheetName val="Heso 3-2004 (2)"/>
      <sheetName val="Nhap_lieu"/>
      <sheetName val="Khoiluong"/>
      <sheetName val="Vattu"/>
      <sheetName val="Trungchuyen"/>
      <sheetName val="Bu"/>
      <sheetName val="Chitiet"/>
      <sheetName val="Tkedotuoi"/>
      <sheetName val="Tkebactho"/>
      <sheetName val="nhan su"/>
      <sheetName val="2020"/>
      <sheetName val="luong cty"/>
      <sheetName val="bangluong"/>
      <sheetName val="Tkecong"/>
      <sheetName val="thunhap03"/>
      <sheetName val="thungoaiSCTX"/>
      <sheetName val="TRICH73"/>
      <sheetName val="cn"/>
      <sheetName val="ct"/>
      <sheetName val="Nc"/>
      <sheetName val="pt"/>
      <sheetName val="ql"/>
      <sheetName val="ql (2)"/>
      <sheetName val="4"/>
      <sheetName val="Sheet13"/>
      <sheetName val="Sheet14"/>
      <sheetName val="Sheet15"/>
      <sheetName val="Sheet16"/>
      <sheetName val="T03 - 03"/>
      <sheetName val="AncaT03"/>
      <sheetName val="THL T03"/>
      <sheetName val="TTBC T03"/>
      <sheetName val="Luong noi Bo - T3"/>
      <sheetName val="Tong hop - T3"/>
      <sheetName val="Thuong Quy 3"/>
      <sheetName val="LBS"/>
      <sheetName val="Phu cap trach nhiem"/>
      <sheetName val="tmt4"/>
      <sheetName val="t3-01"/>
      <sheetName val="t4-01"/>
      <sheetName val="t5-01"/>
      <sheetName val="t6-01"/>
      <sheetName val="t7-01"/>
      <sheetName val="t8-01"/>
      <sheetName val="t9-01"/>
      <sheetName val="t10-01"/>
      <sheetName val="t11-01"/>
      <sheetName val="t12-"/>
      <sheetName val="t3"/>
      <sheetName val="t4"/>
      <sheetName val="t5"/>
      <sheetName val="t06"/>
      <sheetName val="t07"/>
      <sheetName val="t08"/>
      <sheetName val="t09"/>
      <sheetName val="t11"/>
      <sheetName val="t12"/>
      <sheetName val="0103"/>
      <sheetName val="0203"/>
      <sheetName val="th-nop"/>
      <sheetName val="20+590"/>
      <sheetName val="20+1218"/>
      <sheetName val="22+456"/>
      <sheetName val="23+200"/>
      <sheetName val="23+327"/>
      <sheetName val="23+468"/>
      <sheetName val="23+563"/>
      <sheetName val="24+520"/>
      <sheetName val="25"/>
      <sheetName val="Luu goc"/>
      <sheetName val="km22+93.86-km22+121.86"/>
      <sheetName val="km22+177.14-km22+205.64"/>
      <sheetName val="Bang 20-25"/>
      <sheetName val="km22+267.96-km22+283.96"/>
      <sheetName val="km22+304.31-km22+344.31"/>
      <sheetName val="km22+460.92-km22+614.57"/>
      <sheetName val="km22+671.78-km22+713.32"/>
      <sheetName val="[IBASE2.XLSѝTNHNoi"/>
      <sheetName val="TH_BQ"/>
      <sheetName val="L-THANG03"/>
      <sheetName val="L-THANG04"/>
      <sheetName val="luongthuong"/>
      <sheetName val="tkcb-cnv"/>
      <sheetName val="KETQUAHOC"/>
      <sheetName val="KHACHSAN"/>
      <sheetName val="THANHTOAN"/>
      <sheetName val="BC-BANHANG"/>
      <sheetName val="DOANH SO"/>
      <sheetName val="BD-SINH VIEN"/>
      <sheetName val="luongsanpham"/>
      <sheetName val="TUYENSINH02"/>
      <sheetName val="cuocphi"/>
      <sheetName val="banhang"/>
      <sheetName val="bh-thang4"/>
      <sheetName val="BC TH CK (2)"/>
      <sheetName val="BC TH CK"/>
      <sheetName val="BC6tT19 food"/>
      <sheetName val="BC6tT19"/>
      <sheetName val="BC6tT18"/>
      <sheetName val="BC6tT18 - Food"/>
      <sheetName val="CTTH"/>
      <sheetName val="BC6tT17"/>
      <sheetName val="BCCK 4"/>
      <sheetName val="BCFood- T16"/>
      <sheetName val="BC6tT16"/>
      <sheetName val="BCFood- T15"/>
      <sheetName val="BC6tT15"/>
      <sheetName val="BCFood- T14"/>
      <sheetName val="BC6tT14"/>
      <sheetName val="BCFood- T13"/>
      <sheetName val="BC6tT13"/>
      <sheetName val="THCK3"/>
      <sheetName val="BC6tT12"/>
      <sheetName val="BC6tT11"/>
      <sheetName val="BC6tT10"/>
      <sheetName val="BC6tT9"/>
      <sheetName val="TH CK2"/>
      <sheetName val="BC6tT8"/>
      <sheetName val="BC6tT7"/>
      <sheetName val="BC6tT5"/>
      <sheetName val="BC6tT52 (3)"/>
      <sheetName val="BCTH"/>
      <sheetName val="BC6tT4"/>
      <sheetName val="BC6tT3"/>
      <sheetName val="BC6tT2"/>
      <sheetName val="BC6tT1"/>
      <sheetName val="BC6tT52 (2)"/>
      <sheetName val="BC6tT52"/>
      <sheetName val="BC6tT51"/>
      <sheetName val="BC6tT50"/>
      <sheetName val="BC6tT49"/>
      <sheetName val="TCK 12"/>
      <sheetName val="BC6tT48"/>
      <sheetName val="BC6tT47"/>
      <sheetName val="BC6tT46"/>
      <sheetName val="BC6tT45"/>
      <sheetName val="Tong CK"/>
      <sheetName val="BC6tT44"/>
      <sheetName val="BC6tT43"/>
      <sheetName val="BC6t"/>
      <sheetName val="T42"/>
      <sheetName val="T41"/>
      <sheetName val="T40"/>
      <sheetName val="T.K H.T.T5"/>
      <sheetName val="T.K T7"/>
      <sheetName val="TK T6"/>
      <sheetName val="T.K T5"/>
      <sheetName val="Bang thong ke hang ton"/>
      <sheetName val="thong ke "/>
      <sheetName val="T.KT04"/>
      <sheetName val="tô rôiDY"/>
      <sheetName val="ATCANING"/>
      <sheetName val="KNH"/>
      <sheetName val="KVF"/>
      <sheetName val="Hoada"/>
      <sheetName val="Nguphuc"/>
      <sheetName val="TCH"/>
      <sheetName val="TTT"/>
      <sheetName val="TVK"/>
      <sheetName val="Tuichuom"/>
      <sheetName val="NKDT"/>
      <sheetName val="Vitagin"/>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THQI"/>
      <sheetName val="T6"/>
      <sheetName val="THQII"/>
      <sheetName val="Trung"/>
      <sheetName val="THQIII"/>
      <sheetName val="THT nam 04"/>
      <sheetName val="DTCT"/>
      <sheetName val="PTVT"/>
      <sheetName val="THVT"/>
      <sheetName val="Coc 6"/>
      <sheetName val="Deo nai"/>
      <sheetName val="CKD than"/>
      <sheetName val="CTT Thong nhat"/>
      <sheetName val="CTT Nui beo"/>
      <sheetName val="CTT cao son"/>
      <sheetName val="HD1"/>
      <sheetName val="HD4"/>
      <sheetName val="Thi_sinh"/>
      <sheetName val="Luong"/>
      <sheetName val="HethongDebai"/>
      <sheetName val="TH131"/>
      <sheetName val="TH155&amp;156"/>
      <sheetName val="TH152"/>
      <sheetName val="TH153"/>
      <sheetName val="TH331"/>
      <sheetName val="KhoDL"/>
      <sheetName val="THSPHH"/>
      <sheetName val="THVL"/>
      <sheetName val="DMTK"/>
      <sheetName val="DMKH"/>
      <sheetName val="DMNB"/>
      <sheetName val="DMNV"/>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BT1"/>
      <sheetName val="BT2"/>
      <sheetName val="BT3"/>
      <sheetName val="BT4"/>
      <sheetName val="BT5"/>
      <sheetName val="BT6"/>
      <sheetName val="BT7"/>
      <sheetName val="bt08"/>
      <sheetName val="bt9"/>
      <sheetName val="BT10"/>
      <sheetName val="bt11"/>
      <sheetName val="BT12"/>
      <sheetName val="BT13"/>
      <sheetName val="BT14"/>
      <sheetName val="bt15"/>
      <sheetName val="BT16"/>
      <sheetName val="BT18"/>
      <sheetName val="BTH"/>
      <sheetName val="luongt 13"/>
      <sheetName val="LUONG 1"/>
      <sheetName val="LUONG 2"/>
      <sheetName val="LUONG 3"/>
      <sheetName val="Luong 4"/>
      <sheetName val="CTP 4"/>
      <sheetName val="Thuno"/>
      <sheetName val="Anca 4"/>
      <sheetName val="THUONG TET"/>
      <sheetName val="thuong"/>
      <sheetName val="HD3"/>
      <sheetName val="HD5"/>
      <sheetName val="HD7"/>
      <sheetName val="HD6"/>
      <sheetName val="HD2"/>
      <sheetName val="IBASE2"/>
      <sheetName val="Nhap lieu"/>
      <sheetName val="PGT"/>
      <sheetName val="Tien dien"/>
      <sheetName val="Thue GTGT"/>
      <sheetName val="GIA NUOC"/>
      <sheetName val="GIA DIEN THOAI"/>
      <sheetName val="GIA DIEN"/>
      <sheetName val="chiet tinh XD"/>
      <sheetName val="Triet T"/>
      <sheetName val="Phan tich gia"/>
      <sheetName val="pHAN CONG"/>
      <sheetName val="GIA XD"/>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bcth 05-04"/>
      <sheetName val="baocao 05-04"/>
      <sheetName val="bcth04-04"/>
      <sheetName val="baocao04-04"/>
      <sheetName val="bcth03-04"/>
      <sheetName val="baocao03-04"/>
      <sheetName val="bcth02-04"/>
      <sheetName val="baocao02-04"/>
      <sheetName val="bcth01-04"/>
      <sheetName val="baocao01-04"/>
      <sheetName val="CV di trong  dong"/>
      <sheetName val=".tuanM"/>
      <sheetName val="KQKDKT#04-1"/>
      <sheetName val="T8-9)"/>
      <sheetName val="VtuHaTheSauTBABenThuy1 Ш2)"/>
      <sheetName val="T4-99_x0005__x0000__x0000_T5-99"/>
      <sheetName val="[IBASE2.XLS뭝êm283-Km284"/>
      <sheetName val=""/>
      <sheetName val="BCDSPS"/>
      <sheetName val="BCDKT"/>
      <sheetName val="BaTrieu-L.con"/>
      <sheetName val="EDT - Ro"/>
      <sheetName val="CoquyTM"/>
      <sheetName val="Bia1"/>
      <sheetName val="Bia"/>
      <sheetName val="CHITIET VL-NCHT1 (2)"/>
      <sheetName val="Chart3"/>
      <sheetName val="Chart2"/>
      <sheetName val="Km282-Km_x0003__x0000_3"/>
    </sheetNames>
    <sheetDataSet>
      <sheetData sheetId="0" refreshError="1">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H17" t="str">
            <v>ERLP</v>
          </cell>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L18">
            <v>0</v>
          </cell>
          <cell r="AM18">
            <v>1</v>
          </cell>
          <cell r="AN18">
            <v>8.44</v>
          </cell>
          <cell r="AO18">
            <v>9</v>
          </cell>
          <cell r="AP18">
            <v>0</v>
          </cell>
          <cell r="AQ18">
            <v>45</v>
          </cell>
          <cell r="AR18">
            <v>42.22</v>
          </cell>
          <cell r="AS18">
            <v>0</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AZCP</v>
          </cell>
          <cell r="AI20" t="str">
            <v xml:space="preserve">ALKYD ZINC CHROMATE PRIMER </v>
          </cell>
          <cell r="AJ20" t="str">
            <v>0111</v>
          </cell>
          <cell r="AK20" t="str">
            <v>907(OP-93)</v>
          </cell>
          <cell r="AL20" t="str">
            <v>240</v>
          </cell>
          <cell r="AM20">
            <v>1</v>
          </cell>
          <cell r="AN20">
            <v>10.9</v>
          </cell>
          <cell r="AO20">
            <v>10.6</v>
          </cell>
          <cell r="AP20">
            <v>9</v>
          </cell>
          <cell r="AQ20">
            <v>40.369999999999997</v>
          </cell>
          <cell r="AR20">
            <v>41.51</v>
          </cell>
          <cell r="AS20">
            <v>40.89</v>
          </cell>
          <cell r="AT20">
            <v>440</v>
          </cell>
          <cell r="AU20">
            <v>440</v>
          </cell>
          <cell r="AV20">
            <v>368</v>
          </cell>
        </row>
        <row r="21">
          <cell r="AH21" t="str">
            <v>ROP</v>
          </cell>
          <cell r="AI21" t="str">
            <v xml:space="preserve">RED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L24">
            <v>0</v>
          </cell>
          <cell r="AM24">
            <v>1</v>
          </cell>
          <cell r="AN24">
            <v>11.8</v>
          </cell>
          <cell r="AO24">
            <v>9.4</v>
          </cell>
          <cell r="AP24">
            <v>0</v>
          </cell>
          <cell r="AQ24">
            <v>36.44</v>
          </cell>
          <cell r="AR24">
            <v>37.229999999999997</v>
          </cell>
          <cell r="AS24">
            <v>0</v>
          </cell>
          <cell r="AT24">
            <v>430</v>
          </cell>
          <cell r="AU24">
            <v>350</v>
          </cell>
        </row>
        <row r="25">
          <cell r="AH25" t="str">
            <v>AE</v>
          </cell>
          <cell r="AI25" t="str">
            <v xml:space="preserve">ALKYD ENAMEL </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K27">
            <v>0</v>
          </cell>
          <cell r="AL27" t="str">
            <v>800</v>
          </cell>
          <cell r="AM27">
            <v>1</v>
          </cell>
          <cell r="AN27">
            <v>19.16</v>
          </cell>
          <cell r="AO27">
            <v>0</v>
          </cell>
          <cell r="AP27">
            <v>17.8</v>
          </cell>
          <cell r="AQ27">
            <v>26.1</v>
          </cell>
          <cell r="AR27">
            <v>0</v>
          </cell>
          <cell r="AS27">
            <v>37.869999999999997</v>
          </cell>
          <cell r="AT27">
            <v>500</v>
          </cell>
          <cell r="AU27">
            <v>0</v>
          </cell>
          <cell r="AV27">
            <v>674</v>
          </cell>
        </row>
        <row r="28">
          <cell r="AH28" t="str">
            <v>GP</v>
          </cell>
          <cell r="AI28" t="str">
            <v xml:space="preserve">GALVAN. STEEL SHEET EHULSION PAINT </v>
          </cell>
          <cell r="AJ28">
            <v>0</v>
          </cell>
          <cell r="AK28" t="str">
            <v>100(OM-12)</v>
          </cell>
          <cell r="AL28">
            <v>0</v>
          </cell>
          <cell r="AM28">
            <v>1</v>
          </cell>
          <cell r="AN28">
            <v>0</v>
          </cell>
          <cell r="AO28">
            <v>14.3</v>
          </cell>
          <cell r="AP28">
            <v>0</v>
          </cell>
          <cell r="AQ28">
            <v>0</v>
          </cell>
          <cell r="AR28">
            <v>47.55</v>
          </cell>
          <cell r="AS28">
            <v>0</v>
          </cell>
          <cell r="AT28">
            <v>0</v>
          </cell>
          <cell r="AU28">
            <v>680</v>
          </cell>
        </row>
        <row r="29">
          <cell r="AI29" t="str">
            <v xml:space="preserve">EPOXY RESIN </v>
          </cell>
        </row>
        <row r="30">
          <cell r="AH30" t="str">
            <v>ERLP</v>
          </cell>
          <cell r="AI30" t="str">
            <v xml:space="preserve">EPOXY RED LEAD PRIMER </v>
          </cell>
          <cell r="AJ30" t="str">
            <v>0401</v>
          </cell>
          <cell r="AK30" t="str">
            <v>1007(EP-01)</v>
          </cell>
          <cell r="AL30">
            <v>0</v>
          </cell>
          <cell r="AM30">
            <v>1</v>
          </cell>
          <cell r="AN30">
            <v>13.7</v>
          </cell>
          <cell r="AO30">
            <v>11.9</v>
          </cell>
          <cell r="AP30">
            <v>0</v>
          </cell>
          <cell r="AQ30">
            <v>41.61</v>
          </cell>
          <cell r="AR30">
            <v>47.9</v>
          </cell>
          <cell r="AS30">
            <v>0</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P36">
            <v>0</v>
          </cell>
          <cell r="AQ36">
            <v>50.63</v>
          </cell>
          <cell r="AR36">
            <v>52.63</v>
          </cell>
          <cell r="AS36">
            <v>0</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15.6</v>
          </cell>
          <cell r="AP37">
            <v>30.3</v>
          </cell>
          <cell r="AQ37">
            <v>56.7</v>
          </cell>
          <cell r="AR37">
            <v>64.099999999999994</v>
          </cell>
          <cell r="AS37">
            <v>42.9</v>
          </cell>
          <cell r="AT37">
            <v>1100</v>
          </cell>
          <cell r="AU37">
            <v>1000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L39">
            <v>0</v>
          </cell>
          <cell r="AM39">
            <v>1</v>
          </cell>
          <cell r="AN39">
            <v>27.3</v>
          </cell>
          <cell r="AO39">
            <v>15.7</v>
          </cell>
          <cell r="AP39">
            <v>0</v>
          </cell>
          <cell r="AQ39">
            <v>40.29</v>
          </cell>
          <cell r="AR39">
            <v>38.22</v>
          </cell>
          <cell r="AS39">
            <v>0</v>
          </cell>
          <cell r="AT39">
            <v>1100</v>
          </cell>
          <cell r="AU39">
            <v>600</v>
          </cell>
        </row>
        <row r="40">
          <cell r="AH40" t="str">
            <v>HBEP</v>
          </cell>
          <cell r="AI40" t="str">
            <v>HIGH BUILD EPOXY POLYAMINE CURED</v>
          </cell>
          <cell r="AJ40" t="str">
            <v>4418(A-418)</v>
          </cell>
          <cell r="AK40" t="str">
            <v>1015</v>
          </cell>
          <cell r="AL40">
            <v>0</v>
          </cell>
          <cell r="AM40">
            <v>1</v>
          </cell>
          <cell r="AN40">
            <v>18.3</v>
          </cell>
          <cell r="AO40">
            <v>13.1</v>
          </cell>
          <cell r="AP40">
            <v>0</v>
          </cell>
          <cell r="AQ40">
            <v>65.569999999999993</v>
          </cell>
          <cell r="AR40">
            <v>83.97</v>
          </cell>
          <cell r="AS40">
            <v>0</v>
          </cell>
          <cell r="AT40">
            <v>1200</v>
          </cell>
          <cell r="AU40">
            <v>1100</v>
          </cell>
        </row>
        <row r="41">
          <cell r="AH41" t="str">
            <v>HSCP</v>
          </cell>
          <cell r="AI41" t="str">
            <v>HIGH SOILD EPOXY POLYAMINE CURED PRIMER</v>
          </cell>
          <cell r="AJ41" t="str">
            <v>4418(A-448)</v>
          </cell>
          <cell r="AK41">
            <v>1017</v>
          </cell>
          <cell r="AL41">
            <v>0</v>
          </cell>
          <cell r="AM41">
            <v>1</v>
          </cell>
          <cell r="AN41">
            <v>20.309999999999999</v>
          </cell>
          <cell r="AO41">
            <v>13.1</v>
          </cell>
          <cell r="AP41">
            <v>0</v>
          </cell>
          <cell r="AQ41">
            <v>64</v>
          </cell>
          <cell r="AR41">
            <v>83.97</v>
          </cell>
          <cell r="AS41">
            <v>0</v>
          </cell>
          <cell r="AT41">
            <v>1300</v>
          </cell>
          <cell r="AU41">
            <v>1100</v>
          </cell>
        </row>
        <row r="42">
          <cell r="AH42" t="str">
            <v>EEA</v>
          </cell>
          <cell r="AI42" t="str">
            <v>EPOXY ENAMEL AMINE ADDUCT CURED</v>
          </cell>
          <cell r="AJ42" t="str">
            <v>4450(A-500)</v>
          </cell>
          <cell r="AK42" t="str">
            <v>1014</v>
          </cell>
          <cell r="AL42">
            <v>0</v>
          </cell>
          <cell r="AM42">
            <v>1</v>
          </cell>
          <cell r="AN42">
            <v>23.8</v>
          </cell>
          <cell r="AO42">
            <v>11.4</v>
          </cell>
          <cell r="AP42">
            <v>0</v>
          </cell>
          <cell r="AQ42">
            <v>37.82</v>
          </cell>
          <cell r="AR42">
            <v>83.33</v>
          </cell>
          <cell r="AS42">
            <v>0</v>
          </cell>
          <cell r="AT42">
            <v>900</v>
          </cell>
          <cell r="AU42">
            <v>950</v>
          </cell>
        </row>
        <row r="43">
          <cell r="AH43" t="str">
            <v>NEP</v>
          </cell>
          <cell r="AI43" t="str">
            <v>NON-REACTIVE EPOXY PRIMER</v>
          </cell>
          <cell r="AJ43" t="str">
            <v>4405(A-505)</v>
          </cell>
          <cell r="AK43">
            <v>0</v>
          </cell>
          <cell r="AL43">
            <v>0</v>
          </cell>
          <cell r="AM43">
            <v>1</v>
          </cell>
          <cell r="AN43">
            <v>19.2</v>
          </cell>
          <cell r="AO43">
            <v>0</v>
          </cell>
          <cell r="AP43">
            <v>0</v>
          </cell>
          <cell r="AQ43">
            <v>41.67</v>
          </cell>
          <cell r="AR43">
            <v>0</v>
          </cell>
          <cell r="AS43">
            <v>0</v>
          </cell>
          <cell r="AT43">
            <v>800</v>
          </cell>
        </row>
        <row r="44">
          <cell r="AH44" t="str">
            <v>ZCOP</v>
          </cell>
          <cell r="AI44" t="str">
            <v xml:space="preserve">ZINC CHROMATE-RED OXIDE/EPOXY PRIMER </v>
          </cell>
          <cell r="AJ44" t="str">
            <v>4451(A-510)</v>
          </cell>
          <cell r="AK44" t="str">
            <v>1016</v>
          </cell>
          <cell r="AL44" t="str">
            <v>530</v>
          </cell>
          <cell r="AM44">
            <v>1</v>
          </cell>
          <cell r="AN44">
            <v>18.2</v>
          </cell>
          <cell r="AO44">
            <v>8.1999999999999993</v>
          </cell>
          <cell r="AP44">
            <v>15.5</v>
          </cell>
          <cell r="AQ44">
            <v>42.86</v>
          </cell>
          <cell r="AR44">
            <v>85.37</v>
          </cell>
          <cell r="AS44">
            <v>36.450000000000003</v>
          </cell>
          <cell r="AT44">
            <v>780</v>
          </cell>
          <cell r="AU44">
            <v>700</v>
          </cell>
          <cell r="AV44">
            <v>565</v>
          </cell>
        </row>
        <row r="45">
          <cell r="AH45" t="str">
            <v>EPC</v>
          </cell>
          <cell r="AI45" t="str">
            <v xml:space="preserve">EPOXY ENAMEL/POLYAMIDE CURED </v>
          </cell>
          <cell r="AJ45" t="str">
            <v>4415(A-515)</v>
          </cell>
          <cell r="AK45">
            <v>0</v>
          </cell>
          <cell r="AL45">
            <v>0</v>
          </cell>
          <cell r="AM45">
            <v>1</v>
          </cell>
          <cell r="AN45">
            <v>19.8</v>
          </cell>
          <cell r="AO45">
            <v>0</v>
          </cell>
          <cell r="AP45">
            <v>0</v>
          </cell>
          <cell r="AQ45">
            <v>42.93</v>
          </cell>
          <cell r="AR45">
            <v>0</v>
          </cell>
          <cell r="AS45">
            <v>0</v>
          </cell>
          <cell r="AT45">
            <v>850</v>
          </cell>
        </row>
        <row r="46">
          <cell r="AH46" t="str">
            <v>4425(A-525)</v>
          </cell>
          <cell r="AI46" t="str">
            <v>EPOXY NON-SKID SURFACING</v>
          </cell>
          <cell r="AJ46" t="str">
            <v>4425(A-525)</v>
          </cell>
          <cell r="AK46" t="str">
            <v>1018</v>
          </cell>
          <cell r="AL46">
            <v>0</v>
          </cell>
          <cell r="AM46">
            <v>1</v>
          </cell>
          <cell r="AN46">
            <v>18</v>
          </cell>
          <cell r="AO46">
            <v>31.3</v>
          </cell>
          <cell r="AP46">
            <v>0</v>
          </cell>
          <cell r="AQ46">
            <v>37.78</v>
          </cell>
          <cell r="AR46">
            <v>47.92</v>
          </cell>
          <cell r="AS46">
            <v>0</v>
          </cell>
          <cell r="AT46">
            <v>680</v>
          </cell>
          <cell r="AU46">
            <v>1500</v>
          </cell>
        </row>
        <row r="47">
          <cell r="AH47" t="str">
            <v>EPAP</v>
          </cell>
          <cell r="AI47" t="str">
            <v>EPOXY-POLYAMIDE,ALLOY PRIMER.</v>
          </cell>
          <cell r="AJ47" t="str">
            <v>4465(A-650)</v>
          </cell>
          <cell r="AK47">
            <v>1020</v>
          </cell>
          <cell r="AL47">
            <v>0</v>
          </cell>
          <cell r="AM47">
            <v>1</v>
          </cell>
          <cell r="AN47">
            <v>21</v>
          </cell>
          <cell r="AO47">
            <v>26.92</v>
          </cell>
          <cell r="AP47">
            <v>0</v>
          </cell>
          <cell r="AQ47">
            <v>42.86</v>
          </cell>
          <cell r="AR47">
            <v>13</v>
          </cell>
          <cell r="AS47">
            <v>0</v>
          </cell>
          <cell r="AT47">
            <v>900</v>
          </cell>
          <cell r="AU47">
            <v>350</v>
          </cell>
        </row>
        <row r="48">
          <cell r="AI48" t="str">
            <v>LEAD SILICO CHROMATE EP.PRI./POLYAMIDE CURED</v>
          </cell>
          <cell r="AJ48" t="str">
            <v>4430(A-530)</v>
          </cell>
          <cell r="AK48">
            <v>0</v>
          </cell>
          <cell r="AL48">
            <v>0</v>
          </cell>
          <cell r="AM48">
            <v>1</v>
          </cell>
          <cell r="AN48">
            <v>21.97</v>
          </cell>
          <cell r="AO48">
            <v>0</v>
          </cell>
          <cell r="AP48">
            <v>0</v>
          </cell>
          <cell r="AQ48">
            <v>37.78</v>
          </cell>
          <cell r="AR48">
            <v>0</v>
          </cell>
          <cell r="AS48">
            <v>0</v>
          </cell>
          <cell r="AT48">
            <v>830</v>
          </cell>
        </row>
        <row r="49">
          <cell r="AH49" t="str">
            <v>ERLP</v>
          </cell>
          <cell r="AI49" t="str">
            <v>EPOXY RED LEAD POLYAMIDE CURED PRIMER</v>
          </cell>
          <cell r="AJ49" t="str">
            <v>4440(A-540)</v>
          </cell>
          <cell r="AK49" t="str">
            <v>1051</v>
          </cell>
          <cell r="AL49">
            <v>0</v>
          </cell>
          <cell r="AM49">
            <v>1</v>
          </cell>
          <cell r="AN49">
            <v>19.399999999999999</v>
          </cell>
          <cell r="AO49">
            <v>15.8</v>
          </cell>
          <cell r="AP49">
            <v>0</v>
          </cell>
          <cell r="AQ49">
            <v>42.78</v>
          </cell>
          <cell r="AR49">
            <v>43.04</v>
          </cell>
          <cell r="AS49">
            <v>0</v>
          </cell>
          <cell r="AT49">
            <v>830</v>
          </cell>
          <cell r="AU49">
            <v>680</v>
          </cell>
        </row>
        <row r="50">
          <cell r="AH50" t="str">
            <v>EROP</v>
          </cell>
          <cell r="AI50" t="str">
            <v>RED LEAD-RED OXIDE EP./POLYAMIDE CURED PRI.</v>
          </cell>
          <cell r="AJ50" t="str">
            <v>4445(A-545)</v>
          </cell>
          <cell r="AK50" t="str">
            <v>1060</v>
          </cell>
          <cell r="AL50">
            <v>0</v>
          </cell>
          <cell r="AM50">
            <v>1</v>
          </cell>
          <cell r="AN50">
            <v>18.7</v>
          </cell>
          <cell r="AO50">
            <v>20.9</v>
          </cell>
          <cell r="AP50">
            <v>0</v>
          </cell>
          <cell r="AQ50">
            <v>42.78</v>
          </cell>
          <cell r="AR50">
            <v>28.71</v>
          </cell>
          <cell r="AS50">
            <v>0</v>
          </cell>
          <cell r="AT50">
            <v>800</v>
          </cell>
          <cell r="AU50">
            <v>600</v>
          </cell>
        </row>
        <row r="51">
          <cell r="AH51" t="str">
            <v>ETC</v>
          </cell>
          <cell r="AI51" t="str">
            <v>TAR EPOXY COATING/AMINE CURED</v>
          </cell>
          <cell r="AJ51" t="str">
            <v>4460(A-560)</v>
          </cell>
          <cell r="AK51" t="str">
            <v>1070(EP-10)</v>
          </cell>
          <cell r="AL51">
            <v>0</v>
          </cell>
          <cell r="AM51">
            <v>1</v>
          </cell>
          <cell r="AN51">
            <v>11.69</v>
          </cell>
          <cell r="AO51">
            <v>12.2</v>
          </cell>
          <cell r="AP51">
            <v>0</v>
          </cell>
          <cell r="AQ51">
            <v>42.78</v>
          </cell>
          <cell r="AR51">
            <v>57.38</v>
          </cell>
          <cell r="AS51">
            <v>0</v>
          </cell>
          <cell r="AT51">
            <v>500</v>
          </cell>
          <cell r="AU51">
            <v>700</v>
          </cell>
          <cell r="AV51">
            <v>1500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L53">
            <v>0</v>
          </cell>
          <cell r="AM53">
            <v>1</v>
          </cell>
          <cell r="AN53">
            <v>12.6</v>
          </cell>
          <cell r="AO53">
            <v>32.1</v>
          </cell>
          <cell r="AP53">
            <v>0</v>
          </cell>
          <cell r="AQ53">
            <v>55.56</v>
          </cell>
          <cell r="AR53">
            <v>42.37</v>
          </cell>
          <cell r="AS53">
            <v>0</v>
          </cell>
          <cell r="AT53">
            <v>700</v>
          </cell>
          <cell r="AU53">
            <v>1360</v>
          </cell>
        </row>
        <row r="54">
          <cell r="AH54" t="str">
            <v>EPF</v>
          </cell>
          <cell r="AI54" t="str">
            <v>EPOXY-POLYAMINE,FINISH</v>
          </cell>
          <cell r="AJ54" t="str">
            <v>4465(A-650)</v>
          </cell>
          <cell r="AK54" t="str">
            <v>SP-08</v>
          </cell>
          <cell r="AL54">
            <v>0</v>
          </cell>
          <cell r="AM54">
            <v>1</v>
          </cell>
          <cell r="AN54">
            <v>21</v>
          </cell>
          <cell r="AO54">
            <v>24.4</v>
          </cell>
          <cell r="AP54">
            <v>0</v>
          </cell>
          <cell r="AQ54">
            <v>42.86</v>
          </cell>
          <cell r="AR54">
            <v>25</v>
          </cell>
          <cell r="AS54">
            <v>0</v>
          </cell>
          <cell r="AT54">
            <v>900</v>
          </cell>
          <cell r="AU54">
            <v>610</v>
          </cell>
        </row>
        <row r="55">
          <cell r="AH55" t="str">
            <v>EPRLP</v>
          </cell>
          <cell r="AI55" t="str">
            <v>EPOXY/POLYAMINE,RED LEAD PRIMER</v>
          </cell>
          <cell r="AJ55" t="str">
            <v>4570(A-700)</v>
          </cell>
          <cell r="AK55" t="str">
            <v>SP-09</v>
          </cell>
          <cell r="AL55">
            <v>0</v>
          </cell>
          <cell r="AM55">
            <v>1</v>
          </cell>
          <cell r="AN55">
            <v>21</v>
          </cell>
          <cell r="AO55">
            <v>32</v>
          </cell>
          <cell r="AP55">
            <v>0</v>
          </cell>
          <cell r="AQ55">
            <v>42.86</v>
          </cell>
          <cell r="AR55">
            <v>23.75</v>
          </cell>
          <cell r="AS55">
            <v>0</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EPCP</v>
          </cell>
          <cell r="AI57" t="str">
            <v>EPOXY-PHENOLIC CURED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K64">
            <v>0</v>
          </cell>
          <cell r="AL64" t="str">
            <v>531</v>
          </cell>
          <cell r="AM64">
            <v>1</v>
          </cell>
          <cell r="AN64">
            <v>13.4</v>
          </cell>
          <cell r="AO64">
            <v>0</v>
          </cell>
          <cell r="AP64">
            <v>14.5</v>
          </cell>
          <cell r="AQ64">
            <v>37.31</v>
          </cell>
          <cell r="AR64">
            <v>0</v>
          </cell>
          <cell r="AS64">
            <v>36.409999999999997</v>
          </cell>
          <cell r="AT64">
            <v>500</v>
          </cell>
          <cell r="AU64">
            <v>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K66">
            <v>0</v>
          </cell>
          <cell r="AL66" t="str">
            <v>500</v>
          </cell>
          <cell r="AM66">
            <v>1</v>
          </cell>
          <cell r="AN66">
            <v>17.2</v>
          </cell>
          <cell r="AO66">
            <v>0</v>
          </cell>
          <cell r="AP66">
            <v>15</v>
          </cell>
          <cell r="AQ66">
            <v>37.79</v>
          </cell>
          <cell r="AR66">
            <v>0</v>
          </cell>
          <cell r="AS66">
            <v>30.4</v>
          </cell>
          <cell r="AT66">
            <v>650</v>
          </cell>
          <cell r="AU66">
            <v>0</v>
          </cell>
          <cell r="AV66">
            <v>456</v>
          </cell>
        </row>
        <row r="67">
          <cell r="AH67" t="str">
            <v>CRROP</v>
          </cell>
          <cell r="AI67" t="str">
            <v xml:space="preserve">CHLORINATED RUBBER RED LEAD-RED OXIDE PRIMER </v>
          </cell>
          <cell r="AJ67" t="str">
            <v>4576(C-760)</v>
          </cell>
          <cell r="AK67">
            <v>0</v>
          </cell>
          <cell r="AL67" t="str">
            <v>550</v>
          </cell>
          <cell r="AM67">
            <v>1</v>
          </cell>
          <cell r="AN67">
            <v>15.9</v>
          </cell>
          <cell r="AO67">
            <v>0</v>
          </cell>
          <cell r="AP67">
            <v>14.8</v>
          </cell>
          <cell r="AQ67">
            <v>38.99</v>
          </cell>
          <cell r="AR67">
            <v>0</v>
          </cell>
          <cell r="AS67">
            <v>33.78</v>
          </cell>
          <cell r="AT67">
            <v>620</v>
          </cell>
          <cell r="AU67">
            <v>0</v>
          </cell>
          <cell r="AV67">
            <v>500</v>
          </cell>
        </row>
        <row r="68">
          <cell r="AH68" t="str">
            <v>VZCP</v>
          </cell>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70">
          <cell r="AH70" t="str">
            <v>HF400</v>
          </cell>
          <cell r="AI70" t="str">
            <v>HEAT-RESISTING PAINT 400'C ALUM. SERIES.</v>
          </cell>
          <cell r="AJ70" t="str">
            <v>0654</v>
          </cell>
          <cell r="AK70" t="str">
            <v>1503</v>
          </cell>
          <cell r="AL70">
            <v>0</v>
          </cell>
          <cell r="AM70">
            <v>0</v>
          </cell>
          <cell r="AN70">
            <v>0</v>
          </cell>
          <cell r="AO70">
            <v>0</v>
          </cell>
          <cell r="AP70">
            <v>0</v>
          </cell>
          <cell r="AQ70">
            <v>0</v>
          </cell>
          <cell r="AR70">
            <v>0</v>
          </cell>
          <cell r="AS70">
            <v>0</v>
          </cell>
          <cell r="AT70">
            <v>0</v>
          </cell>
          <cell r="AU70">
            <v>0</v>
          </cell>
          <cell r="AV70">
            <v>406</v>
          </cell>
        </row>
        <row r="71">
          <cell r="AI71" t="str">
            <v xml:space="preserve">SILICONE RESIN </v>
          </cell>
          <cell r="AJ71">
            <v>0</v>
          </cell>
          <cell r="AK71">
            <v>0</v>
          </cell>
          <cell r="AL71">
            <v>0</v>
          </cell>
          <cell r="AM71">
            <v>0</v>
          </cell>
          <cell r="AN71">
            <v>0</v>
          </cell>
          <cell r="AO71">
            <v>0</v>
          </cell>
          <cell r="AP71">
            <v>0</v>
          </cell>
          <cell r="AQ71">
            <v>0</v>
          </cell>
          <cell r="AR71">
            <v>0</v>
          </cell>
          <cell r="AS71">
            <v>0</v>
          </cell>
          <cell r="AT71">
            <v>440</v>
          </cell>
        </row>
        <row r="72">
          <cell r="AH72" t="str">
            <v>HP200</v>
          </cell>
          <cell r="AI72" t="str">
            <v>HEAT-RESISTING PRIMER 200'C ,SILICONE SERIES.</v>
          </cell>
          <cell r="AJ72" t="str">
            <v>0631</v>
          </cell>
          <cell r="AK72" t="str">
            <v>1512</v>
          </cell>
          <cell r="AL72">
            <v>0</v>
          </cell>
          <cell r="AM72">
            <v>1</v>
          </cell>
          <cell r="AN72">
            <v>16.5</v>
          </cell>
          <cell r="AO72">
            <v>26.2</v>
          </cell>
          <cell r="AP72">
            <v>0</v>
          </cell>
          <cell r="AQ72">
            <v>36.36</v>
          </cell>
          <cell r="AR72">
            <v>38.17</v>
          </cell>
          <cell r="AS72">
            <v>0</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L74">
            <v>0</v>
          </cell>
          <cell r="AM74">
            <v>1</v>
          </cell>
          <cell r="AN74">
            <v>35.799999999999997</v>
          </cell>
          <cell r="AO74">
            <v>34.1</v>
          </cell>
          <cell r="AP74">
            <v>0</v>
          </cell>
          <cell r="AQ74">
            <v>36.31</v>
          </cell>
          <cell r="AR74">
            <v>38.119999999999997</v>
          </cell>
          <cell r="AS74">
            <v>0</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SREIES.</v>
          </cell>
          <cell r="AJ76" t="str">
            <v>0651</v>
          </cell>
          <cell r="AK76" t="str">
            <v>1504</v>
          </cell>
          <cell r="AL76">
            <v>0</v>
          </cell>
          <cell r="AM76">
            <v>1</v>
          </cell>
          <cell r="AN76">
            <v>17.5</v>
          </cell>
          <cell r="AO76">
            <v>27.3</v>
          </cell>
          <cell r="AP76">
            <v>0</v>
          </cell>
          <cell r="AQ76">
            <v>30.29</v>
          </cell>
          <cell r="AR76">
            <v>28.57</v>
          </cell>
          <cell r="AS76">
            <v>0</v>
          </cell>
          <cell r="AT76">
            <v>530</v>
          </cell>
          <cell r="AU76">
            <v>780</v>
          </cell>
        </row>
        <row r="77">
          <cell r="AH77" t="str">
            <v>HF300</v>
          </cell>
          <cell r="AI77" t="str">
            <v>HEAT-RESISTING PAINT 300'C</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ALUM. SERIES.</v>
          </cell>
          <cell r="AJ78" t="str">
            <v>0654</v>
          </cell>
          <cell r="AK78" t="str">
            <v>1503</v>
          </cell>
          <cell r="AL78">
            <v>0</v>
          </cell>
          <cell r="AM78">
            <v>1</v>
          </cell>
          <cell r="AN78">
            <v>51.61</v>
          </cell>
          <cell r="AO78">
            <v>59.4</v>
          </cell>
          <cell r="AP78">
            <v>0</v>
          </cell>
          <cell r="AQ78">
            <v>25.19</v>
          </cell>
          <cell r="AR78">
            <v>28.62</v>
          </cell>
          <cell r="AS78">
            <v>0</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L80">
            <v>0</v>
          </cell>
          <cell r="AM80">
            <v>1</v>
          </cell>
          <cell r="AN80">
            <v>51.61</v>
          </cell>
          <cell r="AO80">
            <v>68</v>
          </cell>
          <cell r="AP80">
            <v>0</v>
          </cell>
          <cell r="AQ80">
            <v>25.19</v>
          </cell>
          <cell r="AR80">
            <v>10</v>
          </cell>
          <cell r="AS80">
            <v>0</v>
          </cell>
          <cell r="AT80">
            <v>1300</v>
          </cell>
          <cell r="AU80">
            <v>680</v>
          </cell>
        </row>
        <row r="81">
          <cell r="AI81" t="str">
            <v>RED LEAD PRIMER</v>
          </cell>
          <cell r="AJ81" t="str">
            <v>0102</v>
          </cell>
          <cell r="AK81" t="str">
            <v>906(OP-92)</v>
          </cell>
          <cell r="AL81" t="str">
            <v>220</v>
          </cell>
          <cell r="AM81">
            <v>1</v>
          </cell>
          <cell r="AN81">
            <v>8.7799999999999994</v>
          </cell>
          <cell r="AO81">
            <v>10</v>
          </cell>
          <cell r="AP81">
            <v>12.4</v>
          </cell>
          <cell r="AQ81">
            <v>47.83</v>
          </cell>
          <cell r="AR81">
            <v>42</v>
          </cell>
          <cell r="AS81">
            <v>38.71</v>
          </cell>
          <cell r="AT81">
            <v>420</v>
          </cell>
          <cell r="AU81">
            <v>420</v>
          </cell>
          <cell r="AV81">
            <v>480</v>
          </cell>
        </row>
        <row r="82">
          <cell r="AI82" t="str">
            <v xml:space="preserve">POLY-VINYL BUTYRAL RESIN (PVB) </v>
          </cell>
          <cell r="AJ82">
            <v>0</v>
          </cell>
          <cell r="AK82">
            <v>0</v>
          </cell>
          <cell r="AL82">
            <v>0</v>
          </cell>
          <cell r="AM82">
            <v>0</v>
          </cell>
          <cell r="AN82">
            <v>0</v>
          </cell>
          <cell r="AO82">
            <v>0</v>
          </cell>
          <cell r="AP82">
            <v>0</v>
          </cell>
          <cell r="AQ82">
            <v>0</v>
          </cell>
          <cell r="AR82">
            <v>0</v>
          </cell>
          <cell r="AS82">
            <v>0</v>
          </cell>
          <cell r="AT82">
            <v>540</v>
          </cell>
          <cell r="AU82">
            <v>570</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L84">
            <v>0</v>
          </cell>
          <cell r="AM84">
            <v>1</v>
          </cell>
          <cell r="AN84">
            <v>24.5</v>
          </cell>
          <cell r="AO84">
            <v>28.8</v>
          </cell>
          <cell r="AP84">
            <v>0</v>
          </cell>
          <cell r="AQ84">
            <v>22.04</v>
          </cell>
          <cell r="AR84">
            <v>19.79</v>
          </cell>
          <cell r="AS84">
            <v>0</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L86">
            <v>0</v>
          </cell>
          <cell r="AM86">
            <v>1</v>
          </cell>
          <cell r="AN86">
            <v>29.1</v>
          </cell>
          <cell r="AO86">
            <v>26.21</v>
          </cell>
          <cell r="AP86">
            <v>0</v>
          </cell>
          <cell r="AQ86">
            <v>18.899999999999999</v>
          </cell>
          <cell r="AR86">
            <v>19.079999999999998</v>
          </cell>
          <cell r="AS86">
            <v>0</v>
          </cell>
          <cell r="AT86">
            <v>550</v>
          </cell>
          <cell r="AU86">
            <v>500</v>
          </cell>
        </row>
        <row r="87">
          <cell r="AI87" t="str">
            <v>PIGMENTED PVC VINYL FINISH</v>
          </cell>
          <cell r="AJ87" t="str">
            <v>4340(U-400)</v>
          </cell>
          <cell r="AK87" t="str">
            <v>SP34(VA-51)</v>
          </cell>
          <cell r="AL87">
            <v>0</v>
          </cell>
          <cell r="AM87">
            <v>1</v>
          </cell>
          <cell r="AN87">
            <v>21.2</v>
          </cell>
          <cell r="AO87">
            <v>27.3</v>
          </cell>
          <cell r="AP87">
            <v>0</v>
          </cell>
          <cell r="AQ87">
            <v>30.19</v>
          </cell>
          <cell r="AR87">
            <v>19.78</v>
          </cell>
          <cell r="AS87">
            <v>0</v>
          </cell>
          <cell r="AT87">
            <v>640</v>
          </cell>
          <cell r="AU87">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29.8</v>
          </cell>
          <cell r="AP91">
            <v>92.79</v>
          </cell>
          <cell r="AQ91">
            <v>27.19</v>
          </cell>
          <cell r="AR91">
            <v>30.2</v>
          </cell>
          <cell r="AS91">
            <v>18.32</v>
          </cell>
          <cell r="AT91">
            <v>900</v>
          </cell>
          <cell r="AU91">
            <v>900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L93">
            <v>0</v>
          </cell>
          <cell r="AM93">
            <v>1</v>
          </cell>
          <cell r="AN93">
            <v>46.3</v>
          </cell>
          <cell r="AO93">
            <v>56.2</v>
          </cell>
          <cell r="AP93">
            <v>0</v>
          </cell>
          <cell r="AQ93">
            <v>30.24</v>
          </cell>
          <cell r="AR93">
            <v>30.25</v>
          </cell>
          <cell r="AS93">
            <v>0</v>
          </cell>
          <cell r="AT93">
            <v>1400</v>
          </cell>
          <cell r="AU93">
            <v>1700</v>
          </cell>
        </row>
        <row r="94">
          <cell r="AI94" t="str">
            <v>POLYURETHANE TANK LINING</v>
          </cell>
          <cell r="AJ94" t="str">
            <v>4230(I-310)</v>
          </cell>
          <cell r="AK94" t="str">
            <v>733</v>
          </cell>
          <cell r="AL94">
            <v>0</v>
          </cell>
          <cell r="AM94">
            <v>1</v>
          </cell>
          <cell r="AN94">
            <v>37</v>
          </cell>
          <cell r="AO94">
            <v>19.8</v>
          </cell>
          <cell r="AP94">
            <v>0</v>
          </cell>
          <cell r="AQ94">
            <v>37.840000000000003</v>
          </cell>
          <cell r="AR94">
            <v>28.79</v>
          </cell>
          <cell r="AS94">
            <v>0</v>
          </cell>
          <cell r="AT94">
            <v>1400</v>
          </cell>
          <cell r="AU94">
            <v>570</v>
          </cell>
        </row>
        <row r="95">
          <cell r="AI95" t="str">
            <v>NON-REACTIVE POLYURETHANE PRIMER</v>
          </cell>
          <cell r="AJ95" t="str">
            <v>4239(I-350)</v>
          </cell>
          <cell r="AK95">
            <v>0</v>
          </cell>
          <cell r="AL95">
            <v>0</v>
          </cell>
          <cell r="AM95">
            <v>1</v>
          </cell>
          <cell r="AN95">
            <v>18</v>
          </cell>
          <cell r="AO95">
            <v>0</v>
          </cell>
          <cell r="AP95">
            <v>0</v>
          </cell>
          <cell r="AQ95">
            <v>55.56</v>
          </cell>
          <cell r="AR95">
            <v>0</v>
          </cell>
          <cell r="AS95">
            <v>0</v>
          </cell>
          <cell r="AT95">
            <v>1000</v>
          </cell>
        </row>
        <row r="96">
          <cell r="AI96" t="str">
            <v>CLEAR POLYURETHANE FINISH</v>
          </cell>
          <cell r="AJ96" t="str">
            <v>4235(I-390)</v>
          </cell>
          <cell r="AK96" t="str">
            <v>1101</v>
          </cell>
          <cell r="AL96">
            <v>0</v>
          </cell>
          <cell r="AM96">
            <v>1</v>
          </cell>
          <cell r="AN96">
            <v>31.7</v>
          </cell>
          <cell r="AO96">
            <v>17</v>
          </cell>
          <cell r="AP96">
            <v>0</v>
          </cell>
          <cell r="AQ96">
            <v>37.85</v>
          </cell>
          <cell r="AR96">
            <v>26.47</v>
          </cell>
          <cell r="AS96">
            <v>0</v>
          </cell>
          <cell r="AT96">
            <v>1200</v>
          </cell>
          <cell r="AU96">
            <v>450</v>
          </cell>
        </row>
        <row r="97">
          <cell r="AI97" t="str">
            <v>URETHANE CHROMATE PRIMER</v>
          </cell>
          <cell r="AJ97" t="str">
            <v>4420(A-200)</v>
          </cell>
          <cell r="AK97" t="str">
            <v>1106</v>
          </cell>
          <cell r="AL97">
            <v>0</v>
          </cell>
          <cell r="AM97">
            <v>1</v>
          </cell>
          <cell r="AN97">
            <v>21.6</v>
          </cell>
          <cell r="AO97">
            <v>12.5</v>
          </cell>
          <cell r="AP97">
            <v>0</v>
          </cell>
          <cell r="AQ97">
            <v>37.04</v>
          </cell>
          <cell r="AR97">
            <v>24</v>
          </cell>
          <cell r="AS97">
            <v>0</v>
          </cell>
          <cell r="AT97">
            <v>800</v>
          </cell>
          <cell r="AU97">
            <v>300</v>
          </cell>
        </row>
        <row r="98">
          <cell r="AI98" t="str">
            <v>ZINC TETROXYCHROMATE BUTYRAL ETCH PRIMER</v>
          </cell>
          <cell r="AJ98" t="str">
            <v>4322(U-220)</v>
          </cell>
          <cell r="AK98" t="str">
            <v>738</v>
          </cell>
          <cell r="AL98">
            <v>0</v>
          </cell>
          <cell r="AM98">
            <v>1</v>
          </cell>
          <cell r="AN98">
            <v>58.41</v>
          </cell>
          <cell r="AO98">
            <v>69.59</v>
          </cell>
          <cell r="AP98">
            <v>0</v>
          </cell>
          <cell r="AQ98">
            <v>8.56</v>
          </cell>
          <cell r="AR98">
            <v>28.74</v>
          </cell>
          <cell r="AS98">
            <v>0</v>
          </cell>
          <cell r="AT98">
            <v>500</v>
          </cell>
          <cell r="AU98">
            <v>2000</v>
          </cell>
        </row>
        <row r="100">
          <cell r="AI100" t="str">
            <v>MASONRY &amp; ACRYLIC PAINT</v>
          </cell>
        </row>
        <row r="101">
          <cell r="AI101" t="str">
            <v>SOLVENT BASE MASONRY PRIMER</v>
          </cell>
          <cell r="AJ101" t="str">
            <v>1541</v>
          </cell>
          <cell r="AK101">
            <v>0</v>
          </cell>
          <cell r="AL101" t="str">
            <v>140</v>
          </cell>
          <cell r="AM101">
            <v>1</v>
          </cell>
          <cell r="AN101">
            <v>9.6999999999999993</v>
          </cell>
          <cell r="AO101">
            <v>0</v>
          </cell>
          <cell r="AP101">
            <v>14</v>
          </cell>
          <cell r="AQ101">
            <v>40.21</v>
          </cell>
          <cell r="AR101">
            <v>0</v>
          </cell>
          <cell r="AS101">
            <v>30.36</v>
          </cell>
          <cell r="AT101">
            <v>390</v>
          </cell>
          <cell r="AU101">
            <v>0</v>
          </cell>
          <cell r="AV101">
            <v>425</v>
          </cell>
        </row>
        <row r="102">
          <cell r="AH102">
            <v>0</v>
          </cell>
          <cell r="AI102" t="str">
            <v>WATER BASE MASONRY PRIMER</v>
          </cell>
          <cell r="AJ102" t="str">
            <v>1546</v>
          </cell>
          <cell r="AK102">
            <v>0</v>
          </cell>
          <cell r="AL102" t="str">
            <v>140-1</v>
          </cell>
          <cell r="AM102">
            <v>1</v>
          </cell>
          <cell r="AN102">
            <v>8.1999999999999993</v>
          </cell>
          <cell r="AO102">
            <v>0</v>
          </cell>
          <cell r="AP102">
            <v>12</v>
          </cell>
          <cell r="AQ102">
            <v>40.24</v>
          </cell>
          <cell r="AR102">
            <v>0</v>
          </cell>
          <cell r="AS102">
            <v>33.83</v>
          </cell>
          <cell r="AT102">
            <v>330</v>
          </cell>
          <cell r="AU102">
            <v>0</v>
          </cell>
          <cell r="AV102">
            <v>406</v>
          </cell>
        </row>
        <row r="103">
          <cell r="AI103" t="str">
            <v>WATER BASE MASONRY PAINT</v>
          </cell>
          <cell r="AJ103" t="str">
            <v>1556</v>
          </cell>
          <cell r="AK103">
            <v>0</v>
          </cell>
          <cell r="AL103">
            <v>0</v>
          </cell>
          <cell r="AM103">
            <v>1</v>
          </cell>
          <cell r="AN103">
            <v>11.9</v>
          </cell>
          <cell r="AO103">
            <v>0</v>
          </cell>
          <cell r="AP103">
            <v>0</v>
          </cell>
          <cell r="AQ103">
            <v>36.97</v>
          </cell>
          <cell r="AR103">
            <v>0</v>
          </cell>
          <cell r="AS103">
            <v>0</v>
          </cell>
          <cell r="AT103">
            <v>440</v>
          </cell>
          <cell r="AU103">
            <v>4.2915242876481667E-310</v>
          </cell>
          <cell r="AV103">
            <v>406.001220703125</v>
          </cell>
        </row>
        <row r="104">
          <cell r="AH104" t="str">
            <v>1656</v>
          </cell>
          <cell r="AI104" t="str">
            <v xml:space="preserve">ACRYLIC EMULSION PAINT </v>
          </cell>
          <cell r="AJ104" t="str">
            <v>1656</v>
          </cell>
          <cell r="AK104">
            <v>0</v>
          </cell>
          <cell r="AL104">
            <v>0</v>
          </cell>
          <cell r="AM104">
            <v>1</v>
          </cell>
          <cell r="AN104">
            <v>9.4</v>
          </cell>
          <cell r="AO104">
            <v>0</v>
          </cell>
          <cell r="AP104">
            <v>25.8</v>
          </cell>
          <cell r="AQ104">
            <v>38.299999999999997</v>
          </cell>
          <cell r="AR104">
            <v>0</v>
          </cell>
          <cell r="AS104">
            <v>34.880000000000003</v>
          </cell>
          <cell r="AT104">
            <v>360</v>
          </cell>
          <cell r="AU104">
            <v>0</v>
          </cell>
          <cell r="AV104">
            <v>900</v>
          </cell>
        </row>
        <row r="105">
          <cell r="AI105" t="str">
            <v xml:space="preserve">EMULSION PAINT </v>
          </cell>
          <cell r="AJ105" t="str">
            <v>1657</v>
          </cell>
          <cell r="AK105">
            <v>0</v>
          </cell>
          <cell r="AL105" t="str">
            <v>130</v>
          </cell>
          <cell r="AM105">
            <v>1</v>
          </cell>
          <cell r="AN105">
            <v>6.4</v>
          </cell>
          <cell r="AO105">
            <v>0</v>
          </cell>
          <cell r="AP105">
            <v>5.8</v>
          </cell>
          <cell r="AQ105">
            <v>40.630000000000003</v>
          </cell>
          <cell r="AR105">
            <v>0</v>
          </cell>
          <cell r="AS105">
            <v>34.83</v>
          </cell>
          <cell r="AT105">
            <v>260</v>
          </cell>
          <cell r="AU105">
            <v>0</v>
          </cell>
          <cell r="AV105">
            <v>202</v>
          </cell>
        </row>
        <row r="106">
          <cell r="AV106">
            <v>193</v>
          </cell>
        </row>
        <row r="107">
          <cell r="AI107" t="str">
            <v>OTHER PAINT</v>
          </cell>
        </row>
        <row r="108">
          <cell r="AH108" t="str">
            <v>AO</v>
          </cell>
          <cell r="AI108" t="str">
            <v>AMERLOCK-400 100,</v>
          </cell>
          <cell r="AJ108">
            <v>0</v>
          </cell>
          <cell r="AK108">
            <v>0</v>
          </cell>
          <cell r="AL108">
            <v>0</v>
          </cell>
          <cell r="AM108">
            <v>1</v>
          </cell>
          <cell r="AN108">
            <v>0</v>
          </cell>
          <cell r="AO108">
            <v>35</v>
          </cell>
          <cell r="AP108">
            <v>0</v>
          </cell>
          <cell r="AQ108">
            <v>0</v>
          </cell>
          <cell r="AR108">
            <v>21</v>
          </cell>
          <cell r="AS108">
            <v>0</v>
          </cell>
          <cell r="AT108">
            <v>0</v>
          </cell>
          <cell r="AU108">
            <v>735</v>
          </cell>
        </row>
        <row r="109">
          <cell r="AI109" t="str">
            <v>BLACK VARNISH</v>
          </cell>
          <cell r="AJ109" t="str">
            <v>1727</v>
          </cell>
          <cell r="AK109">
            <v>0</v>
          </cell>
          <cell r="AL109" t="str">
            <v>170</v>
          </cell>
          <cell r="AM109">
            <v>1</v>
          </cell>
          <cell r="AN109">
            <v>5.8</v>
          </cell>
          <cell r="AO109">
            <v>0</v>
          </cell>
          <cell r="AP109">
            <v>6.2</v>
          </cell>
          <cell r="AQ109">
            <v>34.479999999999997</v>
          </cell>
          <cell r="AR109">
            <v>0</v>
          </cell>
          <cell r="AS109">
            <v>26.94</v>
          </cell>
          <cell r="AT109">
            <v>200</v>
          </cell>
          <cell r="AU109">
            <v>0</v>
          </cell>
          <cell r="AV109">
            <v>167</v>
          </cell>
        </row>
        <row r="110">
          <cell r="AI110" t="str">
            <v>NEO WATER PROOF COATING</v>
          </cell>
          <cell r="AJ110" t="str">
            <v>1728</v>
          </cell>
          <cell r="AK110" t="str">
            <v>1018</v>
          </cell>
          <cell r="AL110" t="str">
            <v>160</v>
          </cell>
          <cell r="AM110">
            <v>1</v>
          </cell>
          <cell r="AN110">
            <v>4.4000000000000004</v>
          </cell>
          <cell r="AO110">
            <v>0</v>
          </cell>
          <cell r="AP110">
            <v>6.7</v>
          </cell>
          <cell r="AQ110">
            <v>227.27</v>
          </cell>
          <cell r="AR110">
            <v>0</v>
          </cell>
          <cell r="AS110">
            <v>28.81</v>
          </cell>
          <cell r="AT110">
            <v>1000</v>
          </cell>
          <cell r="AU110">
            <v>0</v>
          </cell>
          <cell r="AV110">
            <v>193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refreshError="1"/>
      <sheetData sheetId="264" refreshError="1"/>
      <sheetData sheetId="265" refreshError="1"/>
      <sheetData sheetId="266" refreshError="1"/>
      <sheetData sheetId="267" refreshError="1"/>
      <sheetData sheetId="268" refreshError="1"/>
      <sheetData sheetId="269"/>
      <sheetData sheetId="270"/>
      <sheetData sheetId="271"/>
      <sheetData sheetId="272"/>
      <sheetData sheetId="273"/>
      <sheetData sheetId="274"/>
      <sheetData sheetId="275" refreshError="1"/>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refreshError="1"/>
      <sheetData sheetId="349" refreshError="1"/>
      <sheetData sheetId="350" refreshError="1"/>
      <sheetData sheetId="351" refreshError="1"/>
      <sheetData sheetId="352" refreshError="1"/>
      <sheetData sheetId="353" refreshError="1"/>
      <sheetData sheetId="354" refreshError="1"/>
      <sheetData sheetId="355"/>
      <sheetData sheetId="356"/>
      <sheetData sheetId="357"/>
      <sheetData sheetId="358"/>
      <sheetData sheetId="359"/>
      <sheetData sheetId="360"/>
      <sheetData sheetId="36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refreshError="1"/>
      <sheetData sheetId="496"/>
      <sheetData sheetId="497"/>
      <sheetData sheetId="498" refreshError="1"/>
      <sheetData sheetId="499"/>
      <sheetData sheetId="500"/>
      <sheetData sheetId="501"/>
      <sheetData sheetId="502"/>
      <sheetData sheetId="503"/>
      <sheetData sheetId="504"/>
      <sheetData sheetId="505"/>
      <sheetData sheetId="506"/>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sheetData sheetId="597"/>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sheetData sheetId="707"/>
      <sheetData sheetId="708"/>
      <sheetData sheetId="709" refreshError="1"/>
      <sheetData sheetId="710" refreshError="1"/>
      <sheetData sheetId="711" refreshError="1"/>
      <sheetData sheetId="712" refreshError="1"/>
      <sheetData sheetId="713" refreshError="1"/>
      <sheetData sheetId="714" refreshError="1"/>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refreshError="1"/>
      <sheetData sheetId="777"/>
      <sheetData sheetId="778"/>
      <sheetData sheetId="779"/>
      <sheetData sheetId="780"/>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切割 MTL"/>
      <sheetName val="切割 DI"/>
      <sheetName val="ESTI."/>
      <sheetName val="DI-ESTI"/>
      <sheetName val="IBASE"/>
    </sheetNames>
    <sheetDataSet>
      <sheetData sheetId="0" refreshError="1"/>
      <sheetData sheetId="1" refreshError="1"/>
      <sheetData sheetId="2">
        <row r="1">
          <cell r="A1" t="str">
            <v>STATISTICAL ESTIMATION OF FITTINGS AND VALVES FOR PIPING WORK</v>
          </cell>
        </row>
      </sheetData>
      <sheetData sheetId="3">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_PROGRAM"/>
      <sheetName val="EXTRA"/>
      <sheetName val="RESULT"/>
      <sheetName val="DISPLAY d"/>
      <sheetName val="DISPLAY f"/>
      <sheetName val="goc"/>
      <sheetName val="DISPLAY EJ"/>
      <sheetName val="XL4Poppy"/>
      <sheetName val="DI-ESTI"/>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KE3p"/>
      <sheetName val="CHITIET VL-NC-TT1p"/>
      <sheetName val="lkbv"/>
      <sheetName val="DON GIA"/>
      <sheetName val="TONGKE1P"/>
      <sheetName val="TONGKE1P (2)"/>
      <sheetName val="LKVT-1P"/>
      <sheetName val="VC DD1PHA "/>
      <sheetName val="t-h TT1P (2)"/>
      <sheetName val="TDTKP (2)"/>
      <sheetName val="CHITIET VL_NC_TT1p"/>
      <sheetName val="tong du toan"/>
      <sheetName val="CHITIET VL-NCHT1 (2)"/>
      <sheetName val="CHITIET VL-NC-TT-3p"/>
      <sheetName val="CHITIET VL-NC-DDTT3PHA "/>
      <sheetName val="CHITIET VL_NCHT1 _2_"/>
      <sheetName val="t-h _x0009__x0008__x0010__x0000__x0000__x0006__x0005__x0000_"/>
      <sheetName val="CHITIET VL-NC-TT -1p"/>
      <sheetName val="t-h _x0009__x0008__x0010_??_x0006__x0005_?"/>
      <sheetName val="TNHCHINH"/>
      <sheetName val="ESTI."/>
      <sheetName val="DI-ESTI"/>
      <sheetName val="t-h  _x0008__x0010__x0000__x0000__x0006__x0005__x0000_"/>
      <sheetName val="t-h  _x0008__x0010_??_x0006__x0005_?"/>
      <sheetName val="gVL"/>
      <sheetName val="t-h _x0009__x0008__x0010_"/>
      <sheetName val="Chiet tinh dz35"/>
      <sheetName val="t-h _x0009__x0008__x0010____x0006__x0005__"/>
      <sheetName val="CHITIET VL-NC"/>
      <sheetName val="t-h  _x0008__x0010_"/>
      <sheetName val="t-h  _x0008__x0010____x0006__x0005__"/>
      <sheetName val="TONGKE3p "/>
      <sheetName val="TDTKP"/>
      <sheetName val="TONGHOP"/>
      <sheetName val="N.khau"/>
      <sheetName val="MAIN_PROGRAM"/>
    </sheetNames>
    <sheetDataSet>
      <sheetData sheetId="0" refreshError="1"/>
      <sheetData sheetId="1" refreshError="1">
        <row r="99">
          <cell r="G99">
            <v>2762857</v>
          </cell>
        </row>
        <row r="112">
          <cell r="G112">
            <v>1632857</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VL-NC-TT1p"/>
      <sheetName val="CHITIET VL-NC (2)"/>
      <sheetName val="DON GIA"/>
      <sheetName val="TONGKE3p"/>
      <sheetName val="TONGKE1p"/>
      <sheetName val="t-h TT1P (2)"/>
      <sheetName val="TDTKP (2)"/>
      <sheetName val="CHITIET VL_NC_TT1p"/>
      <sheetName val="Temp"/>
      <sheetName val="TTK14"/>
      <sheetName val="부하LOAD"/>
      <sheetName val="BETON"/>
      <sheetName val="HT"/>
      <sheetName val="#REF"/>
      <sheetName val="khung ten TD"/>
      <sheetName val="ChiTietDZ"/>
      <sheetName val="VuaBT"/>
      <sheetName val="??LOAD"/>
      <sheetName val="DG vat tu"/>
      <sheetName val="LE"/>
      <sheetName val="CHITIET VL-NC-TT -1p"/>
      <sheetName val="CHITIET VL-NC-TT-3p"/>
      <sheetName val="TONG HOP VL-NC TT"/>
      <sheetName val="TDTKP1"/>
      <sheetName val="KPVC-BD "/>
      <sheetName val="giathanh1"/>
      <sheetName val="kinh phí XD"/>
      <sheetName val="Noi suy"/>
      <sheetName val="Gia vat tu"/>
      <sheetName val="CHITIET VL-NCHT1 (2)"/>
      <sheetName val="__LOAD"/>
      <sheetName val="TínhGiáThành"/>
      <sheetName val="Information"/>
    </sheetNames>
    <sheetDataSet>
      <sheetData sheetId="0"/>
      <sheetData sheetId="1" refreshError="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Q1,Q2,01"/>
      <sheetName val="BCCTQT-XLD4"/>
      <sheetName val="BCQT-TTD1"/>
      <sheetName val="CT-chuacoDT"/>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XL4Poppy"/>
      <sheetName val="CHITIET VL-NC-TT1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TKP"/>
      <sheetName val="DK-KH"/>
      <sheetName val="KH-Q1,Q2,01"/>
    </sheetNames>
    <sheetDataSet>
      <sheetData sheetId="0">
        <row r="46">
          <cell r="E46">
            <v>244169100.16579708</v>
          </cell>
        </row>
      </sheetData>
      <sheetData sheetId="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KE-HT"/>
      <sheetName val="LKVL-CK-HT-GD1"/>
      <sheetName val="DON GIA"/>
      <sheetName val="TONGKE_HT"/>
      <sheetName val="LKVL_CK_HT_GD1"/>
      <sheetName val="TONGKE3p"/>
      <sheetName val="CHITIET VL-NC"/>
      <sheetName val="CTinh"/>
      <sheetName val="V.c noi bo"/>
      <sheetName val="DG"/>
      <sheetName val="HTTANHU"/>
      <sheetName val="chitiet"/>
      <sheetName val="DGXDCB_DD"/>
      <sheetName val="KH-Q1,Q2,01"/>
      <sheetName val="TH VL, NC, DDHT Thanhphuoc"/>
      <sheetName val="Chiet tinh dz22"/>
      <sheetName val="CT Thang Mo"/>
      <sheetName val="CT  PL"/>
      <sheetName val="LKVL-CK-HU-GD1"/>
      <sheetName val="CHITIET VL-NC-TT -1p"/>
      <sheetName val="TONG HOP VL-NC TT"/>
      <sheetName val="TDTKP1"/>
      <sheetName val="KPVC-BD "/>
      <sheetName val="temp"/>
      <sheetName val="TONGKE3p "/>
      <sheetName val="TDTKP"/>
      <sheetName val="dongia (2)"/>
      <sheetName val="dg_VTu"/>
      <sheetName val="Chiet tinh dz35"/>
      <sheetName val="vc"/>
      <sheetName val="CT Th_x0000_®g Mo"/>
      <sheetName val="dg-VTu"/>
      <sheetName val="DG CANTHO"/>
      <sheetName val="Dutoan KL"/>
      <sheetName val="PT VATTU"/>
      <sheetName val="DON GIA CAN THO"/>
    </sheetNames>
    <sheetDataSet>
      <sheetData sheetId="0"/>
      <sheetData sheetId="1" refreshError="1">
        <row r="4">
          <cell r="A4" t="str">
            <v>( GIAI ÑOAÏN 1 )</v>
          </cell>
        </row>
      </sheetData>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KE-HT"/>
      <sheetName val="LKVL-CK-HT-GD1"/>
      <sheetName val="DON GIA"/>
      <sheetName val="TONGKE_HT"/>
      <sheetName val="LKVL_CK_HT_GD1"/>
      <sheetName val="TONGKE3p"/>
      <sheetName val="CHITIET VL-NC"/>
      <sheetName val="CTinh"/>
      <sheetName val="V.c noi bo"/>
      <sheetName val="DG"/>
      <sheetName val="HTTANHU"/>
      <sheetName val="chitiet"/>
      <sheetName val="DGXDCB_DD"/>
      <sheetName val="KH-Q1,Q2,01"/>
      <sheetName val="TH VL, NC, DDHT Thanhphuoc"/>
      <sheetName val="Chiet tinh dz22"/>
      <sheetName val="CT Thang Mo"/>
      <sheetName val="CT  PL"/>
      <sheetName val="LKVL-CK-HU-GD1"/>
      <sheetName val="CHITIET VL-NC-TT -1p"/>
      <sheetName val="TONG HOP VL-NC TT"/>
      <sheetName val="TDTKP1"/>
      <sheetName val="KPVC-BD "/>
      <sheetName val="temp"/>
      <sheetName val="TONGKE3p "/>
      <sheetName val="TDTKP"/>
      <sheetName val="dongia (2)"/>
      <sheetName val="dg_VTu"/>
      <sheetName val="Chiet tinh dz35"/>
      <sheetName val="vc"/>
      <sheetName val="CT Th_x0000_®g Mo"/>
      <sheetName val="dg-VTu"/>
      <sheetName val="DG CANTHO"/>
      <sheetName val="Dutoan KL"/>
      <sheetName val="PT VATTU"/>
      <sheetName val="DON GIA CAN THO"/>
    </sheetNames>
    <sheetDataSet>
      <sheetData sheetId="0"/>
      <sheetData sheetId="1" refreshError="1">
        <row r="4">
          <cell r="A4" t="str">
            <v>( GIAI ÑOAÏN 1 )</v>
          </cell>
        </row>
      </sheetData>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VL"/>
      <sheetName val="Q4"/>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V2)"/>
      <sheetName val="Dt 2001"/>
      <sheetName val="tinh CD DT"/>
      <sheetName val="Thu NSNN (V1)"/>
      <sheetName val="mau"/>
    </sheetNames>
    <sheetDataSet>
      <sheetData sheetId="0" refreshError="1"/>
      <sheetData sheetId="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luc1"/>
      <sheetName val="THPDMoi  (3)"/>
      <sheetName val="t-h dau noi (2)"/>
      <sheetName val="tong d-noi(khong)  (2)"/>
      <sheetName val="tong ct (khong)"/>
      <sheetName val="tong d-noi(khong) "/>
      <sheetName val="dau noi(khong)"/>
      <sheetName val="tong tram-xdung-dnoi"/>
      <sheetName val="tong tram"/>
      <sheetName val="t-h xdung"/>
      <sheetName val="VC DD1P"/>
      <sheetName val="TONG HOP VL-NC"/>
      <sheetName val="THPDMoi "/>
      <sheetName val="TH-TTLIEN LAC"/>
      <sheetName val="TH-DAUNOI"/>
      <sheetName val="THPDMoi  (2)"/>
      <sheetName val="THTRAM"/>
      <sheetName val="tramLN"/>
      <sheetName val="tramLN (2)"/>
      <sheetName val="CHUANBISX (2)"/>
      <sheetName val="BIA"/>
      <sheetName val="BIA (2)"/>
      <sheetName val="TTLIENLAC"/>
      <sheetName val="TONG HOP VL_NC"/>
      <sheetName val="KPVC-BD "/>
      <sheetName val="DLC DIEN AP"/>
      <sheetName val="SL dau tien"/>
      <sheetName val="HSKVUC"/>
      <sheetName val="VCDD_TBA"/>
      <sheetName val=""/>
      <sheetName val="CaMay"/>
      <sheetName val="DGiaT"/>
      <sheetName val="DGiaTN"/>
      <sheetName val="TT"/>
      <sheetName val="CHITIET VL-NC"/>
      <sheetName val="TONGKE3p "/>
      <sheetName val="CHITIET VL-NC-TT1p"/>
      <sheetName val="chitimc"/>
      <sheetName val="TH VL, NC, DDHT Thanhphuoc"/>
      <sheetName val="gtrinh"/>
      <sheetName val="GVL"/>
      <sheetName val="LKVL-CK-HT-GD1"/>
      <sheetName val="dg-VTu"/>
      <sheetName val="DT-LNINH"/>
      <sheetName val="Alph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VL"/>
      <sheetName val="VCTC"/>
      <sheetName val="THKLC"/>
      <sheetName val="THVT"/>
      <sheetName val="VC"/>
      <sheetName val="VatLieu"/>
      <sheetName val="THDZ"/>
      <sheetName val="ChiTietDZ"/>
      <sheetName val="DGTH"/>
      <sheetName val="VuaBT"/>
      <sheetName val="ThongSo"/>
      <sheetName val="PLCT"/>
      <sheetName val="Tram"/>
      <sheetName val="CHITIET VL-NC-TT1p"/>
      <sheetName val="BGD-KT-TC"/>
      <sheetName val="LX"/>
      <sheetName val="BAOVE"/>
      <sheetName val="HA NOI"/>
      <sheetName val="Cao su"/>
      <sheetName val="PHONGKD"/>
      <sheetName val="BDHCSU"/>
      <sheetName val="BDHBD"/>
      <sheetName val="CN CK"/>
      <sheetName val="Sheet1"/>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00000000"/>
      <sheetName val="XL4Poppy"/>
      <sheetName val="XL4Test5"/>
      <sheetName val="TONG HOP VL-NC"/>
      <sheetName val="Don gia vung III"/>
      <sheetName val="KL-THO"/>
      <sheetName val="kinh phí XD"/>
      <sheetName val="CHITIET_VL-NC-TT1p"/>
      <sheetName val="HA_NOI"/>
      <sheetName val="Cao_su"/>
      <sheetName val="CN_CK"/>
      <sheetName val="tam_ung"/>
      <sheetName val="SP_INLUA"/>
      <sheetName val="SP_TPBK"/>
      <sheetName val="SP_KHAUBONG"/>
      <sheetName val="sp_cluyen"/>
      <sheetName val="SP_RUOT"/>
      <sheetName val="sp_vo"/>
      <sheetName val="sp_tpcs"/>
      <sheetName val="CHITIET VL_NC_TT1p"/>
      <sheetName val="DG"/>
      <sheetName val="P"/>
      <sheetName val="NGUYEN VAN THANH 2.0"/>
      <sheetName val="CHITIET VL-NC"/>
      <sheetName val="TienLuong"/>
      <sheetName val="TONGKE3p"/>
      <sheetName val="ctdg"/>
      <sheetName val="DON GIA"/>
      <sheetName val="pp1p"/>
      <sheetName val="pp3p "/>
      <sheetName val="chitiet"/>
      <sheetName val="DONGIA"/>
      <sheetName val="lam-moi"/>
      <sheetName val="thao-go"/>
      <sheetName val="TH XL"/>
      <sheetName val="VAO"/>
      <sheetName val="Dinh nghia"/>
      <sheetName val="HT"/>
      <sheetName val="TEN MST CTY BR"/>
      <sheetName val="QMCT"/>
      <sheetName val="CHITIET_VL_NC_TT1p"/>
      <sheetName val="HA_NOI1"/>
      <sheetName val="Cao_su1"/>
      <sheetName val="CN_CK1"/>
      <sheetName val="tam_ung1"/>
      <sheetName val="SP_INLUA1"/>
      <sheetName val="SP_TPBK1"/>
      <sheetName val="SP_KHAUBONG1"/>
      <sheetName val="sp_cluyen1"/>
      <sheetName val="SP_RUOT1"/>
      <sheetName val="sp_vo1"/>
      <sheetName val="sp_tpcs1"/>
      <sheetName val="CHITIET_VL-NC-TT1p1"/>
      <sheetName val="CHITIET_VL_NC_TT1p1"/>
      <sheetName val="TONG_HOP_VL-NC"/>
      <sheetName val="kinh_phí_XD"/>
      <sheetName val="Don_gia_vung_III"/>
      <sheetName val="DON_GIA"/>
      <sheetName val="NGUYEN_VAN_THANH_2_0"/>
      <sheetName val="CHITIET_VL-NC"/>
      <sheetName val="HA_NOI2"/>
      <sheetName val="Cao_su2"/>
      <sheetName val="CN_CK2"/>
      <sheetName val="tam_ung2"/>
      <sheetName val="SP_INLUA2"/>
      <sheetName val="SP_TPBK2"/>
      <sheetName val="SP_KHAUBONG2"/>
      <sheetName val="sp_cluyen2"/>
      <sheetName val="SP_RUOT2"/>
      <sheetName val="sp_vo2"/>
      <sheetName val="sp_tpcs2"/>
      <sheetName val="CHITIET_VL-NC-TT1p2"/>
      <sheetName val="CHITIET_VL_NC_TT1p2"/>
      <sheetName val="HA_NOI3"/>
      <sheetName val="Cao_su3"/>
      <sheetName val="CN_CK3"/>
      <sheetName val="tam_ung3"/>
      <sheetName val="SP_INLUA3"/>
      <sheetName val="SP_TPBK3"/>
      <sheetName val="SP_KHAUBONG3"/>
      <sheetName val="sp_cluyen3"/>
      <sheetName val="SP_RUOT3"/>
      <sheetName val="sp_vo3"/>
      <sheetName val="sp_tpcs3"/>
      <sheetName val="CHITIET_VL-NC-TT1p3"/>
      <sheetName val="CHITIET_VL_NC_TT1p3"/>
      <sheetName val="HA_NOI4"/>
      <sheetName val="Cao_su4"/>
      <sheetName val="CN_CK4"/>
      <sheetName val="tam_ung4"/>
      <sheetName val="SP_INLUA4"/>
      <sheetName val="SP_TPBK4"/>
      <sheetName val="SP_KHAUBONG4"/>
      <sheetName val="sp_cluyen4"/>
      <sheetName val="SP_RUOT4"/>
      <sheetName val="sp_vo4"/>
      <sheetName val="sp_tpcs4"/>
      <sheetName val="CHITIET_VL-NC-TT1p4"/>
      <sheetName val="CHITIET_VL_NC_TT1p4"/>
      <sheetName val="chitimc"/>
    </sheetNames>
    <sheetDataSet>
      <sheetData sheetId="0"/>
      <sheetData sheetId="1"/>
      <sheetData sheetId="2"/>
      <sheetData sheetId="3"/>
      <sheetData sheetId="4"/>
      <sheetData sheetId="5"/>
      <sheetData sheetId="6"/>
      <sheetData sheetId="7"/>
      <sheetData sheetId="8"/>
      <sheetData sheetId="9"/>
      <sheetData sheetId="10" refreshError="1">
        <row r="11">
          <cell r="C11">
            <v>0.15</v>
          </cell>
        </row>
      </sheetData>
      <sheetData sheetId="11"/>
      <sheetData sheetId="12"/>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KE3p "/>
      <sheetName val="TDTKP"/>
      <sheetName val="DON GIA"/>
      <sheetName val="DEN-DUONG"/>
      <sheetName val="CHITIET VL-NC-TT"/>
      <sheetName val="TONG HOP VL-NC"/>
      <sheetName val="KPVC-BD"/>
      <sheetName val="LKVT-TB-TR "/>
      <sheetName val="LKVL-CK-22"/>
      <sheetName val="LK-VT-CS"/>
      <sheetName val="LK-BAN VE "/>
      <sheetName val="BETON"/>
      <sheetName val="ThongSo"/>
      <sheetName val="CHITIET VL-NC-TT1p"/>
      <sheetName val="phuluc1"/>
      <sheetName val="CHITIET VL-NC"/>
      <sheetName val="TNHCHINH"/>
      <sheetName val="dtct cong"/>
      <sheetName val="Dinh nghia"/>
      <sheetName val="CHITIET VL-NC-TT -1p"/>
      <sheetName val="CHITIET VL-NC-TT-3p"/>
      <sheetName val="TONG HOP VL-NC TT"/>
      <sheetName val="TDTKP1"/>
      <sheetName val="KPVC-BD "/>
      <sheetName val="CHITIET"/>
      <sheetName val="TDTKP (2)"/>
      <sheetName val="TONGKE3p"/>
      <sheetName val="CHITIET VL-NC-DDTT3PHA "/>
    </sheetNames>
    <sheetDataSet>
      <sheetData sheetId="0" refreshError="1">
        <row r="295">
          <cell r="C295">
            <v>9610</v>
          </cell>
          <cell r="T295">
            <v>12</v>
          </cell>
          <cell r="U295">
            <v>9</v>
          </cell>
          <cell r="X295">
            <v>55</v>
          </cell>
        </row>
      </sheetData>
      <sheetData sheetId="1">
        <row r="44">
          <cell r="E44" t="e">
            <v>#NAME?</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F6DB6-427B-4641-8422-722F44D6C8AF}">
  <sheetPr>
    <pageSetUpPr fitToPage="1"/>
  </sheetPr>
  <dimension ref="A1:N76"/>
  <sheetViews>
    <sheetView zoomScaleNormal="100" zoomScaleSheetLayoutView="136" workbookViewId="0">
      <selection activeCell="B20" sqref="B20"/>
    </sheetView>
  </sheetViews>
  <sheetFormatPr defaultColWidth="11.42578125" defaultRowHeight="16.5"/>
  <cols>
    <col min="1" max="1" width="4.28515625" style="1176" customWidth="1"/>
    <col min="2" max="2" width="95.85546875" style="1176" customWidth="1"/>
    <col min="3" max="3" width="11" style="1176" customWidth="1"/>
    <col min="4" max="256" width="11.42578125" style="1176"/>
    <col min="257" max="257" width="4.28515625" style="1176" customWidth="1"/>
    <col min="258" max="258" width="95.85546875" style="1176" customWidth="1"/>
    <col min="259" max="259" width="11" style="1176" customWidth="1"/>
    <col min="260" max="512" width="11.42578125" style="1176"/>
    <col min="513" max="513" width="4.28515625" style="1176" customWidth="1"/>
    <col min="514" max="514" width="95.85546875" style="1176" customWidth="1"/>
    <col min="515" max="515" width="11" style="1176" customWidth="1"/>
    <col min="516" max="768" width="11.42578125" style="1176"/>
    <col min="769" max="769" width="4.28515625" style="1176" customWidth="1"/>
    <col min="770" max="770" width="95.85546875" style="1176" customWidth="1"/>
    <col min="771" max="771" width="11" style="1176" customWidth="1"/>
    <col min="772" max="1024" width="11.42578125" style="1176"/>
    <col min="1025" max="1025" width="4.28515625" style="1176" customWidth="1"/>
    <col min="1026" max="1026" width="95.85546875" style="1176" customWidth="1"/>
    <col min="1027" max="1027" width="11" style="1176" customWidth="1"/>
    <col min="1028" max="1280" width="11.42578125" style="1176"/>
    <col min="1281" max="1281" width="4.28515625" style="1176" customWidth="1"/>
    <col min="1282" max="1282" width="95.85546875" style="1176" customWidth="1"/>
    <col min="1283" max="1283" width="11" style="1176" customWidth="1"/>
    <col min="1284" max="1536" width="11.42578125" style="1176"/>
    <col min="1537" max="1537" width="4.28515625" style="1176" customWidth="1"/>
    <col min="1538" max="1538" width="95.85546875" style="1176" customWidth="1"/>
    <col min="1539" max="1539" width="11" style="1176" customWidth="1"/>
    <col min="1540" max="1792" width="11.42578125" style="1176"/>
    <col min="1793" max="1793" width="4.28515625" style="1176" customWidth="1"/>
    <col min="1794" max="1794" width="95.85546875" style="1176" customWidth="1"/>
    <col min="1795" max="1795" width="11" style="1176" customWidth="1"/>
    <col min="1796" max="2048" width="11.42578125" style="1176"/>
    <col min="2049" max="2049" width="4.28515625" style="1176" customWidth="1"/>
    <col min="2050" max="2050" width="95.85546875" style="1176" customWidth="1"/>
    <col min="2051" max="2051" width="11" style="1176" customWidth="1"/>
    <col min="2052" max="2304" width="11.42578125" style="1176"/>
    <col min="2305" max="2305" width="4.28515625" style="1176" customWidth="1"/>
    <col min="2306" max="2306" width="95.85546875" style="1176" customWidth="1"/>
    <col min="2307" max="2307" width="11" style="1176" customWidth="1"/>
    <col min="2308" max="2560" width="11.42578125" style="1176"/>
    <col min="2561" max="2561" width="4.28515625" style="1176" customWidth="1"/>
    <col min="2562" max="2562" width="95.85546875" style="1176" customWidth="1"/>
    <col min="2563" max="2563" width="11" style="1176" customWidth="1"/>
    <col min="2564" max="2816" width="11.42578125" style="1176"/>
    <col min="2817" max="2817" width="4.28515625" style="1176" customWidth="1"/>
    <col min="2818" max="2818" width="95.85546875" style="1176" customWidth="1"/>
    <col min="2819" max="2819" width="11" style="1176" customWidth="1"/>
    <col min="2820" max="3072" width="11.42578125" style="1176"/>
    <col min="3073" max="3073" width="4.28515625" style="1176" customWidth="1"/>
    <col min="3074" max="3074" width="95.85546875" style="1176" customWidth="1"/>
    <col min="3075" max="3075" width="11" style="1176" customWidth="1"/>
    <col min="3076" max="3328" width="11.42578125" style="1176"/>
    <col min="3329" max="3329" width="4.28515625" style="1176" customWidth="1"/>
    <col min="3330" max="3330" width="95.85546875" style="1176" customWidth="1"/>
    <col min="3331" max="3331" width="11" style="1176" customWidth="1"/>
    <col min="3332" max="3584" width="11.42578125" style="1176"/>
    <col min="3585" max="3585" width="4.28515625" style="1176" customWidth="1"/>
    <col min="3586" max="3586" width="95.85546875" style="1176" customWidth="1"/>
    <col min="3587" max="3587" width="11" style="1176" customWidth="1"/>
    <col min="3588" max="3840" width="11.42578125" style="1176"/>
    <col min="3841" max="3841" width="4.28515625" style="1176" customWidth="1"/>
    <col min="3842" max="3842" width="95.85546875" style="1176" customWidth="1"/>
    <col min="3843" max="3843" width="11" style="1176" customWidth="1"/>
    <col min="3844" max="4096" width="11.42578125" style="1176"/>
    <col min="4097" max="4097" width="4.28515625" style="1176" customWidth="1"/>
    <col min="4098" max="4098" width="95.85546875" style="1176" customWidth="1"/>
    <col min="4099" max="4099" width="11" style="1176" customWidth="1"/>
    <col min="4100" max="4352" width="11.42578125" style="1176"/>
    <col min="4353" max="4353" width="4.28515625" style="1176" customWidth="1"/>
    <col min="4354" max="4354" width="95.85546875" style="1176" customWidth="1"/>
    <col min="4355" max="4355" width="11" style="1176" customWidth="1"/>
    <col min="4356" max="4608" width="11.42578125" style="1176"/>
    <col min="4609" max="4609" width="4.28515625" style="1176" customWidth="1"/>
    <col min="4610" max="4610" width="95.85546875" style="1176" customWidth="1"/>
    <col min="4611" max="4611" width="11" style="1176" customWidth="1"/>
    <col min="4612" max="4864" width="11.42578125" style="1176"/>
    <col min="4865" max="4865" width="4.28515625" style="1176" customWidth="1"/>
    <col min="4866" max="4866" width="95.85546875" style="1176" customWidth="1"/>
    <col min="4867" max="4867" width="11" style="1176" customWidth="1"/>
    <col min="4868" max="5120" width="11.42578125" style="1176"/>
    <col min="5121" max="5121" width="4.28515625" style="1176" customWidth="1"/>
    <col min="5122" max="5122" width="95.85546875" style="1176" customWidth="1"/>
    <col min="5123" max="5123" width="11" style="1176" customWidth="1"/>
    <col min="5124" max="5376" width="11.42578125" style="1176"/>
    <col min="5377" max="5377" width="4.28515625" style="1176" customWidth="1"/>
    <col min="5378" max="5378" width="95.85546875" style="1176" customWidth="1"/>
    <col min="5379" max="5379" width="11" style="1176" customWidth="1"/>
    <col min="5380" max="5632" width="11.42578125" style="1176"/>
    <col min="5633" max="5633" width="4.28515625" style="1176" customWidth="1"/>
    <col min="5634" max="5634" width="95.85546875" style="1176" customWidth="1"/>
    <col min="5635" max="5635" width="11" style="1176" customWidth="1"/>
    <col min="5636" max="5888" width="11.42578125" style="1176"/>
    <col min="5889" max="5889" width="4.28515625" style="1176" customWidth="1"/>
    <col min="5890" max="5890" width="95.85546875" style="1176" customWidth="1"/>
    <col min="5891" max="5891" width="11" style="1176" customWidth="1"/>
    <col min="5892" max="6144" width="11.42578125" style="1176"/>
    <col min="6145" max="6145" width="4.28515625" style="1176" customWidth="1"/>
    <col min="6146" max="6146" width="95.85546875" style="1176" customWidth="1"/>
    <col min="6147" max="6147" width="11" style="1176" customWidth="1"/>
    <col min="6148" max="6400" width="11.42578125" style="1176"/>
    <col min="6401" max="6401" width="4.28515625" style="1176" customWidth="1"/>
    <col min="6402" max="6402" width="95.85546875" style="1176" customWidth="1"/>
    <col min="6403" max="6403" width="11" style="1176" customWidth="1"/>
    <col min="6404" max="6656" width="11.42578125" style="1176"/>
    <col min="6657" max="6657" width="4.28515625" style="1176" customWidth="1"/>
    <col min="6658" max="6658" width="95.85546875" style="1176" customWidth="1"/>
    <col min="6659" max="6659" width="11" style="1176" customWidth="1"/>
    <col min="6660" max="6912" width="11.42578125" style="1176"/>
    <col min="6913" max="6913" width="4.28515625" style="1176" customWidth="1"/>
    <col min="6914" max="6914" width="95.85546875" style="1176" customWidth="1"/>
    <col min="6915" max="6915" width="11" style="1176" customWidth="1"/>
    <col min="6916" max="7168" width="11.42578125" style="1176"/>
    <col min="7169" max="7169" width="4.28515625" style="1176" customWidth="1"/>
    <col min="7170" max="7170" width="95.85546875" style="1176" customWidth="1"/>
    <col min="7171" max="7171" width="11" style="1176" customWidth="1"/>
    <col min="7172" max="7424" width="11.42578125" style="1176"/>
    <col min="7425" max="7425" width="4.28515625" style="1176" customWidth="1"/>
    <col min="7426" max="7426" width="95.85546875" style="1176" customWidth="1"/>
    <col min="7427" max="7427" width="11" style="1176" customWidth="1"/>
    <col min="7428" max="7680" width="11.42578125" style="1176"/>
    <col min="7681" max="7681" width="4.28515625" style="1176" customWidth="1"/>
    <col min="7682" max="7682" width="95.85546875" style="1176" customWidth="1"/>
    <col min="7683" max="7683" width="11" style="1176" customWidth="1"/>
    <col min="7684" max="7936" width="11.42578125" style="1176"/>
    <col min="7937" max="7937" width="4.28515625" style="1176" customWidth="1"/>
    <col min="7938" max="7938" width="95.85546875" style="1176" customWidth="1"/>
    <col min="7939" max="7939" width="11" style="1176" customWidth="1"/>
    <col min="7940" max="8192" width="11.42578125" style="1176"/>
    <col min="8193" max="8193" width="4.28515625" style="1176" customWidth="1"/>
    <col min="8194" max="8194" width="95.85546875" style="1176" customWidth="1"/>
    <col min="8195" max="8195" width="11" style="1176" customWidth="1"/>
    <col min="8196" max="8448" width="11.42578125" style="1176"/>
    <col min="8449" max="8449" width="4.28515625" style="1176" customWidth="1"/>
    <col min="8450" max="8450" width="95.85546875" style="1176" customWidth="1"/>
    <col min="8451" max="8451" width="11" style="1176" customWidth="1"/>
    <col min="8452" max="8704" width="11.42578125" style="1176"/>
    <col min="8705" max="8705" width="4.28515625" style="1176" customWidth="1"/>
    <col min="8706" max="8706" width="95.85546875" style="1176" customWidth="1"/>
    <col min="8707" max="8707" width="11" style="1176" customWidth="1"/>
    <col min="8708" max="8960" width="11.42578125" style="1176"/>
    <col min="8961" max="8961" width="4.28515625" style="1176" customWidth="1"/>
    <col min="8962" max="8962" width="95.85546875" style="1176" customWidth="1"/>
    <col min="8963" max="8963" width="11" style="1176" customWidth="1"/>
    <col min="8964" max="9216" width="11.42578125" style="1176"/>
    <col min="9217" max="9217" width="4.28515625" style="1176" customWidth="1"/>
    <col min="9218" max="9218" width="95.85546875" style="1176" customWidth="1"/>
    <col min="9219" max="9219" width="11" style="1176" customWidth="1"/>
    <col min="9220" max="9472" width="11.42578125" style="1176"/>
    <col min="9473" max="9473" width="4.28515625" style="1176" customWidth="1"/>
    <col min="9474" max="9474" width="95.85546875" style="1176" customWidth="1"/>
    <col min="9475" max="9475" width="11" style="1176" customWidth="1"/>
    <col min="9476" max="9728" width="11.42578125" style="1176"/>
    <col min="9729" max="9729" width="4.28515625" style="1176" customWidth="1"/>
    <col min="9730" max="9730" width="95.85546875" style="1176" customWidth="1"/>
    <col min="9731" max="9731" width="11" style="1176" customWidth="1"/>
    <col min="9732" max="9984" width="11.42578125" style="1176"/>
    <col min="9985" max="9985" width="4.28515625" style="1176" customWidth="1"/>
    <col min="9986" max="9986" width="95.85546875" style="1176" customWidth="1"/>
    <col min="9987" max="9987" width="11" style="1176" customWidth="1"/>
    <col min="9988" max="10240" width="11.42578125" style="1176"/>
    <col min="10241" max="10241" width="4.28515625" style="1176" customWidth="1"/>
    <col min="10242" max="10242" width="95.85546875" style="1176" customWidth="1"/>
    <col min="10243" max="10243" width="11" style="1176" customWidth="1"/>
    <col min="10244" max="10496" width="11.42578125" style="1176"/>
    <col min="10497" max="10497" width="4.28515625" style="1176" customWidth="1"/>
    <col min="10498" max="10498" width="95.85546875" style="1176" customWidth="1"/>
    <col min="10499" max="10499" width="11" style="1176" customWidth="1"/>
    <col min="10500" max="10752" width="11.42578125" style="1176"/>
    <col min="10753" max="10753" width="4.28515625" style="1176" customWidth="1"/>
    <col min="10754" max="10754" width="95.85546875" style="1176" customWidth="1"/>
    <col min="10755" max="10755" width="11" style="1176" customWidth="1"/>
    <col min="10756" max="11008" width="11.42578125" style="1176"/>
    <col min="11009" max="11009" width="4.28515625" style="1176" customWidth="1"/>
    <col min="11010" max="11010" width="95.85546875" style="1176" customWidth="1"/>
    <col min="11011" max="11011" width="11" style="1176" customWidth="1"/>
    <col min="11012" max="11264" width="11.42578125" style="1176"/>
    <col min="11265" max="11265" width="4.28515625" style="1176" customWidth="1"/>
    <col min="11266" max="11266" width="95.85546875" style="1176" customWidth="1"/>
    <col min="11267" max="11267" width="11" style="1176" customWidth="1"/>
    <col min="11268" max="11520" width="11.42578125" style="1176"/>
    <col min="11521" max="11521" width="4.28515625" style="1176" customWidth="1"/>
    <col min="11522" max="11522" width="95.85546875" style="1176" customWidth="1"/>
    <col min="11523" max="11523" width="11" style="1176" customWidth="1"/>
    <col min="11524" max="11776" width="11.42578125" style="1176"/>
    <col min="11777" max="11777" width="4.28515625" style="1176" customWidth="1"/>
    <col min="11778" max="11778" width="95.85546875" style="1176" customWidth="1"/>
    <col min="11779" max="11779" width="11" style="1176" customWidth="1"/>
    <col min="11780" max="12032" width="11.42578125" style="1176"/>
    <col min="12033" max="12033" width="4.28515625" style="1176" customWidth="1"/>
    <col min="12034" max="12034" width="95.85546875" style="1176" customWidth="1"/>
    <col min="12035" max="12035" width="11" style="1176" customWidth="1"/>
    <col min="12036" max="12288" width="11.42578125" style="1176"/>
    <col min="12289" max="12289" width="4.28515625" style="1176" customWidth="1"/>
    <col min="12290" max="12290" width="95.85546875" style="1176" customWidth="1"/>
    <col min="12291" max="12291" width="11" style="1176" customWidth="1"/>
    <col min="12292" max="12544" width="11.42578125" style="1176"/>
    <col min="12545" max="12545" width="4.28515625" style="1176" customWidth="1"/>
    <col min="12546" max="12546" width="95.85546875" style="1176" customWidth="1"/>
    <col min="12547" max="12547" width="11" style="1176" customWidth="1"/>
    <col min="12548" max="12800" width="11.42578125" style="1176"/>
    <col min="12801" max="12801" width="4.28515625" style="1176" customWidth="1"/>
    <col min="12802" max="12802" width="95.85546875" style="1176" customWidth="1"/>
    <col min="12803" max="12803" width="11" style="1176" customWidth="1"/>
    <col min="12804" max="13056" width="11.42578125" style="1176"/>
    <col min="13057" max="13057" width="4.28515625" style="1176" customWidth="1"/>
    <col min="13058" max="13058" width="95.85546875" style="1176" customWidth="1"/>
    <col min="13059" max="13059" width="11" style="1176" customWidth="1"/>
    <col min="13060" max="13312" width="11.42578125" style="1176"/>
    <col min="13313" max="13313" width="4.28515625" style="1176" customWidth="1"/>
    <col min="13314" max="13314" width="95.85546875" style="1176" customWidth="1"/>
    <col min="13315" max="13315" width="11" style="1176" customWidth="1"/>
    <col min="13316" max="13568" width="11.42578125" style="1176"/>
    <col min="13569" max="13569" width="4.28515625" style="1176" customWidth="1"/>
    <col min="13570" max="13570" width="95.85546875" style="1176" customWidth="1"/>
    <col min="13571" max="13571" width="11" style="1176" customWidth="1"/>
    <col min="13572" max="13824" width="11.42578125" style="1176"/>
    <col min="13825" max="13825" width="4.28515625" style="1176" customWidth="1"/>
    <col min="13826" max="13826" width="95.85546875" style="1176" customWidth="1"/>
    <col min="13827" max="13827" width="11" style="1176" customWidth="1"/>
    <col min="13828" max="14080" width="11.42578125" style="1176"/>
    <col min="14081" max="14081" width="4.28515625" style="1176" customWidth="1"/>
    <col min="14082" max="14082" width="95.85546875" style="1176" customWidth="1"/>
    <col min="14083" max="14083" width="11" style="1176" customWidth="1"/>
    <col min="14084" max="14336" width="11.42578125" style="1176"/>
    <col min="14337" max="14337" width="4.28515625" style="1176" customWidth="1"/>
    <col min="14338" max="14338" width="95.85546875" style="1176" customWidth="1"/>
    <col min="14339" max="14339" width="11" style="1176" customWidth="1"/>
    <col min="14340" max="14592" width="11.42578125" style="1176"/>
    <col min="14593" max="14593" width="4.28515625" style="1176" customWidth="1"/>
    <col min="14594" max="14594" width="95.85546875" style="1176" customWidth="1"/>
    <col min="14595" max="14595" width="11" style="1176" customWidth="1"/>
    <col min="14596" max="14848" width="11.42578125" style="1176"/>
    <col min="14849" max="14849" width="4.28515625" style="1176" customWidth="1"/>
    <col min="14850" max="14850" width="95.85546875" style="1176" customWidth="1"/>
    <col min="14851" max="14851" width="11" style="1176" customWidth="1"/>
    <col min="14852" max="15104" width="11.42578125" style="1176"/>
    <col min="15105" max="15105" width="4.28515625" style="1176" customWidth="1"/>
    <col min="15106" max="15106" width="95.85546875" style="1176" customWidth="1"/>
    <col min="15107" max="15107" width="11" style="1176" customWidth="1"/>
    <col min="15108" max="15360" width="11.42578125" style="1176"/>
    <col min="15361" max="15361" width="4.28515625" style="1176" customWidth="1"/>
    <col min="15362" max="15362" width="95.85546875" style="1176" customWidth="1"/>
    <col min="15363" max="15363" width="11" style="1176" customWidth="1"/>
    <col min="15364" max="15616" width="11.42578125" style="1176"/>
    <col min="15617" max="15617" width="4.28515625" style="1176" customWidth="1"/>
    <col min="15618" max="15618" width="95.85546875" style="1176" customWidth="1"/>
    <col min="15619" max="15619" width="11" style="1176" customWidth="1"/>
    <col min="15620" max="15872" width="11.42578125" style="1176"/>
    <col min="15873" max="15873" width="4.28515625" style="1176" customWidth="1"/>
    <col min="15874" max="15874" width="95.85546875" style="1176" customWidth="1"/>
    <col min="15875" max="15875" width="11" style="1176" customWidth="1"/>
    <col min="15876" max="16128" width="11.42578125" style="1176"/>
    <col min="16129" max="16129" width="4.28515625" style="1176" customWidth="1"/>
    <col min="16130" max="16130" width="95.85546875" style="1176" customWidth="1"/>
    <col min="16131" max="16131" width="11" style="1176" customWidth="1"/>
    <col min="16132" max="16384" width="11.42578125" style="1176"/>
  </cols>
  <sheetData>
    <row r="1" spans="1:14">
      <c r="B1" s="1177"/>
    </row>
    <row r="2" spans="1:14">
      <c r="A2" s="1178" t="s">
        <v>3219</v>
      </c>
      <c r="C2" s="1176" t="s">
        <v>2888</v>
      </c>
    </row>
    <row r="3" spans="1:14">
      <c r="A3" s="1179"/>
    </row>
    <row r="4" spans="1:14" ht="16.5" customHeight="1">
      <c r="A4" s="1805" t="s">
        <v>3220</v>
      </c>
      <c r="B4" s="1806"/>
      <c r="C4" s="1806"/>
    </row>
    <row r="5" spans="1:14">
      <c r="A5" s="1807" t="s">
        <v>3221</v>
      </c>
      <c r="B5" s="1807"/>
      <c r="C5" s="1807"/>
    </row>
    <row r="6" spans="1:14">
      <c r="C6" s="1180" t="s">
        <v>2</v>
      </c>
    </row>
    <row r="7" spans="1:14" s="1181" customFormat="1" ht="16.5" customHeight="1">
      <c r="A7" s="1808" t="s">
        <v>3</v>
      </c>
      <c r="B7" s="1808" t="s">
        <v>28</v>
      </c>
      <c r="C7" s="1808" t="s">
        <v>3222</v>
      </c>
      <c r="N7" s="1182"/>
    </row>
    <row r="8" spans="1:14" s="1181" customFormat="1">
      <c r="A8" s="1809"/>
      <c r="B8" s="1809"/>
      <c r="C8" s="1809"/>
    </row>
    <row r="9" spans="1:14" s="1184" customFormat="1">
      <c r="A9" s="1183">
        <v>1</v>
      </c>
      <c r="B9" s="1183">
        <v>2</v>
      </c>
      <c r="C9" s="1183">
        <v>3</v>
      </c>
    </row>
    <row r="10" spans="1:14" s="1181" customFormat="1">
      <c r="A10" s="1185" t="s">
        <v>5</v>
      </c>
      <c r="B10" s="1186" t="s">
        <v>3223</v>
      </c>
      <c r="C10" s="1187"/>
    </row>
    <row r="11" spans="1:14" s="1181" customFormat="1" ht="48.75" customHeight="1">
      <c r="A11" s="1188">
        <v>1</v>
      </c>
      <c r="B11" s="1189" t="s">
        <v>3224</v>
      </c>
      <c r="C11" s="1190"/>
    </row>
    <row r="12" spans="1:14" s="1181" customFormat="1" ht="49.5">
      <c r="A12" s="1188">
        <v>2</v>
      </c>
      <c r="B12" s="1189" t="s">
        <v>3225</v>
      </c>
      <c r="C12" s="1190"/>
    </row>
    <row r="13" spans="1:14" s="1181" customFormat="1" ht="49.5">
      <c r="A13" s="1188">
        <v>3</v>
      </c>
      <c r="B13" s="1189" t="s">
        <v>3226</v>
      </c>
      <c r="C13" s="1190"/>
    </row>
    <row r="14" spans="1:14" s="1181" customFormat="1" ht="33">
      <c r="A14" s="1188">
        <v>4</v>
      </c>
      <c r="B14" s="1189" t="s">
        <v>3227</v>
      </c>
      <c r="C14" s="1190"/>
    </row>
    <row r="15" spans="1:14" s="1181" customFormat="1" ht="33">
      <c r="A15" s="1188">
        <v>5</v>
      </c>
      <c r="B15" s="1189" t="s">
        <v>3228</v>
      </c>
      <c r="C15" s="1190"/>
    </row>
    <row r="16" spans="1:14" s="1181" customFormat="1">
      <c r="A16" s="1188">
        <v>6</v>
      </c>
      <c r="B16" s="1189" t="s">
        <v>3229</v>
      </c>
      <c r="C16" s="1190"/>
    </row>
    <row r="17" spans="1:3" s="1181" customFormat="1" ht="33">
      <c r="A17" s="1188">
        <v>7</v>
      </c>
      <c r="B17" s="1189" t="s">
        <v>3230</v>
      </c>
      <c r="C17" s="1190"/>
    </row>
    <row r="18" spans="1:3" s="1181" customFormat="1">
      <c r="A18" s="1188">
        <v>8</v>
      </c>
      <c r="B18" s="1189" t="s">
        <v>3231</v>
      </c>
      <c r="C18" s="1190"/>
    </row>
    <row r="19" spans="1:3" s="1181" customFormat="1">
      <c r="A19" s="1188" t="s">
        <v>6</v>
      </c>
      <c r="B19" s="1189" t="s">
        <v>3232</v>
      </c>
      <c r="C19" s="1190"/>
    </row>
    <row r="20" spans="1:3" s="1181" customFormat="1">
      <c r="A20" s="1188"/>
      <c r="B20" s="1191" t="s">
        <v>9</v>
      </c>
      <c r="C20" s="1190"/>
    </row>
    <row r="21" spans="1:3" s="1181" customFormat="1">
      <c r="A21" s="1188"/>
      <c r="B21" s="1191" t="s">
        <v>10</v>
      </c>
      <c r="C21" s="1190"/>
    </row>
    <row r="22" spans="1:3" s="1181" customFormat="1">
      <c r="A22" s="1188"/>
      <c r="B22" s="1191" t="s">
        <v>11</v>
      </c>
      <c r="C22" s="1190"/>
    </row>
    <row r="23" spans="1:3" s="1181" customFormat="1">
      <c r="A23" s="1188" t="s">
        <v>7</v>
      </c>
      <c r="B23" s="1189" t="s">
        <v>8</v>
      </c>
      <c r="C23" s="1190"/>
    </row>
    <row r="24" spans="1:3" s="1181" customFormat="1">
      <c r="A24" s="1188"/>
      <c r="B24" s="1191" t="s">
        <v>9</v>
      </c>
      <c r="C24" s="1190"/>
    </row>
    <row r="25" spans="1:3" s="1181" customFormat="1">
      <c r="A25" s="1188"/>
      <c r="B25" s="1191" t="s">
        <v>10</v>
      </c>
      <c r="C25" s="1190"/>
    </row>
    <row r="26" spans="1:3" s="1181" customFormat="1">
      <c r="A26" s="1188"/>
      <c r="B26" s="1191" t="s">
        <v>11</v>
      </c>
      <c r="C26" s="1190"/>
    </row>
    <row r="27" spans="1:3" s="1181" customFormat="1" ht="33">
      <c r="A27" s="1188">
        <v>9</v>
      </c>
      <c r="B27" s="1189" t="s">
        <v>3233</v>
      </c>
      <c r="C27" s="1190"/>
    </row>
    <row r="28" spans="1:3" s="1181" customFormat="1" hidden="1">
      <c r="A28" s="1188"/>
      <c r="B28" s="1191"/>
      <c r="C28" s="1190"/>
    </row>
    <row r="29" spans="1:3" s="1181" customFormat="1" hidden="1">
      <c r="A29" s="1188"/>
      <c r="B29" s="1191"/>
      <c r="C29" s="1190"/>
    </row>
    <row r="30" spans="1:3" s="1181" customFormat="1" hidden="1">
      <c r="A30" s="1188"/>
      <c r="B30" s="1191"/>
      <c r="C30" s="1192"/>
    </row>
    <row r="31" spans="1:3" s="1181" customFormat="1" hidden="1">
      <c r="A31" s="1188"/>
      <c r="B31" s="1191"/>
      <c r="C31" s="1190"/>
    </row>
    <row r="32" spans="1:3" s="1181" customFormat="1">
      <c r="A32" s="1188">
        <v>10</v>
      </c>
      <c r="B32" s="1189" t="s">
        <v>3234</v>
      </c>
      <c r="C32" s="1190"/>
    </row>
    <row r="33" spans="1:3" s="1181" customFormat="1">
      <c r="A33" s="1188">
        <v>11</v>
      </c>
      <c r="B33" s="1189" t="s">
        <v>3235</v>
      </c>
      <c r="C33" s="1190"/>
    </row>
    <row r="34" spans="1:3" s="1181" customFormat="1" hidden="1">
      <c r="A34" s="1188"/>
      <c r="B34" s="1193"/>
      <c r="C34" s="1190"/>
    </row>
    <row r="35" spans="1:3" s="1181" customFormat="1" hidden="1">
      <c r="A35" s="1188"/>
      <c r="B35" s="1193"/>
      <c r="C35" s="1190"/>
    </row>
    <row r="36" spans="1:3" s="1181" customFormat="1" hidden="1">
      <c r="A36" s="1188"/>
      <c r="B36" s="1193"/>
      <c r="C36" s="1190"/>
    </row>
    <row r="37" spans="1:3" s="1181" customFormat="1" hidden="1">
      <c r="A37" s="1188"/>
      <c r="B37" s="1193"/>
      <c r="C37" s="1190"/>
    </row>
    <row r="38" spans="1:3" s="1181" customFormat="1" hidden="1">
      <c r="A38" s="1188"/>
      <c r="B38" s="1193"/>
      <c r="C38" s="1190"/>
    </row>
    <row r="39" spans="1:3" s="1181" customFormat="1">
      <c r="A39" s="1194" t="s">
        <v>12</v>
      </c>
      <c r="B39" s="1195" t="s">
        <v>3236</v>
      </c>
      <c r="C39" s="1190"/>
    </row>
    <row r="40" spans="1:3" s="1181" customFormat="1" ht="33">
      <c r="A40" s="1194" t="s">
        <v>13</v>
      </c>
      <c r="B40" s="1196" t="s">
        <v>3237</v>
      </c>
      <c r="C40" s="1190"/>
    </row>
    <row r="41" spans="1:3" s="1181" customFormat="1" ht="33">
      <c r="A41" s="1194" t="s">
        <v>65</v>
      </c>
      <c r="B41" s="1196" t="s">
        <v>3238</v>
      </c>
      <c r="C41" s="1190"/>
    </row>
    <row r="42" spans="1:3" s="1181" customFormat="1" ht="33">
      <c r="A42" s="1194" t="s">
        <v>14</v>
      </c>
      <c r="B42" s="1196" t="s">
        <v>3239</v>
      </c>
      <c r="C42" s="1190"/>
    </row>
    <row r="43" spans="1:3" s="1181" customFormat="1" ht="33" hidden="1">
      <c r="A43" s="1194" t="s">
        <v>18</v>
      </c>
      <c r="B43" s="1196" t="s">
        <v>3240</v>
      </c>
      <c r="C43" s="1190"/>
    </row>
    <row r="44" spans="1:3" s="1181" customFormat="1">
      <c r="A44" s="1188">
        <v>1</v>
      </c>
      <c r="B44" s="1189" t="s">
        <v>15</v>
      </c>
      <c r="C44" s="1190"/>
    </row>
    <row r="45" spans="1:3" s="1181" customFormat="1">
      <c r="A45" s="1188"/>
      <c r="B45" s="1197" t="s">
        <v>16</v>
      </c>
      <c r="C45" s="1190"/>
    </row>
    <row r="46" spans="1:3" s="1181" customFormat="1">
      <c r="A46" s="1188">
        <v>2</v>
      </c>
      <c r="B46" s="1189" t="s">
        <v>3241</v>
      </c>
      <c r="C46" s="1190"/>
    </row>
    <row r="47" spans="1:3" s="1181" customFormat="1">
      <c r="A47" s="1188">
        <v>3</v>
      </c>
      <c r="B47" s="1189" t="s">
        <v>17</v>
      </c>
      <c r="C47" s="1190"/>
    </row>
    <row r="48" spans="1:3" s="1181" customFormat="1" ht="33">
      <c r="A48" s="1188">
        <v>4</v>
      </c>
      <c r="B48" s="1189" t="s">
        <v>3242</v>
      </c>
      <c r="C48" s="1190"/>
    </row>
    <row r="49" spans="1:3" s="1181" customFormat="1" ht="33">
      <c r="A49" s="1188">
        <v>5</v>
      </c>
      <c r="B49" s="1189" t="s">
        <v>3243</v>
      </c>
      <c r="C49" s="1198"/>
    </row>
    <row r="50" spans="1:3" s="1181" customFormat="1" ht="33">
      <c r="A50" s="1188">
        <v>6</v>
      </c>
      <c r="B50" s="1189" t="s">
        <v>3244</v>
      </c>
      <c r="C50" s="1198"/>
    </row>
    <row r="51" spans="1:3" s="1181" customFormat="1" ht="33">
      <c r="A51" s="1188">
        <v>7</v>
      </c>
      <c r="B51" s="1189" t="s">
        <v>3245</v>
      </c>
      <c r="C51" s="1190"/>
    </row>
    <row r="52" spans="1:3" s="1181" customFormat="1">
      <c r="A52" s="1194" t="s">
        <v>18</v>
      </c>
      <c r="B52" s="1199" t="s">
        <v>19</v>
      </c>
      <c r="C52" s="1198"/>
    </row>
    <row r="53" spans="1:3" s="1181" customFormat="1" ht="33">
      <c r="A53" s="1188">
        <v>1</v>
      </c>
      <c r="B53" s="1200" t="s">
        <v>3246</v>
      </c>
      <c r="C53" s="1190"/>
    </row>
    <row r="54" spans="1:3" s="1181" customFormat="1" ht="33">
      <c r="A54" s="1188">
        <v>2</v>
      </c>
      <c r="B54" s="1200" t="s">
        <v>3247</v>
      </c>
      <c r="C54" s="1190"/>
    </row>
    <row r="55" spans="1:3" s="1181" customFormat="1" ht="33">
      <c r="A55" s="1188">
        <v>3</v>
      </c>
      <c r="B55" s="1200" t="s">
        <v>3248</v>
      </c>
      <c r="C55" s="1190"/>
    </row>
    <row r="56" spans="1:3" s="1181" customFormat="1" ht="33">
      <c r="A56" s="1188">
        <v>4</v>
      </c>
      <c r="B56" s="1200" t="s">
        <v>3249</v>
      </c>
      <c r="C56" s="1190"/>
    </row>
    <row r="57" spans="1:3" s="1181" customFormat="1" ht="49.5">
      <c r="A57" s="1188">
        <v>5</v>
      </c>
      <c r="B57" s="1200" t="s">
        <v>3250</v>
      </c>
      <c r="C57" s="1190"/>
    </row>
    <row r="58" spans="1:3" s="1181" customFormat="1">
      <c r="A58" s="1188">
        <v>6</v>
      </c>
      <c r="B58" s="1200" t="s">
        <v>3251</v>
      </c>
      <c r="C58" s="1190"/>
    </row>
    <row r="59" spans="1:3" s="1181" customFormat="1" hidden="1">
      <c r="A59" s="1188"/>
      <c r="B59" s="1200"/>
      <c r="C59" s="1190"/>
    </row>
    <row r="60" spans="1:3" s="1181" customFormat="1" hidden="1">
      <c r="A60" s="1188"/>
      <c r="B60" s="1201"/>
      <c r="C60" s="1190"/>
    </row>
    <row r="61" spans="1:3" s="1181" customFormat="1" hidden="1">
      <c r="A61" s="1188"/>
      <c r="B61" s="1201"/>
      <c r="C61" s="1190"/>
    </row>
    <row r="62" spans="1:3" s="1181" customFormat="1">
      <c r="A62" s="1194" t="s">
        <v>69</v>
      </c>
      <c r="B62" s="1195" t="s">
        <v>3252</v>
      </c>
      <c r="C62" s="1198"/>
    </row>
    <row r="63" spans="1:3" s="1181" customFormat="1">
      <c r="A63" s="1188">
        <v>1</v>
      </c>
      <c r="B63" s="1193" t="s">
        <v>3253</v>
      </c>
      <c r="C63" s="1198"/>
    </row>
    <row r="64" spans="1:3" s="1181" customFormat="1">
      <c r="A64" s="1202">
        <v>2</v>
      </c>
      <c r="B64" s="1203" t="s">
        <v>20</v>
      </c>
      <c r="C64" s="1204"/>
    </row>
    <row r="65" spans="1:3" ht="16.5" customHeight="1">
      <c r="A65" s="1810" t="s">
        <v>3254</v>
      </c>
      <c r="B65" s="1811"/>
      <c r="C65" s="1811"/>
    </row>
    <row r="66" spans="1:3" ht="16.5" customHeight="1">
      <c r="A66" s="1205"/>
      <c r="B66"/>
      <c r="C66"/>
    </row>
    <row r="67" spans="1:3" s="1208" customFormat="1" ht="16.5" customHeight="1">
      <c r="A67" s="1206" t="s">
        <v>3255</v>
      </c>
      <c r="B67" s="1207"/>
      <c r="C67" s="1207"/>
    </row>
    <row r="68" spans="1:3" ht="16.5" customHeight="1">
      <c r="A68" s="1804" t="s">
        <v>3256</v>
      </c>
      <c r="B68" s="1804"/>
      <c r="C68"/>
    </row>
    <row r="69" spans="1:3" ht="16.5" customHeight="1">
      <c r="A69" s="1209" t="s">
        <v>3257</v>
      </c>
      <c r="B69" s="1210"/>
      <c r="C69"/>
    </row>
    <row r="70" spans="1:3" ht="16.5" customHeight="1">
      <c r="A70" s="1804" t="s">
        <v>3258</v>
      </c>
      <c r="B70" s="1804"/>
      <c r="C70"/>
    </row>
    <row r="71" spans="1:3">
      <c r="A71" s="1211"/>
      <c r="B71" s="1212" t="s">
        <v>3259</v>
      </c>
      <c r="C71" s="1213"/>
    </row>
    <row r="72" spans="1:3">
      <c r="A72" s="1213"/>
      <c r="B72" s="1214" t="s">
        <v>3260</v>
      </c>
      <c r="C72" s="1213"/>
    </row>
    <row r="73" spans="1:3">
      <c r="B73" s="1180" t="s">
        <v>3261</v>
      </c>
    </row>
    <row r="75" spans="1:3">
      <c r="B75" s="1215"/>
    </row>
    <row r="76" spans="1:3">
      <c r="B76" s="1177"/>
    </row>
  </sheetData>
  <mergeCells count="8">
    <mergeCell ref="A68:B68"/>
    <mergeCell ref="A70:B70"/>
    <mergeCell ref="A4:C4"/>
    <mergeCell ref="A5:C5"/>
    <mergeCell ref="A7:A8"/>
    <mergeCell ref="B7:B8"/>
    <mergeCell ref="C7:C8"/>
    <mergeCell ref="A65:C65"/>
  </mergeCells>
  <printOptions horizontalCentered="1"/>
  <pageMargins left="0.75" right="0.7" top="0.75" bottom="0.75" header="0.3" footer="0.3"/>
  <pageSetup paperSize="9" scale="78" fitToHeight="2" orientation="portrait" r:id="rId1"/>
  <headerFooter>
    <oddHeader>&amp;C&amp;"Times New Roman,Regular"&amp;13&amp;P&amp;R&amp;"Times New Roman,Regular"&amp;14Biểu số 4a</oddHeader>
  </headerFooter>
  <rowBreaks count="1" manualBreakCount="1">
    <brk id="33" max="2"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162EC-FFE6-4123-8376-8988B5704C87}">
  <dimension ref="A1:BH914"/>
  <sheetViews>
    <sheetView showZeros="0" zoomScale="77" zoomScaleNormal="77" workbookViewId="0">
      <pane xSplit="2" ySplit="10" topLeftCell="M282" activePane="bottomRight" state="frozen"/>
      <selection pane="topRight" activeCell="C1" sqref="C1"/>
      <selection pane="bottomLeft" activeCell="A11" sqref="A11"/>
      <selection pane="bottomRight" activeCell="A44" sqref="A44:XFD580"/>
    </sheetView>
  </sheetViews>
  <sheetFormatPr defaultColWidth="9.140625" defaultRowHeight="15.75"/>
  <cols>
    <col min="1" max="1" width="5.7109375" style="1523" customWidth="1"/>
    <col min="2" max="2" width="42.5703125" style="1527" customWidth="1"/>
    <col min="3" max="3" width="8.28515625" style="1523" customWidth="1"/>
    <col min="4" max="4" width="9.28515625" style="1523" customWidth="1"/>
    <col min="5" max="5" width="9.140625" style="1523" customWidth="1"/>
    <col min="6" max="6" width="7.7109375" style="1523" customWidth="1"/>
    <col min="7" max="7" width="13.28515625" style="1524" customWidth="1"/>
    <col min="8" max="8" width="13.5703125" style="1524" customWidth="1"/>
    <col min="9" max="9" width="12.7109375" style="1524" customWidth="1"/>
    <col min="10" max="10" width="9.140625" style="1524" customWidth="1"/>
    <col min="11" max="11" width="12.42578125" style="1524" customWidth="1"/>
    <col min="12" max="12" width="11.5703125" style="1524" customWidth="1"/>
    <col min="13" max="13" width="13.140625" style="1524" customWidth="1"/>
    <col min="14" max="14" width="11.5703125" style="1524" customWidth="1"/>
    <col min="15" max="15" width="10.7109375" style="1524" customWidth="1"/>
    <col min="16" max="16" width="11.85546875" style="1524" customWidth="1"/>
    <col min="17" max="17" width="10.42578125" style="1524" customWidth="1"/>
    <col min="18" max="18" width="11.7109375" style="1524" customWidth="1"/>
    <col min="19" max="19" width="11.28515625" style="1524" customWidth="1"/>
    <col min="20" max="20" width="12.85546875" style="1525" customWidth="1"/>
    <col min="21" max="21" width="13" style="1524" customWidth="1"/>
    <col min="22" max="22" width="12.7109375" style="1524" customWidth="1"/>
    <col min="23" max="23" width="12.85546875" style="1524" customWidth="1"/>
    <col min="24" max="24" width="7" style="1524" hidden="1" customWidth="1"/>
    <col min="25" max="25" width="12" style="1524" customWidth="1"/>
    <col min="26" max="26" width="9.85546875" style="1524" customWidth="1"/>
    <col min="27" max="27" width="12.42578125" style="1524" customWidth="1"/>
    <col min="28" max="28" width="11.85546875" style="1524" customWidth="1"/>
    <col min="29" max="29" width="10" style="1524" customWidth="1"/>
    <col min="30" max="30" width="12.28515625" style="1524" customWidth="1"/>
    <col min="31" max="31" width="10" style="1524" customWidth="1"/>
    <col min="32" max="32" width="11.5703125" style="1524" customWidth="1"/>
    <col min="33" max="33" width="11.7109375" style="1524" customWidth="1"/>
    <col min="34" max="34" width="12.7109375" style="1525" customWidth="1"/>
    <col min="35" max="35" width="12" style="1525" customWidth="1"/>
    <col min="36" max="36" width="12.7109375" style="1525" customWidth="1"/>
    <col min="37" max="37" width="13.85546875" style="1525" hidden="1" customWidth="1"/>
    <col min="38" max="38" width="10.85546875" style="561" hidden="1" customWidth="1"/>
    <col min="39" max="39" width="9.140625" style="1526"/>
    <col min="40" max="40" width="9.28515625" style="1526" bestFit="1" customWidth="1"/>
    <col min="41" max="16384" width="9.140625" style="1526"/>
  </cols>
  <sheetData>
    <row r="1" spans="1:38">
      <c r="A1" s="1877" t="s">
        <v>0</v>
      </c>
      <c r="B1" s="1877"/>
    </row>
    <row r="2" spans="1:38">
      <c r="A2" s="1877"/>
      <c r="B2" s="1877"/>
    </row>
    <row r="3" spans="1:38">
      <c r="A3" s="1878" t="s">
        <v>3444</v>
      </c>
      <c r="B3" s="1878"/>
      <c r="C3" s="1878"/>
      <c r="D3" s="1878"/>
      <c r="E3" s="1878"/>
      <c r="F3" s="1878"/>
      <c r="G3" s="1878"/>
      <c r="H3" s="1878"/>
      <c r="I3" s="1878"/>
      <c r="J3" s="1878"/>
      <c r="K3" s="1878"/>
      <c r="L3" s="1878"/>
      <c r="M3" s="1878"/>
      <c r="N3" s="1878"/>
      <c r="O3" s="1878"/>
      <c r="P3" s="1878"/>
      <c r="Q3" s="1878"/>
      <c r="R3" s="1878"/>
      <c r="S3" s="1878"/>
      <c r="T3" s="1878"/>
      <c r="U3" s="1878"/>
      <c r="V3" s="1878"/>
      <c r="W3" s="1878"/>
      <c r="X3" s="1878"/>
      <c r="Y3" s="1878"/>
      <c r="Z3" s="1878"/>
      <c r="AA3" s="1878"/>
      <c r="AB3" s="1878"/>
      <c r="AC3" s="1878"/>
      <c r="AD3" s="1878"/>
      <c r="AE3" s="1878"/>
      <c r="AF3" s="1878"/>
      <c r="AG3" s="1878"/>
      <c r="AH3" s="1878"/>
      <c r="AI3" s="1878"/>
      <c r="AJ3" s="1878"/>
    </row>
    <row r="4" spans="1:38">
      <c r="A4" s="1879" t="s">
        <v>3221</v>
      </c>
      <c r="B4" s="1879"/>
      <c r="C4" s="1879"/>
      <c r="D4" s="1879"/>
      <c r="E4" s="1879"/>
      <c r="F4" s="1879"/>
      <c r="G4" s="1879"/>
      <c r="H4" s="1879"/>
      <c r="I4" s="1879"/>
      <c r="J4" s="1879"/>
      <c r="K4" s="1879"/>
      <c r="L4" s="1879"/>
      <c r="M4" s="1879"/>
      <c r="N4" s="1879"/>
      <c r="O4" s="1879"/>
      <c r="P4" s="1879"/>
      <c r="Q4" s="1879"/>
      <c r="R4" s="1879"/>
      <c r="S4" s="1879"/>
      <c r="T4" s="1879"/>
      <c r="U4" s="1879"/>
      <c r="V4" s="1879"/>
      <c r="W4" s="1879"/>
      <c r="X4" s="1879"/>
      <c r="Y4" s="1879"/>
      <c r="Z4" s="1879"/>
      <c r="AA4" s="1879"/>
      <c r="AB4" s="1879"/>
      <c r="AC4" s="1879"/>
      <c r="AD4" s="1879"/>
      <c r="AE4" s="1879"/>
      <c r="AF4" s="1879"/>
      <c r="AG4" s="1879"/>
      <c r="AH4" s="1879"/>
      <c r="AI4" s="1879"/>
      <c r="AJ4" s="1879"/>
    </row>
    <row r="5" spans="1:38">
      <c r="T5" s="1524"/>
      <c r="AH5" s="1524"/>
      <c r="AI5" s="1528" t="s">
        <v>2220</v>
      </c>
    </row>
    <row r="6" spans="1:38" s="561" customFormat="1" ht="37.5" customHeight="1">
      <c r="A6" s="1880" t="s">
        <v>3</v>
      </c>
      <c r="B6" s="1882" t="s">
        <v>28</v>
      </c>
      <c r="C6" s="1884" t="s">
        <v>3445</v>
      </c>
      <c r="D6" s="1884" t="s">
        <v>2506</v>
      </c>
      <c r="E6" s="1884" t="s">
        <v>2507</v>
      </c>
      <c r="F6" s="1884" t="s">
        <v>3446</v>
      </c>
      <c r="G6" s="1887" t="s">
        <v>3447</v>
      </c>
      <c r="H6" s="1887"/>
      <c r="I6" s="1887"/>
      <c r="J6" s="1887"/>
      <c r="K6" s="1887"/>
      <c r="L6" s="1887"/>
      <c r="M6" s="1887"/>
      <c r="N6" s="1887"/>
      <c r="O6" s="1887"/>
      <c r="P6" s="1887"/>
      <c r="Q6" s="1887"/>
      <c r="R6" s="1887"/>
      <c r="S6" s="1887"/>
      <c r="T6" s="1887"/>
      <c r="U6" s="1887" t="s">
        <v>3448</v>
      </c>
      <c r="V6" s="1887"/>
      <c r="W6" s="1887"/>
      <c r="X6" s="1887"/>
      <c r="Y6" s="1887"/>
      <c r="Z6" s="1887"/>
      <c r="AA6" s="1887"/>
      <c r="AB6" s="1887"/>
      <c r="AC6" s="1887"/>
      <c r="AD6" s="1887"/>
      <c r="AE6" s="1887"/>
      <c r="AF6" s="1887"/>
      <c r="AG6" s="1887"/>
      <c r="AH6" s="1887"/>
      <c r="AI6" s="1887" t="s">
        <v>2508</v>
      </c>
      <c r="AJ6" s="1887" t="s">
        <v>3449</v>
      </c>
      <c r="AK6" s="281"/>
    </row>
    <row r="7" spans="1:38" s="561" customFormat="1" ht="18.75" customHeight="1">
      <c r="A7" s="1881"/>
      <c r="B7" s="1883"/>
      <c r="C7" s="1885"/>
      <c r="D7" s="1885"/>
      <c r="E7" s="1885"/>
      <c r="F7" s="1885"/>
      <c r="G7" s="1886" t="s">
        <v>2509</v>
      </c>
      <c r="H7" s="1886" t="s">
        <v>2510</v>
      </c>
      <c r="I7" s="1886" t="s">
        <v>2511</v>
      </c>
      <c r="J7" s="1889" t="s">
        <v>2512</v>
      </c>
      <c r="K7" s="1889"/>
      <c r="L7" s="1889"/>
      <c r="M7" s="1889"/>
      <c r="N7" s="1889"/>
      <c r="O7" s="1889"/>
      <c r="P7" s="1889"/>
      <c r="Q7" s="1889"/>
      <c r="R7" s="1889"/>
      <c r="S7" s="1889"/>
      <c r="T7" s="1886" t="s">
        <v>2513</v>
      </c>
      <c r="U7" s="1886" t="s">
        <v>2509</v>
      </c>
      <c r="V7" s="1886" t="s">
        <v>2510</v>
      </c>
      <c r="W7" s="1886" t="s">
        <v>2511</v>
      </c>
      <c r="X7" s="1889" t="s">
        <v>2512</v>
      </c>
      <c r="Y7" s="1889"/>
      <c r="Z7" s="1889"/>
      <c r="AA7" s="1889"/>
      <c r="AB7" s="1889"/>
      <c r="AC7" s="1889"/>
      <c r="AD7" s="1889"/>
      <c r="AE7" s="1889"/>
      <c r="AF7" s="1889"/>
      <c r="AG7" s="1889"/>
      <c r="AH7" s="1886" t="s">
        <v>2513</v>
      </c>
      <c r="AI7" s="1886"/>
      <c r="AJ7" s="1888"/>
      <c r="AK7" s="1430"/>
    </row>
    <row r="8" spans="1:38" s="561" customFormat="1" ht="37.5" customHeight="1">
      <c r="A8" s="1881"/>
      <c r="B8" s="1883"/>
      <c r="C8" s="1885"/>
      <c r="D8" s="1885"/>
      <c r="E8" s="1885"/>
      <c r="F8" s="1885"/>
      <c r="G8" s="1886"/>
      <c r="H8" s="1886"/>
      <c r="I8" s="1886"/>
      <c r="J8" s="1886" t="s">
        <v>2514</v>
      </c>
      <c r="K8" s="1886" t="s">
        <v>2515</v>
      </c>
      <c r="L8" s="1886" t="s">
        <v>2516</v>
      </c>
      <c r="M8" s="1886" t="s">
        <v>2517</v>
      </c>
      <c r="N8" s="1886" t="s">
        <v>2518</v>
      </c>
      <c r="O8" s="1886" t="s">
        <v>2519</v>
      </c>
      <c r="P8" s="1886" t="s">
        <v>2520</v>
      </c>
      <c r="Q8" s="1886" t="s">
        <v>2521</v>
      </c>
      <c r="R8" s="1886" t="s">
        <v>2522</v>
      </c>
      <c r="S8" s="1886" t="s">
        <v>2523</v>
      </c>
      <c r="T8" s="1886"/>
      <c r="U8" s="1886"/>
      <c r="V8" s="1886"/>
      <c r="W8" s="1886"/>
      <c r="X8" s="1886" t="s">
        <v>2514</v>
      </c>
      <c r="Y8" s="1886" t="s">
        <v>2515</v>
      </c>
      <c r="Z8" s="1886" t="s">
        <v>2516</v>
      </c>
      <c r="AA8" s="1886" t="s">
        <v>2517</v>
      </c>
      <c r="AB8" s="1886" t="s">
        <v>2518</v>
      </c>
      <c r="AC8" s="1886" t="s">
        <v>2519</v>
      </c>
      <c r="AD8" s="1886" t="s">
        <v>2520</v>
      </c>
      <c r="AE8" s="1886" t="s">
        <v>2521</v>
      </c>
      <c r="AF8" s="1886" t="s">
        <v>2522</v>
      </c>
      <c r="AG8" s="1886" t="s">
        <v>2523</v>
      </c>
      <c r="AH8" s="1886"/>
      <c r="AI8" s="1886"/>
      <c r="AJ8" s="1888"/>
      <c r="AK8" s="1430"/>
    </row>
    <row r="9" spans="1:38" s="561" customFormat="1" ht="37.5" customHeight="1">
      <c r="A9" s="1881"/>
      <c r="B9" s="1883"/>
      <c r="C9" s="1885"/>
      <c r="D9" s="1885"/>
      <c r="E9" s="1885"/>
      <c r="F9" s="1885"/>
      <c r="G9" s="1886"/>
      <c r="H9" s="1886"/>
      <c r="I9" s="1886"/>
      <c r="J9" s="1886"/>
      <c r="K9" s="1886" t="s">
        <v>2524</v>
      </c>
      <c r="L9" s="1886"/>
      <c r="M9" s="1886"/>
      <c r="N9" s="1886" t="s">
        <v>2525</v>
      </c>
      <c r="O9" s="1886"/>
      <c r="P9" s="1886"/>
      <c r="Q9" s="1886"/>
      <c r="R9" s="1886"/>
      <c r="S9" s="1886"/>
      <c r="T9" s="1886"/>
      <c r="U9" s="1886"/>
      <c r="V9" s="1886"/>
      <c r="W9" s="1886"/>
      <c r="X9" s="1886"/>
      <c r="Y9" s="1886" t="s">
        <v>2524</v>
      </c>
      <c r="Z9" s="1886"/>
      <c r="AA9" s="1886"/>
      <c r="AB9" s="1886" t="s">
        <v>2525</v>
      </c>
      <c r="AC9" s="1886"/>
      <c r="AD9" s="1886"/>
      <c r="AE9" s="1886"/>
      <c r="AF9" s="1886"/>
      <c r="AG9" s="1886"/>
      <c r="AH9" s="1886"/>
      <c r="AI9" s="1886"/>
      <c r="AJ9" s="1888"/>
      <c r="AK9" s="1430"/>
    </row>
    <row r="10" spans="1:38" s="561" customFormat="1" ht="43.5" customHeight="1">
      <c r="A10" s="1881"/>
      <c r="B10" s="1883"/>
      <c r="C10" s="1885"/>
      <c r="D10" s="1885"/>
      <c r="E10" s="1885"/>
      <c r="F10" s="1885"/>
      <c r="G10" s="1886"/>
      <c r="H10" s="1886"/>
      <c r="I10" s="1886"/>
      <c r="J10" s="1886"/>
      <c r="K10" s="1886"/>
      <c r="L10" s="1886"/>
      <c r="M10" s="1886"/>
      <c r="N10" s="1886"/>
      <c r="O10" s="1886"/>
      <c r="P10" s="1886"/>
      <c r="Q10" s="1886"/>
      <c r="R10" s="1886"/>
      <c r="S10" s="1886"/>
      <c r="T10" s="1886"/>
      <c r="U10" s="1886"/>
      <c r="V10" s="1886"/>
      <c r="W10" s="1886"/>
      <c r="X10" s="1886"/>
      <c r="Y10" s="1886"/>
      <c r="Z10" s="1886"/>
      <c r="AA10" s="1886"/>
      <c r="AB10" s="1886"/>
      <c r="AC10" s="1886"/>
      <c r="AD10" s="1886"/>
      <c r="AE10" s="1886"/>
      <c r="AF10" s="1886"/>
      <c r="AG10" s="1886"/>
      <c r="AH10" s="1886"/>
      <c r="AI10" s="1886"/>
      <c r="AJ10" s="1888"/>
      <c r="AK10" s="1430"/>
    </row>
    <row r="11" spans="1:38" s="1444" customFormat="1" ht="20.25" customHeight="1">
      <c r="A11" s="1529">
        <v>1</v>
      </c>
      <c r="B11" s="1529" t="s">
        <v>140</v>
      </c>
      <c r="C11" s="1529">
        <v>3</v>
      </c>
      <c r="D11" s="1529"/>
      <c r="E11" s="1529"/>
      <c r="F11" s="1529">
        <v>4</v>
      </c>
      <c r="G11" s="1530">
        <v>5</v>
      </c>
      <c r="H11" s="1530">
        <v>6</v>
      </c>
      <c r="I11" s="1530">
        <v>7</v>
      </c>
      <c r="J11" s="1530">
        <v>8</v>
      </c>
      <c r="K11" s="1530">
        <v>9</v>
      </c>
      <c r="L11" s="1530">
        <v>10</v>
      </c>
      <c r="M11" s="1530">
        <v>11</v>
      </c>
      <c r="N11" s="1530">
        <v>12</v>
      </c>
      <c r="O11" s="1530">
        <v>13</v>
      </c>
      <c r="P11" s="1530">
        <v>14</v>
      </c>
      <c r="Q11" s="1530">
        <v>15</v>
      </c>
      <c r="R11" s="1530">
        <v>16</v>
      </c>
      <c r="S11" s="1530">
        <v>17</v>
      </c>
      <c r="T11" s="1530">
        <v>18</v>
      </c>
      <c r="U11" s="1530">
        <v>19</v>
      </c>
      <c r="V11" s="1530">
        <v>20</v>
      </c>
      <c r="W11" s="1530">
        <v>21</v>
      </c>
      <c r="X11" s="1530">
        <v>22</v>
      </c>
      <c r="Y11" s="1530">
        <v>23</v>
      </c>
      <c r="Z11" s="1530">
        <v>24</v>
      </c>
      <c r="AA11" s="1530">
        <v>25</v>
      </c>
      <c r="AB11" s="1530">
        <v>26</v>
      </c>
      <c r="AC11" s="1530">
        <v>27</v>
      </c>
      <c r="AD11" s="1530">
        <v>28</v>
      </c>
      <c r="AE11" s="1530">
        <v>29</v>
      </c>
      <c r="AF11" s="1530">
        <v>30</v>
      </c>
      <c r="AG11" s="1530">
        <v>31</v>
      </c>
      <c r="AH11" s="1530">
        <v>32</v>
      </c>
      <c r="AI11" s="1441" t="s">
        <v>2526</v>
      </c>
      <c r="AJ11" s="1441" t="s">
        <v>3450</v>
      </c>
      <c r="AK11" s="1531"/>
      <c r="AL11" s="1431"/>
    </row>
    <row r="12" spans="1:38" s="1444" customFormat="1" ht="20.25" customHeight="1">
      <c r="A12" s="1433"/>
      <c r="B12" s="1532" t="s">
        <v>2527</v>
      </c>
      <c r="C12" s="1438">
        <f>C13+C34+C35+C39</f>
        <v>8474</v>
      </c>
      <c r="D12" s="1438"/>
      <c r="E12" s="1438"/>
      <c r="F12" s="1438">
        <f t="shared" ref="F12:AJ12" si="0">F13+F34+F35+F39</f>
        <v>8849</v>
      </c>
      <c r="G12" s="1438">
        <f t="shared" si="0"/>
        <v>73257.257346681479</v>
      </c>
      <c r="H12" s="1438">
        <f t="shared" si="0"/>
        <v>40644.403879999998</v>
      </c>
      <c r="I12" s="1438">
        <f t="shared" si="0"/>
        <v>22195.740068200001</v>
      </c>
      <c r="J12" s="1438">
        <f t="shared" si="0"/>
        <v>0</v>
      </c>
      <c r="K12" s="1438">
        <f t="shared" si="0"/>
        <v>1118.8993999999998</v>
      </c>
      <c r="L12" s="1438">
        <f t="shared" si="0"/>
        <v>340.245496</v>
      </c>
      <c r="M12" s="1438">
        <f t="shared" si="0"/>
        <v>12110.422699099998</v>
      </c>
      <c r="N12" s="1438">
        <f t="shared" si="0"/>
        <v>3120.2075255999998</v>
      </c>
      <c r="O12" s="1438">
        <f t="shared" si="0"/>
        <v>395.99899999999997</v>
      </c>
      <c r="P12" s="1438">
        <f t="shared" si="0"/>
        <v>1549.5644280000001</v>
      </c>
      <c r="Q12" s="1438">
        <f t="shared" si="0"/>
        <v>416.60533499999997</v>
      </c>
      <c r="R12" s="1438">
        <f t="shared" si="0"/>
        <v>2152.4071574999998</v>
      </c>
      <c r="S12" s="1438">
        <f t="shared" si="0"/>
        <v>976.78707700000018</v>
      </c>
      <c r="T12" s="1438">
        <f t="shared" si="0"/>
        <v>5919.5717450515003</v>
      </c>
      <c r="U12" s="1438">
        <f t="shared" si="0"/>
        <v>78812.820737786809</v>
      </c>
      <c r="V12" s="1438">
        <f t="shared" si="0"/>
        <v>43699.161186364152</v>
      </c>
      <c r="W12" s="1438">
        <f t="shared" si="0"/>
        <v>23893.616783577207</v>
      </c>
      <c r="X12" s="1438">
        <f t="shared" si="0"/>
        <v>0</v>
      </c>
      <c r="Y12" s="1438">
        <f t="shared" si="0"/>
        <v>1197.381982567792</v>
      </c>
      <c r="Z12" s="1438">
        <f t="shared" si="0"/>
        <v>350.11746262313227</v>
      </c>
      <c r="AA12" s="1438">
        <f t="shared" si="0"/>
        <v>12979.264404071224</v>
      </c>
      <c r="AB12" s="1438">
        <f t="shared" si="0"/>
        <v>3370.1651550258994</v>
      </c>
      <c r="AC12" s="1438">
        <f t="shared" si="0"/>
        <v>430.71900000000005</v>
      </c>
      <c r="AD12" s="1438">
        <f t="shared" si="0"/>
        <v>1663.2283560935255</v>
      </c>
      <c r="AE12" s="1438">
        <f t="shared" si="0"/>
        <v>446.57665406474825</v>
      </c>
      <c r="AF12" s="1438">
        <f t="shared" si="0"/>
        <v>2398.0616806007192</v>
      </c>
      <c r="AG12" s="1438">
        <f t="shared" si="0"/>
        <v>1042.4496385301604</v>
      </c>
      <c r="AH12" s="1438">
        <f t="shared" si="0"/>
        <v>11153.86471742237</v>
      </c>
      <c r="AI12" s="1438">
        <f t="shared" si="0"/>
        <v>5555.5633911052955</v>
      </c>
      <c r="AJ12" s="1438">
        <f t="shared" si="0"/>
        <v>66666.760693263539</v>
      </c>
      <c r="AK12" s="1531"/>
      <c r="AL12" s="1431"/>
    </row>
    <row r="13" spans="1:38" s="1444" customFormat="1" ht="20.25" customHeight="1">
      <c r="A13" s="1433" t="s">
        <v>13</v>
      </c>
      <c r="B13" s="1532" t="s">
        <v>2528</v>
      </c>
      <c r="C13" s="1438">
        <f>C15+C20+C22+C23+C24+C25+C26+C27+C28+C29</f>
        <v>8473</v>
      </c>
      <c r="D13" s="1438"/>
      <c r="E13" s="1438"/>
      <c r="F13" s="1438">
        <f t="shared" ref="F13:AH13" si="1">F15+F20+F22+F23+F24+F25+F26+F27+F28+F29</f>
        <v>8479</v>
      </c>
      <c r="G13" s="1438">
        <f t="shared" si="1"/>
        <v>73033.189346681494</v>
      </c>
      <c r="H13" s="1438">
        <f t="shared" si="1"/>
        <v>40641.067879999995</v>
      </c>
      <c r="I13" s="1438">
        <f t="shared" si="1"/>
        <v>21975.008068200001</v>
      </c>
      <c r="J13" s="1438">
        <f t="shared" si="1"/>
        <v>0</v>
      </c>
      <c r="K13" s="1438">
        <f t="shared" si="1"/>
        <v>1118.8993999999998</v>
      </c>
      <c r="L13" s="1438">
        <f t="shared" si="1"/>
        <v>340.245496</v>
      </c>
      <c r="M13" s="1438">
        <f t="shared" si="1"/>
        <v>12110.422699099998</v>
      </c>
      <c r="N13" s="1438">
        <f t="shared" si="1"/>
        <v>3120.2075255999998</v>
      </c>
      <c r="O13" s="1438">
        <f t="shared" si="1"/>
        <v>395.99899999999997</v>
      </c>
      <c r="P13" s="1438">
        <f t="shared" si="1"/>
        <v>1549.5644280000001</v>
      </c>
      <c r="Q13" s="1438">
        <f t="shared" si="1"/>
        <v>416.60533499999997</v>
      </c>
      <c r="R13" s="1438">
        <f t="shared" si="1"/>
        <v>2152.4071574999998</v>
      </c>
      <c r="S13" s="1438">
        <f t="shared" si="1"/>
        <v>756.05507700000021</v>
      </c>
      <c r="T13" s="1438">
        <f t="shared" si="1"/>
        <v>5919.5717450515003</v>
      </c>
      <c r="U13" s="1438">
        <f t="shared" si="1"/>
        <v>78571.828137786797</v>
      </c>
      <c r="V13" s="1438">
        <f t="shared" si="1"/>
        <v>43695.585186364151</v>
      </c>
      <c r="W13" s="1438">
        <f t="shared" si="1"/>
        <v>23657.004783577206</v>
      </c>
      <c r="X13" s="1438">
        <f t="shared" si="1"/>
        <v>0</v>
      </c>
      <c r="Y13" s="1438">
        <f t="shared" si="1"/>
        <v>1197.381982567792</v>
      </c>
      <c r="Z13" s="1438">
        <f t="shared" si="1"/>
        <v>350.11746262313227</v>
      </c>
      <c r="AA13" s="1438">
        <f t="shared" si="1"/>
        <v>12979.264404071224</v>
      </c>
      <c r="AB13" s="1438">
        <f t="shared" si="1"/>
        <v>3370.1651550258994</v>
      </c>
      <c r="AC13" s="1438">
        <f t="shared" si="1"/>
        <v>430.71900000000005</v>
      </c>
      <c r="AD13" s="1438">
        <f t="shared" si="1"/>
        <v>1663.2283560935255</v>
      </c>
      <c r="AE13" s="1438">
        <f t="shared" si="1"/>
        <v>446.57665406474825</v>
      </c>
      <c r="AF13" s="1438">
        <f t="shared" si="1"/>
        <v>2398.0616806007192</v>
      </c>
      <c r="AG13" s="1438">
        <f t="shared" si="1"/>
        <v>805.83763853016046</v>
      </c>
      <c r="AH13" s="1438">
        <f t="shared" si="1"/>
        <v>11153.06011742237</v>
      </c>
      <c r="AI13" s="1438">
        <f>AI15+AI20+AI22+AI23+AI24+AI25+AI26+AI27+AI28+AI29</f>
        <v>5538.6387911052952</v>
      </c>
      <c r="AJ13" s="1438">
        <f>AJ15+AJ20+AJ22+AJ23+AJ24+AJ25+AJ26+AJ27+AJ28+AJ29</f>
        <v>66463.665493263543</v>
      </c>
      <c r="AK13" s="1531"/>
      <c r="AL13" s="1431"/>
    </row>
    <row r="14" spans="1:38" s="1444" customFormat="1" ht="20.25" customHeight="1">
      <c r="A14" s="1375"/>
      <c r="B14" s="1533" t="s">
        <v>2512</v>
      </c>
      <c r="C14" s="1440"/>
      <c r="D14" s="1440"/>
      <c r="E14" s="1440"/>
      <c r="F14" s="1440"/>
      <c r="G14" s="1367"/>
      <c r="H14" s="1440"/>
      <c r="I14" s="1367"/>
      <c r="J14" s="1440"/>
      <c r="K14" s="1440"/>
      <c r="L14" s="1440"/>
      <c r="M14" s="1440"/>
      <c r="N14" s="1440"/>
      <c r="O14" s="1440"/>
      <c r="P14" s="1440"/>
      <c r="Q14" s="1440"/>
      <c r="R14" s="1440"/>
      <c r="S14" s="1440"/>
      <c r="T14" s="1367"/>
      <c r="U14" s="1367"/>
      <c r="V14" s="1367"/>
      <c r="W14" s="1367"/>
      <c r="X14" s="1367"/>
      <c r="Y14" s="1367"/>
      <c r="Z14" s="1367"/>
      <c r="AA14" s="1367"/>
      <c r="AB14" s="1367"/>
      <c r="AC14" s="1367"/>
      <c r="AD14" s="1367"/>
      <c r="AE14" s="1367"/>
      <c r="AF14" s="1367"/>
      <c r="AG14" s="1367"/>
      <c r="AH14" s="1367"/>
      <c r="AI14" s="1367"/>
      <c r="AJ14" s="1367"/>
      <c r="AK14" s="1531"/>
      <c r="AL14" s="1431"/>
    </row>
    <row r="15" spans="1:38" s="1444" customFormat="1" ht="20.25" customHeight="1">
      <c r="A15" s="1375">
        <v>1</v>
      </c>
      <c r="B15" s="1534" t="s">
        <v>2489</v>
      </c>
      <c r="C15" s="1365">
        <f>C16+C18</f>
        <v>2336</v>
      </c>
      <c r="D15" s="1365">
        <f t="shared" ref="D15:AJ15" si="2">D16+D18</f>
        <v>2071</v>
      </c>
      <c r="E15" s="1365">
        <f t="shared" si="2"/>
        <v>0</v>
      </c>
      <c r="F15" s="1365">
        <f t="shared" si="2"/>
        <v>3233</v>
      </c>
      <c r="G15" s="1366">
        <f t="shared" si="2"/>
        <v>31534.347651429998</v>
      </c>
      <c r="H15" s="1365">
        <f t="shared" si="2"/>
        <v>16368.844699999996</v>
      </c>
      <c r="I15" s="1366">
        <f t="shared" si="2"/>
        <v>10727.673195999996</v>
      </c>
      <c r="J15" s="1365">
        <f t="shared" si="2"/>
        <v>0</v>
      </c>
      <c r="K15" s="1365">
        <f t="shared" si="2"/>
        <v>355.02499999999998</v>
      </c>
      <c r="L15" s="1365">
        <f t="shared" si="2"/>
        <v>88.588912000000008</v>
      </c>
      <c r="M15" s="1365">
        <f t="shared" si="2"/>
        <v>5999.8393087999993</v>
      </c>
      <c r="N15" s="1365">
        <f t="shared" si="2"/>
        <v>1802.0101491999997</v>
      </c>
      <c r="O15" s="1365">
        <f t="shared" si="2"/>
        <v>263.81</v>
      </c>
      <c r="P15" s="1365">
        <f t="shared" si="2"/>
        <v>0</v>
      </c>
      <c r="Q15" s="1365">
        <f t="shared" si="2"/>
        <v>0</v>
      </c>
      <c r="R15" s="1365">
        <f t="shared" si="2"/>
        <v>2071.9233260000001</v>
      </c>
      <c r="S15" s="1365">
        <f t="shared" si="2"/>
        <v>146.47650000000002</v>
      </c>
      <c r="T15" s="1366"/>
      <c r="U15" s="1366">
        <f t="shared" si="2"/>
        <v>34071.475382510005</v>
      </c>
      <c r="V15" s="1366">
        <f t="shared" si="2"/>
        <v>17658.3642</v>
      </c>
      <c r="W15" s="1366">
        <f t="shared" si="2"/>
        <v>11612.0512218</v>
      </c>
      <c r="X15" s="1366">
        <f t="shared" si="2"/>
        <v>0</v>
      </c>
      <c r="Y15" s="1366">
        <f t="shared" si="2"/>
        <v>378.62699999999995</v>
      </c>
      <c r="Z15" s="1366">
        <f t="shared" si="2"/>
        <v>81.363125999999994</v>
      </c>
      <c r="AA15" s="1366">
        <f t="shared" si="2"/>
        <v>6431.4821008000008</v>
      </c>
      <c r="AB15" s="1366">
        <f t="shared" si="2"/>
        <v>1957.1334349999997</v>
      </c>
      <c r="AC15" s="1366">
        <f t="shared" si="2"/>
        <v>292.20000000000005</v>
      </c>
      <c r="AD15" s="1366">
        <f t="shared" si="2"/>
        <v>0</v>
      </c>
      <c r="AE15" s="1366">
        <f t="shared" si="2"/>
        <v>0</v>
      </c>
      <c r="AF15" s="1366">
        <f t="shared" si="2"/>
        <v>2311.68806</v>
      </c>
      <c r="AG15" s="1366">
        <f t="shared" si="2"/>
        <v>159.5575</v>
      </c>
      <c r="AH15" s="1366">
        <f t="shared" si="2"/>
        <v>4801.0599607099994</v>
      </c>
      <c r="AI15" s="1366">
        <f t="shared" si="2"/>
        <v>2537.1277310800015</v>
      </c>
      <c r="AJ15" s="1366">
        <f t="shared" si="2"/>
        <v>30445.532772960018</v>
      </c>
      <c r="AK15" s="1531"/>
      <c r="AL15" s="1431"/>
    </row>
    <row r="16" spans="1:38" s="1444" customFormat="1" ht="20.25" customHeight="1">
      <c r="A16" s="1375"/>
      <c r="B16" s="1449" t="s">
        <v>2490</v>
      </c>
      <c r="C16" s="1365">
        <f>SUM(C48,C585)</f>
        <v>2184</v>
      </c>
      <c r="D16" s="1365">
        <f t="shared" ref="D16:AH16" si="3">SUM(D48,D585)</f>
        <v>2066</v>
      </c>
      <c r="E16" s="1365">
        <f t="shared" si="3"/>
        <v>0</v>
      </c>
      <c r="F16" s="1365">
        <f t="shared" si="3"/>
        <v>2062</v>
      </c>
      <c r="G16" s="1365">
        <f t="shared" si="3"/>
        <v>23490.368458929999</v>
      </c>
      <c r="H16" s="1365">
        <f t="shared" si="3"/>
        <v>11270.926199999996</v>
      </c>
      <c r="I16" s="1365">
        <f t="shared" si="3"/>
        <v>9095.8371959999968</v>
      </c>
      <c r="J16" s="1365">
        <f t="shared" si="3"/>
        <v>0</v>
      </c>
      <c r="K16" s="1365">
        <f t="shared" si="3"/>
        <v>198.35300000000001</v>
      </c>
      <c r="L16" s="1365">
        <f t="shared" si="3"/>
        <v>81.760912000000005</v>
      </c>
      <c r="M16" s="1365">
        <f t="shared" si="3"/>
        <v>4900.275308799999</v>
      </c>
      <c r="N16" s="1365">
        <f t="shared" si="3"/>
        <v>1791.4101491999998</v>
      </c>
      <c r="O16" s="1365">
        <f t="shared" si="3"/>
        <v>263.81</v>
      </c>
      <c r="P16" s="1365">
        <f t="shared" si="3"/>
        <v>0</v>
      </c>
      <c r="Q16" s="1365">
        <f t="shared" si="3"/>
        <v>0</v>
      </c>
      <c r="R16" s="1365">
        <f t="shared" si="3"/>
        <v>1740.8963260000003</v>
      </c>
      <c r="S16" s="1365">
        <f t="shared" si="3"/>
        <v>119.33150000000002</v>
      </c>
      <c r="T16" s="1365">
        <f t="shared" si="3"/>
        <v>3123.6050629300003</v>
      </c>
      <c r="U16" s="1365">
        <f t="shared" si="3"/>
        <v>25450.478765010001</v>
      </c>
      <c r="V16" s="1365">
        <f t="shared" si="3"/>
        <v>12194.949699999999</v>
      </c>
      <c r="W16" s="1365">
        <f t="shared" si="3"/>
        <v>9862.9182218000005</v>
      </c>
      <c r="X16" s="1365">
        <f t="shared" si="3"/>
        <v>0</v>
      </c>
      <c r="Y16" s="1365">
        <f t="shared" si="3"/>
        <v>210.83499999999998</v>
      </c>
      <c r="Z16" s="1365">
        <f t="shared" si="3"/>
        <v>74.049126000000001</v>
      </c>
      <c r="AA16" s="1365">
        <f t="shared" si="3"/>
        <v>5252.8131008000009</v>
      </c>
      <c r="AB16" s="1365">
        <f t="shared" si="3"/>
        <v>1945.7634349999998</v>
      </c>
      <c r="AC16" s="1365">
        <f t="shared" si="3"/>
        <v>292.20000000000005</v>
      </c>
      <c r="AD16" s="1365">
        <f t="shared" si="3"/>
        <v>0</v>
      </c>
      <c r="AE16" s="1365">
        <f t="shared" si="3"/>
        <v>0</v>
      </c>
      <c r="AF16" s="1365">
        <f t="shared" si="3"/>
        <v>1956.8080600000001</v>
      </c>
      <c r="AG16" s="1365">
        <f t="shared" si="3"/>
        <v>130.4495</v>
      </c>
      <c r="AH16" s="1365">
        <f t="shared" si="3"/>
        <v>3392.61084321</v>
      </c>
      <c r="AI16" s="1366">
        <f t="shared" ref="AI16:AI28" si="4">U16-G16</f>
        <v>1960.1103060800015</v>
      </c>
      <c r="AJ16" s="1366">
        <f t="shared" ref="AJ16:AJ28" si="5">AI16*12</f>
        <v>23521.323672960018</v>
      </c>
      <c r="AK16" s="1531"/>
      <c r="AL16" s="1431"/>
    </row>
    <row r="17" spans="1:38" s="1444" customFormat="1" ht="20.25" customHeight="1">
      <c r="A17" s="1456"/>
      <c r="B17" s="1535" t="s">
        <v>2529</v>
      </c>
      <c r="C17" s="1365">
        <f>SUM(C89,C586)</f>
        <v>0</v>
      </c>
      <c r="D17" s="1365">
        <f t="shared" ref="D17:AH18" si="6">SUM(D89,D586)</f>
        <v>0</v>
      </c>
      <c r="E17" s="1365">
        <f t="shared" si="6"/>
        <v>0</v>
      </c>
      <c r="F17" s="1365">
        <f t="shared" si="6"/>
        <v>10</v>
      </c>
      <c r="G17" s="1365">
        <f t="shared" si="6"/>
        <v>68.616757859999993</v>
      </c>
      <c r="H17" s="1365">
        <f t="shared" si="6"/>
        <v>52.319599999999994</v>
      </c>
      <c r="I17" s="1365">
        <f t="shared" si="6"/>
        <v>3.3198759999999998</v>
      </c>
      <c r="J17" s="1365">
        <f t="shared" si="6"/>
        <v>0</v>
      </c>
      <c r="K17" s="1365">
        <f t="shared" si="6"/>
        <v>2.0154999999999998</v>
      </c>
      <c r="L17" s="1365">
        <f t="shared" si="6"/>
        <v>0.88737599999999994</v>
      </c>
      <c r="M17" s="1365">
        <f t="shared" si="6"/>
        <v>0</v>
      </c>
      <c r="N17" s="1365">
        <f t="shared" si="6"/>
        <v>0</v>
      </c>
      <c r="O17" s="1365">
        <f t="shared" si="6"/>
        <v>0</v>
      </c>
      <c r="P17" s="1365">
        <f t="shared" si="6"/>
        <v>0</v>
      </c>
      <c r="Q17" s="1365">
        <f t="shared" si="6"/>
        <v>0</v>
      </c>
      <c r="R17" s="1365">
        <f t="shared" si="6"/>
        <v>0</v>
      </c>
      <c r="S17" s="1365">
        <f t="shared" si="6"/>
        <v>0.41699999999999998</v>
      </c>
      <c r="T17" s="1365">
        <f t="shared" si="6"/>
        <v>12.97728186</v>
      </c>
      <c r="U17" s="1365">
        <f t="shared" si="6"/>
        <v>73.553215259999988</v>
      </c>
      <c r="V17" s="1365">
        <f t="shared" si="6"/>
        <v>56.083599999999997</v>
      </c>
      <c r="W17" s="1365">
        <f t="shared" si="6"/>
        <v>3.558716</v>
      </c>
      <c r="X17" s="1365">
        <f t="shared" si="6"/>
        <v>0</v>
      </c>
      <c r="Y17" s="1365">
        <f t="shared" si="6"/>
        <v>2.1604999999999999</v>
      </c>
      <c r="Z17" s="1365">
        <f t="shared" si="6"/>
        <v>0.95121599999999995</v>
      </c>
      <c r="AA17" s="1365">
        <f t="shared" si="6"/>
        <v>0</v>
      </c>
      <c r="AB17" s="1365">
        <f t="shared" si="6"/>
        <v>0</v>
      </c>
      <c r="AC17" s="1365">
        <f t="shared" si="6"/>
        <v>0</v>
      </c>
      <c r="AD17" s="1365">
        <f t="shared" si="6"/>
        <v>0</v>
      </c>
      <c r="AE17" s="1365">
        <f t="shared" si="6"/>
        <v>0</v>
      </c>
      <c r="AF17" s="1365">
        <f t="shared" si="6"/>
        <v>0</v>
      </c>
      <c r="AG17" s="1365">
        <f t="shared" si="6"/>
        <v>0.44700000000000001</v>
      </c>
      <c r="AH17" s="1365">
        <f t="shared" si="6"/>
        <v>13.910899259999999</v>
      </c>
      <c r="AI17" s="1366">
        <f t="shared" si="4"/>
        <v>4.9364573999999948</v>
      </c>
      <c r="AJ17" s="1366">
        <f t="shared" si="5"/>
        <v>59.237488799999937</v>
      </c>
      <c r="AK17" s="1531"/>
      <c r="AL17" s="1431"/>
    </row>
    <row r="18" spans="1:38" s="1444" customFormat="1" ht="20.25" customHeight="1">
      <c r="A18" s="1456"/>
      <c r="B18" s="1449" t="s">
        <v>2491</v>
      </c>
      <c r="C18" s="1365">
        <f>SUM(C90,C587)</f>
        <v>152</v>
      </c>
      <c r="D18" s="1365">
        <f t="shared" si="6"/>
        <v>5</v>
      </c>
      <c r="E18" s="1365">
        <f t="shared" si="6"/>
        <v>0</v>
      </c>
      <c r="F18" s="1365">
        <f t="shared" si="6"/>
        <v>1171</v>
      </c>
      <c r="G18" s="1365">
        <f t="shared" si="6"/>
        <v>8043.9791925000009</v>
      </c>
      <c r="H18" s="1365">
        <f t="shared" si="6"/>
        <v>5097.9184999999998</v>
      </c>
      <c r="I18" s="1365">
        <f t="shared" si="6"/>
        <v>1631.836</v>
      </c>
      <c r="J18" s="1365">
        <f t="shared" si="6"/>
        <v>0</v>
      </c>
      <c r="K18" s="1365">
        <f t="shared" si="6"/>
        <v>156.672</v>
      </c>
      <c r="L18" s="1365">
        <f t="shared" si="6"/>
        <v>6.8279999999999994</v>
      </c>
      <c r="M18" s="1365">
        <f t="shared" si="6"/>
        <v>1099.5639999999999</v>
      </c>
      <c r="N18" s="1365">
        <f t="shared" si="6"/>
        <v>10.6</v>
      </c>
      <c r="O18" s="1365">
        <f t="shared" si="6"/>
        <v>0</v>
      </c>
      <c r="P18" s="1365">
        <f t="shared" si="6"/>
        <v>0</v>
      </c>
      <c r="Q18" s="1365">
        <f t="shared" si="6"/>
        <v>0</v>
      </c>
      <c r="R18" s="1365">
        <f t="shared" si="6"/>
        <v>331.02700000000004</v>
      </c>
      <c r="S18" s="1365">
        <f t="shared" si="6"/>
        <v>27.145</v>
      </c>
      <c r="T18" s="1365">
        <f t="shared" si="6"/>
        <v>1314.2246924999999</v>
      </c>
      <c r="U18" s="1365">
        <f t="shared" si="6"/>
        <v>8620.9966175000009</v>
      </c>
      <c r="V18" s="1365">
        <f t="shared" si="6"/>
        <v>5463.4145000000008</v>
      </c>
      <c r="W18" s="1365">
        <f t="shared" si="6"/>
        <v>1749.133</v>
      </c>
      <c r="X18" s="1365">
        <f t="shared" si="6"/>
        <v>0</v>
      </c>
      <c r="Y18" s="1365">
        <f t="shared" si="6"/>
        <v>167.79199999999997</v>
      </c>
      <c r="Z18" s="1365">
        <f t="shared" si="6"/>
        <v>7.3140000000000001</v>
      </c>
      <c r="AA18" s="1365">
        <f t="shared" si="6"/>
        <v>1178.6689999999999</v>
      </c>
      <c r="AB18" s="1365">
        <f t="shared" si="6"/>
        <v>11.37</v>
      </c>
      <c r="AC18" s="1365">
        <f t="shared" si="6"/>
        <v>0</v>
      </c>
      <c r="AD18" s="1365">
        <f t="shared" si="6"/>
        <v>0</v>
      </c>
      <c r="AE18" s="1365">
        <f t="shared" si="6"/>
        <v>0</v>
      </c>
      <c r="AF18" s="1365">
        <f t="shared" si="6"/>
        <v>354.88</v>
      </c>
      <c r="AG18" s="1365">
        <f t="shared" si="6"/>
        <v>29.107999999999997</v>
      </c>
      <c r="AH18" s="1365">
        <f t="shared" si="6"/>
        <v>1408.4491174999998</v>
      </c>
      <c r="AI18" s="1366">
        <f t="shared" si="4"/>
        <v>577.017425</v>
      </c>
      <c r="AJ18" s="1366">
        <f t="shared" si="5"/>
        <v>6924.2091</v>
      </c>
      <c r="AK18" s="1531"/>
      <c r="AL18" s="1431"/>
    </row>
    <row r="19" spans="1:38" s="1444" customFormat="1" ht="20.25" customHeight="1">
      <c r="A19" s="1456"/>
      <c r="B19" s="1535" t="s">
        <v>2529</v>
      </c>
      <c r="C19" s="1365">
        <f>SUM(C99,C588)</f>
        <v>0</v>
      </c>
      <c r="D19" s="1365">
        <f t="shared" ref="D19:AH20" si="7">SUM(D99,D588)</f>
        <v>0</v>
      </c>
      <c r="E19" s="1365">
        <f t="shared" si="7"/>
        <v>0</v>
      </c>
      <c r="F19" s="1365">
        <f t="shared" si="7"/>
        <v>1025</v>
      </c>
      <c r="G19" s="1365">
        <f t="shared" si="7"/>
        <v>6804.21072</v>
      </c>
      <c r="H19" s="1365">
        <f t="shared" si="7"/>
        <v>4360.335</v>
      </c>
      <c r="I19" s="1365">
        <f t="shared" si="7"/>
        <v>1324.441</v>
      </c>
      <c r="J19" s="1365">
        <f t="shared" si="7"/>
        <v>0</v>
      </c>
      <c r="K19" s="1365">
        <f t="shared" si="7"/>
        <v>130.38200000000001</v>
      </c>
      <c r="L19" s="1365">
        <f t="shared" si="7"/>
        <v>6.4779999999999998</v>
      </c>
      <c r="M19" s="1365">
        <f t="shared" si="7"/>
        <v>921.22399999999993</v>
      </c>
      <c r="N19" s="1365">
        <f t="shared" si="7"/>
        <v>0</v>
      </c>
      <c r="O19" s="1365">
        <f t="shared" si="7"/>
        <v>0</v>
      </c>
      <c r="P19" s="1365">
        <f t="shared" si="7"/>
        <v>0</v>
      </c>
      <c r="Q19" s="1365">
        <f t="shared" si="7"/>
        <v>0</v>
      </c>
      <c r="R19" s="1365">
        <f t="shared" si="7"/>
        <v>266.35700000000003</v>
      </c>
      <c r="S19" s="1365">
        <f t="shared" si="7"/>
        <v>0</v>
      </c>
      <c r="T19" s="1365">
        <f t="shared" si="7"/>
        <v>1119.43472</v>
      </c>
      <c r="U19" s="1365">
        <f t="shared" si="7"/>
        <v>7292.1764700000003</v>
      </c>
      <c r="V19" s="1365">
        <f t="shared" si="7"/>
        <v>4672.7759999999998</v>
      </c>
      <c r="W19" s="1365">
        <f t="shared" si="7"/>
        <v>1419.7249999999999</v>
      </c>
      <c r="X19" s="1365">
        <f t="shared" si="7"/>
        <v>0</v>
      </c>
      <c r="Y19" s="1365">
        <f t="shared" si="7"/>
        <v>139.76199999999997</v>
      </c>
      <c r="Z19" s="1365">
        <f t="shared" si="7"/>
        <v>6.944</v>
      </c>
      <c r="AA19" s="1365">
        <f t="shared" si="7"/>
        <v>987.49899999999991</v>
      </c>
      <c r="AB19" s="1365">
        <f t="shared" si="7"/>
        <v>0</v>
      </c>
      <c r="AC19" s="1365">
        <f t="shared" si="7"/>
        <v>0</v>
      </c>
      <c r="AD19" s="1365">
        <f t="shared" si="7"/>
        <v>0</v>
      </c>
      <c r="AE19" s="1365">
        <f t="shared" si="7"/>
        <v>0</v>
      </c>
      <c r="AF19" s="1365">
        <f t="shared" si="7"/>
        <v>285.52</v>
      </c>
      <c r="AG19" s="1365">
        <f t="shared" si="7"/>
        <v>0</v>
      </c>
      <c r="AH19" s="1365">
        <f t="shared" si="7"/>
        <v>1199.6754699999999</v>
      </c>
      <c r="AI19" s="1366">
        <f t="shared" si="4"/>
        <v>487.9657500000003</v>
      </c>
      <c r="AJ19" s="1366">
        <f t="shared" si="5"/>
        <v>5855.5890000000036</v>
      </c>
      <c r="AK19" s="1531"/>
      <c r="AL19" s="1431"/>
    </row>
    <row r="20" spans="1:38" s="1444" customFormat="1" ht="20.25" customHeight="1">
      <c r="A20" s="1375">
        <v>2</v>
      </c>
      <c r="B20" s="1534" t="s">
        <v>2237</v>
      </c>
      <c r="C20" s="1365">
        <f>SUM(C100,C589)</f>
        <v>3829</v>
      </c>
      <c r="D20" s="1365">
        <f t="shared" si="7"/>
        <v>2937</v>
      </c>
      <c r="E20" s="1365">
        <f t="shared" si="7"/>
        <v>0</v>
      </c>
      <c r="F20" s="1365">
        <f t="shared" si="7"/>
        <v>3127</v>
      </c>
      <c r="G20" s="1365">
        <f t="shared" si="7"/>
        <v>24699.015273329995</v>
      </c>
      <c r="H20" s="1365">
        <f t="shared" si="7"/>
        <v>13472.22436</v>
      </c>
      <c r="I20" s="1365">
        <f t="shared" si="7"/>
        <v>7954.8246061</v>
      </c>
      <c r="J20" s="1365">
        <f t="shared" si="7"/>
        <v>0</v>
      </c>
      <c r="K20" s="1365">
        <f t="shared" si="7"/>
        <v>282.20850000000002</v>
      </c>
      <c r="L20" s="1365">
        <f t="shared" si="7"/>
        <v>174.61319</v>
      </c>
      <c r="M20" s="1365">
        <f t="shared" si="7"/>
        <v>5838.0149470999995</v>
      </c>
      <c r="N20" s="1365">
        <f t="shared" si="7"/>
        <v>1179.165356</v>
      </c>
      <c r="O20" s="1365">
        <f t="shared" si="7"/>
        <v>100.91399999999999</v>
      </c>
      <c r="P20" s="1365">
        <f t="shared" si="7"/>
        <v>33.987862999999997</v>
      </c>
      <c r="Q20" s="1365">
        <f t="shared" si="7"/>
        <v>0</v>
      </c>
      <c r="R20" s="1365">
        <f t="shared" si="7"/>
        <v>0</v>
      </c>
      <c r="S20" s="1365">
        <f t="shared" si="7"/>
        <v>345.92075000000006</v>
      </c>
      <c r="T20" s="1365">
        <f t="shared" si="7"/>
        <v>3271.9663072299995</v>
      </c>
      <c r="U20" s="1365">
        <f t="shared" si="7"/>
        <v>26473.343998029999</v>
      </c>
      <c r="V20" s="1365">
        <f t="shared" si="7"/>
        <v>14440.916760000002</v>
      </c>
      <c r="W20" s="1365">
        <f t="shared" si="7"/>
        <v>8525.2604051000017</v>
      </c>
      <c r="X20" s="1365">
        <f t="shared" si="7"/>
        <v>0</v>
      </c>
      <c r="Y20" s="1365">
        <f t="shared" si="7"/>
        <v>302.2235</v>
      </c>
      <c r="Z20" s="1365">
        <f t="shared" si="7"/>
        <v>187.17529000000002</v>
      </c>
      <c r="AA20" s="1365">
        <f t="shared" si="7"/>
        <v>6258.1239361000007</v>
      </c>
      <c r="AB20" s="1365">
        <f t="shared" si="7"/>
        <v>1263.9973960000002</v>
      </c>
      <c r="AC20" s="1365">
        <f t="shared" si="7"/>
        <v>106.64399999999998</v>
      </c>
      <c r="AD20" s="1365">
        <f t="shared" si="7"/>
        <v>36.433032999999995</v>
      </c>
      <c r="AE20" s="1365">
        <f t="shared" si="7"/>
        <v>0</v>
      </c>
      <c r="AF20" s="1365">
        <f t="shared" si="7"/>
        <v>0</v>
      </c>
      <c r="AG20" s="1365">
        <f t="shared" si="7"/>
        <v>370.66325000000001</v>
      </c>
      <c r="AH20" s="1365">
        <f t="shared" si="7"/>
        <v>3507.1668329299996</v>
      </c>
      <c r="AI20" s="1366">
        <f t="shared" si="4"/>
        <v>1774.3287247000044</v>
      </c>
      <c r="AJ20" s="1366">
        <f t="shared" si="5"/>
        <v>21291.944696400053</v>
      </c>
      <c r="AK20" s="1531"/>
      <c r="AL20" s="1431"/>
    </row>
    <row r="21" spans="1:38" s="1444" customFormat="1" ht="20.25" customHeight="1">
      <c r="A21" s="1456"/>
      <c r="B21" s="1535" t="s">
        <v>2529</v>
      </c>
      <c r="C21" s="1365">
        <f>SUM(C147,C590)</f>
        <v>909</v>
      </c>
      <c r="D21" s="1365">
        <f t="shared" ref="D21:AH22" si="8">SUM(D147,D590)</f>
        <v>909</v>
      </c>
      <c r="E21" s="1365">
        <f t="shared" si="8"/>
        <v>0</v>
      </c>
      <c r="F21" s="1365">
        <f t="shared" si="8"/>
        <v>998</v>
      </c>
      <c r="G21" s="1365">
        <f t="shared" si="8"/>
        <v>8104.2119230999997</v>
      </c>
      <c r="H21" s="1365">
        <f t="shared" si="8"/>
        <v>4247.1589000000004</v>
      </c>
      <c r="I21" s="1365">
        <f t="shared" si="8"/>
        <v>2826.898878</v>
      </c>
      <c r="J21" s="1365">
        <f t="shared" si="8"/>
        <v>0</v>
      </c>
      <c r="K21" s="1365">
        <f t="shared" si="8"/>
        <v>91.183999999999997</v>
      </c>
      <c r="L21" s="1365">
        <f t="shared" si="8"/>
        <v>45.291760000000004</v>
      </c>
      <c r="M21" s="1365">
        <f t="shared" si="8"/>
        <v>1913.0380959999998</v>
      </c>
      <c r="N21" s="1365">
        <f t="shared" si="8"/>
        <v>633.144722</v>
      </c>
      <c r="O21" s="1365">
        <f t="shared" si="8"/>
        <v>0</v>
      </c>
      <c r="P21" s="1365">
        <f t="shared" si="8"/>
        <v>0</v>
      </c>
      <c r="Q21" s="1365">
        <f t="shared" si="8"/>
        <v>0</v>
      </c>
      <c r="R21" s="1365">
        <f t="shared" si="8"/>
        <v>0</v>
      </c>
      <c r="S21" s="1365">
        <f t="shared" si="8"/>
        <v>144.24029999999999</v>
      </c>
      <c r="T21" s="1365">
        <f t="shared" si="8"/>
        <v>1030.1541450999998</v>
      </c>
      <c r="U21" s="1365">
        <f t="shared" si="8"/>
        <v>8687.2487521000003</v>
      </c>
      <c r="V21" s="1365">
        <f t="shared" si="8"/>
        <v>4552.7099000000007</v>
      </c>
      <c r="W21" s="1365">
        <f t="shared" si="8"/>
        <v>3030.2728980000006</v>
      </c>
      <c r="X21" s="1365">
        <f t="shared" si="8"/>
        <v>0</v>
      </c>
      <c r="Y21" s="1365">
        <f t="shared" si="8"/>
        <v>97.744</v>
      </c>
      <c r="Z21" s="1365">
        <f t="shared" si="8"/>
        <v>48.550160000000005</v>
      </c>
      <c r="AA21" s="1365">
        <f t="shared" si="8"/>
        <v>2050.6667360000001</v>
      </c>
      <c r="AB21" s="1365">
        <f t="shared" si="8"/>
        <v>678.69470200000012</v>
      </c>
      <c r="AC21" s="1365">
        <f t="shared" si="8"/>
        <v>0</v>
      </c>
      <c r="AD21" s="1365">
        <f t="shared" si="8"/>
        <v>0</v>
      </c>
      <c r="AE21" s="1365">
        <f t="shared" si="8"/>
        <v>0</v>
      </c>
      <c r="AF21" s="1365">
        <f t="shared" si="8"/>
        <v>0</v>
      </c>
      <c r="AG21" s="1365">
        <f t="shared" si="8"/>
        <v>154.6173</v>
      </c>
      <c r="AH21" s="1365">
        <f t="shared" si="8"/>
        <v>1104.2659541</v>
      </c>
      <c r="AI21" s="1366">
        <f t="shared" si="4"/>
        <v>583.03682900000058</v>
      </c>
      <c r="AJ21" s="1366">
        <f t="shared" si="5"/>
        <v>6996.441948000007</v>
      </c>
      <c r="AK21" s="1531"/>
      <c r="AL21" s="1431"/>
    </row>
    <row r="22" spans="1:38" s="1444" customFormat="1" ht="20.25" customHeight="1">
      <c r="A22" s="1375">
        <v>3</v>
      </c>
      <c r="B22" s="1534" t="s">
        <v>2531</v>
      </c>
      <c r="C22" s="1365">
        <f>SUM(C148,C591)</f>
        <v>12</v>
      </c>
      <c r="D22" s="1365">
        <f t="shared" si="8"/>
        <v>6</v>
      </c>
      <c r="E22" s="1365">
        <f t="shared" si="8"/>
        <v>6</v>
      </c>
      <c r="F22" s="1365">
        <f t="shared" si="8"/>
        <v>12</v>
      </c>
      <c r="G22" s="1365">
        <f t="shared" si="8"/>
        <v>88.143096999999997</v>
      </c>
      <c r="H22" s="1365">
        <f t="shared" si="8"/>
        <v>0</v>
      </c>
      <c r="I22" s="1365">
        <f t="shared" si="8"/>
        <v>14.60195</v>
      </c>
      <c r="J22" s="1365">
        <f t="shared" si="8"/>
        <v>0</v>
      </c>
      <c r="K22" s="1365">
        <f t="shared" si="8"/>
        <v>0</v>
      </c>
      <c r="L22" s="1365">
        <f t="shared" si="8"/>
        <v>0</v>
      </c>
      <c r="M22" s="1365">
        <f t="shared" si="8"/>
        <v>0</v>
      </c>
      <c r="N22" s="1365">
        <f t="shared" si="8"/>
        <v>0</v>
      </c>
      <c r="O22" s="1365">
        <f t="shared" si="8"/>
        <v>0</v>
      </c>
      <c r="P22" s="1365">
        <f t="shared" si="8"/>
        <v>0</v>
      </c>
      <c r="Q22" s="1365">
        <f t="shared" si="8"/>
        <v>0</v>
      </c>
      <c r="R22" s="1365">
        <f t="shared" si="8"/>
        <v>0</v>
      </c>
      <c r="S22" s="1365">
        <f t="shared" si="8"/>
        <v>0</v>
      </c>
      <c r="T22" s="1365">
        <f t="shared" si="8"/>
        <v>14.327147</v>
      </c>
      <c r="U22" s="1365">
        <f t="shared" si="8"/>
        <v>94.484327000000008</v>
      </c>
      <c r="V22" s="1365">
        <f t="shared" si="8"/>
        <v>0</v>
      </c>
      <c r="W22" s="1365">
        <f t="shared" si="8"/>
        <v>15.652450000000002</v>
      </c>
      <c r="X22" s="1365">
        <f t="shared" si="8"/>
        <v>0</v>
      </c>
      <c r="Y22" s="1365">
        <f t="shared" si="8"/>
        <v>0</v>
      </c>
      <c r="Z22" s="1365">
        <f t="shared" si="8"/>
        <v>0</v>
      </c>
      <c r="AA22" s="1365">
        <f t="shared" si="8"/>
        <v>0</v>
      </c>
      <c r="AB22" s="1365">
        <f t="shared" si="8"/>
        <v>0</v>
      </c>
      <c r="AC22" s="1365">
        <f t="shared" si="8"/>
        <v>0</v>
      </c>
      <c r="AD22" s="1365">
        <f t="shared" si="8"/>
        <v>0</v>
      </c>
      <c r="AE22" s="1365">
        <f t="shared" si="8"/>
        <v>0</v>
      </c>
      <c r="AF22" s="1365">
        <f t="shared" si="8"/>
        <v>0</v>
      </c>
      <c r="AG22" s="1365">
        <f t="shared" si="8"/>
        <v>0</v>
      </c>
      <c r="AH22" s="1365">
        <f t="shared" si="8"/>
        <v>15.357877000000002</v>
      </c>
      <c r="AI22" s="1366">
        <f t="shared" si="4"/>
        <v>6.3412300000000101</v>
      </c>
      <c r="AJ22" s="1366">
        <f t="shared" si="5"/>
        <v>76.094760000000122</v>
      </c>
      <c r="AK22" s="1531"/>
      <c r="AL22" s="1431"/>
    </row>
    <row r="23" spans="1:38" s="1444" customFormat="1" ht="20.25" customHeight="1">
      <c r="A23" s="1375">
        <v>4</v>
      </c>
      <c r="B23" s="1534" t="s">
        <v>2532</v>
      </c>
      <c r="C23" s="1365">
        <f>SUM(C157,C592)</f>
        <v>136</v>
      </c>
      <c r="D23" s="1365">
        <f t="shared" ref="D23:AH23" si="9">SUM(D157,D592)</f>
        <v>0</v>
      </c>
      <c r="E23" s="1365">
        <f t="shared" si="9"/>
        <v>0</v>
      </c>
      <c r="F23" s="1365">
        <f t="shared" si="9"/>
        <v>126</v>
      </c>
      <c r="G23" s="1365">
        <f t="shared" si="9"/>
        <v>800.4337700000001</v>
      </c>
      <c r="H23" s="1365">
        <f t="shared" si="9"/>
        <v>577.23500000000001</v>
      </c>
      <c r="I23" s="1365">
        <f t="shared" si="9"/>
        <v>80.792999999999978</v>
      </c>
      <c r="J23" s="1365">
        <f t="shared" si="9"/>
        <v>0</v>
      </c>
      <c r="K23" s="1365">
        <f t="shared" si="9"/>
        <v>16.472000000000001</v>
      </c>
      <c r="L23" s="1365">
        <f t="shared" si="9"/>
        <v>12.275</v>
      </c>
      <c r="M23" s="1365">
        <f t="shared" si="9"/>
        <v>32.863999999999997</v>
      </c>
      <c r="N23" s="1365">
        <f t="shared" si="9"/>
        <v>0</v>
      </c>
      <c r="O23" s="1365">
        <f t="shared" si="9"/>
        <v>0</v>
      </c>
      <c r="P23" s="1365">
        <f t="shared" si="9"/>
        <v>0</v>
      </c>
      <c r="Q23" s="1365">
        <f t="shared" si="9"/>
        <v>0.83399999999999996</v>
      </c>
      <c r="R23" s="1365">
        <f t="shared" si="9"/>
        <v>0</v>
      </c>
      <c r="S23" s="1365">
        <f t="shared" si="9"/>
        <v>18.348000000000003</v>
      </c>
      <c r="T23" s="1365">
        <f t="shared" si="9"/>
        <v>142.40576999999999</v>
      </c>
      <c r="U23" s="1365">
        <f t="shared" si="9"/>
        <v>842.8386099999999</v>
      </c>
      <c r="V23" s="1365">
        <f t="shared" si="9"/>
        <v>610.43299999999999</v>
      </c>
      <c r="W23" s="1365">
        <f t="shared" si="9"/>
        <v>82.052999999999997</v>
      </c>
      <c r="X23" s="1365">
        <f t="shared" si="9"/>
        <v>0</v>
      </c>
      <c r="Y23" s="1365">
        <f t="shared" si="9"/>
        <v>16.539000000000001</v>
      </c>
      <c r="Z23" s="1365">
        <f t="shared" si="9"/>
        <v>12.824000000000002</v>
      </c>
      <c r="AA23" s="1365">
        <f t="shared" si="9"/>
        <v>32.709000000000003</v>
      </c>
      <c r="AB23" s="1365">
        <f t="shared" si="9"/>
        <v>0</v>
      </c>
      <c r="AC23" s="1365">
        <f t="shared" si="9"/>
        <v>0</v>
      </c>
      <c r="AD23" s="1365">
        <f t="shared" si="9"/>
        <v>0</v>
      </c>
      <c r="AE23" s="1365">
        <f t="shared" si="9"/>
        <v>0.89400000000000002</v>
      </c>
      <c r="AF23" s="1365">
        <f t="shared" si="9"/>
        <v>0</v>
      </c>
      <c r="AG23" s="1365">
        <f t="shared" si="9"/>
        <v>19.087</v>
      </c>
      <c r="AH23" s="1365">
        <f t="shared" si="9"/>
        <v>150.35261</v>
      </c>
      <c r="AI23" s="1366">
        <f t="shared" si="4"/>
        <v>42.404839999999808</v>
      </c>
      <c r="AJ23" s="1366">
        <f t="shared" si="5"/>
        <v>508.8580799999977</v>
      </c>
      <c r="AK23" s="1531"/>
      <c r="AL23" s="1431"/>
    </row>
    <row r="24" spans="1:38" s="1444" customFormat="1" ht="20.25" customHeight="1">
      <c r="A24" s="1375">
        <v>5</v>
      </c>
      <c r="B24" s="1534" t="s">
        <v>2533</v>
      </c>
      <c r="C24" s="1365">
        <f>SUM(C165,C593)</f>
        <v>121</v>
      </c>
      <c r="D24" s="1365">
        <f t="shared" ref="D24:AH24" si="10">SUM(D165,D593)</f>
        <v>121</v>
      </c>
      <c r="E24" s="1365">
        <f t="shared" si="10"/>
        <v>0</v>
      </c>
      <c r="F24" s="1365">
        <f t="shared" si="10"/>
        <v>118</v>
      </c>
      <c r="G24" s="1365">
        <f t="shared" si="10"/>
        <v>757.83771262499999</v>
      </c>
      <c r="H24" s="1365">
        <f t="shared" si="10"/>
        <v>581.30912000000001</v>
      </c>
      <c r="I24" s="1365">
        <f t="shared" si="10"/>
        <v>34.519954999999996</v>
      </c>
      <c r="J24" s="1365">
        <f t="shared" si="10"/>
        <v>0</v>
      </c>
      <c r="K24" s="1365">
        <f t="shared" si="10"/>
        <v>13.622</v>
      </c>
      <c r="L24" s="1365">
        <f t="shared" si="10"/>
        <v>9.3609549999999988</v>
      </c>
      <c r="M24" s="1365">
        <f t="shared" si="10"/>
        <v>0</v>
      </c>
      <c r="N24" s="1365">
        <f t="shared" si="10"/>
        <v>0</v>
      </c>
      <c r="O24" s="1365">
        <f t="shared" si="10"/>
        <v>0</v>
      </c>
      <c r="P24" s="1365">
        <f t="shared" si="10"/>
        <v>0</v>
      </c>
      <c r="Q24" s="1365">
        <f t="shared" si="10"/>
        <v>0</v>
      </c>
      <c r="R24" s="1365">
        <f t="shared" si="10"/>
        <v>0</v>
      </c>
      <c r="S24" s="1365">
        <f t="shared" si="10"/>
        <v>11.537000000000001</v>
      </c>
      <c r="T24" s="1365">
        <f t="shared" si="10"/>
        <v>142.00863762499998</v>
      </c>
      <c r="U24" s="1365">
        <f t="shared" si="10"/>
        <v>812.35841137500006</v>
      </c>
      <c r="V24" s="1365">
        <f t="shared" si="10"/>
        <v>623.12992000000008</v>
      </c>
      <c r="W24" s="1365">
        <f t="shared" si="10"/>
        <v>37.003405000000001</v>
      </c>
      <c r="X24" s="1365">
        <f t="shared" si="10"/>
        <v>0</v>
      </c>
      <c r="Y24" s="1365">
        <f t="shared" si="10"/>
        <v>14.602</v>
      </c>
      <c r="Z24" s="1365">
        <f t="shared" si="10"/>
        <v>10.034405</v>
      </c>
      <c r="AA24" s="1365">
        <f t="shared" si="10"/>
        <v>0</v>
      </c>
      <c r="AB24" s="1365">
        <f t="shared" si="10"/>
        <v>0</v>
      </c>
      <c r="AC24" s="1365">
        <f t="shared" si="10"/>
        <v>0</v>
      </c>
      <c r="AD24" s="1365">
        <f t="shared" si="10"/>
        <v>0</v>
      </c>
      <c r="AE24" s="1365">
        <f t="shared" si="10"/>
        <v>0</v>
      </c>
      <c r="AF24" s="1365">
        <f t="shared" si="10"/>
        <v>0</v>
      </c>
      <c r="AG24" s="1365">
        <f t="shared" si="10"/>
        <v>12.367000000000001</v>
      </c>
      <c r="AH24" s="1365">
        <f t="shared" si="10"/>
        <v>152.22508637499999</v>
      </c>
      <c r="AI24" s="1366">
        <f t="shared" si="4"/>
        <v>54.520698750000065</v>
      </c>
      <c r="AJ24" s="1366">
        <f t="shared" si="5"/>
        <v>654.24838500000078</v>
      </c>
      <c r="AK24" s="1531"/>
      <c r="AL24" s="1431"/>
    </row>
    <row r="25" spans="1:38" s="1444" customFormat="1" ht="20.25" customHeight="1">
      <c r="A25" s="1375">
        <v>6</v>
      </c>
      <c r="B25" s="1534" t="s">
        <v>2534</v>
      </c>
      <c r="C25" s="1365">
        <f>SUM(C167,C594)</f>
        <v>39</v>
      </c>
      <c r="D25" s="1365">
        <f t="shared" ref="D25:AH25" si="11">SUM(D167,D594)</f>
        <v>0</v>
      </c>
      <c r="E25" s="1365">
        <f t="shared" si="11"/>
        <v>0</v>
      </c>
      <c r="F25" s="1365">
        <f t="shared" si="11"/>
        <v>38</v>
      </c>
      <c r="G25" s="1365">
        <f t="shared" si="11"/>
        <v>188.900105</v>
      </c>
      <c r="H25" s="1365">
        <f t="shared" si="11"/>
        <v>149.30000000000001</v>
      </c>
      <c r="I25" s="1365">
        <f t="shared" si="11"/>
        <v>3.6820000000000004</v>
      </c>
      <c r="J25" s="1365">
        <f t="shared" si="11"/>
        <v>0</v>
      </c>
      <c r="K25" s="1365">
        <f t="shared" si="11"/>
        <v>3.1970000000000001</v>
      </c>
      <c r="L25" s="1365">
        <f t="shared" si="11"/>
        <v>0.34599999999999997</v>
      </c>
      <c r="M25" s="1365">
        <f t="shared" si="11"/>
        <v>0</v>
      </c>
      <c r="N25" s="1365">
        <f t="shared" si="11"/>
        <v>0</v>
      </c>
      <c r="O25" s="1365">
        <f t="shared" si="11"/>
        <v>0</v>
      </c>
      <c r="P25" s="1365">
        <f t="shared" si="11"/>
        <v>0</v>
      </c>
      <c r="Q25" s="1365">
        <f t="shared" si="11"/>
        <v>0</v>
      </c>
      <c r="R25" s="1365">
        <f t="shared" si="11"/>
        <v>0</v>
      </c>
      <c r="S25" s="1365">
        <f t="shared" si="11"/>
        <v>0.13900000000000001</v>
      </c>
      <c r="T25" s="1365">
        <f t="shared" si="11"/>
        <v>35.918105000000004</v>
      </c>
      <c r="U25" s="1365">
        <f t="shared" si="11"/>
        <v>204.68185499999998</v>
      </c>
      <c r="V25" s="1365">
        <f t="shared" si="11"/>
        <v>159.63615384615383</v>
      </c>
      <c r="W25" s="1365">
        <f t="shared" si="11"/>
        <v>3.9369076923076922</v>
      </c>
      <c r="X25" s="1365">
        <f t="shared" si="11"/>
        <v>0</v>
      </c>
      <c r="Y25" s="1365">
        <f t="shared" si="11"/>
        <v>3.418330769230769</v>
      </c>
      <c r="Z25" s="1365">
        <f t="shared" si="11"/>
        <v>0.36995384615384608</v>
      </c>
      <c r="AA25" s="1365">
        <f t="shared" si="11"/>
        <v>0</v>
      </c>
      <c r="AB25" s="1365">
        <f t="shared" si="11"/>
        <v>0</v>
      </c>
      <c r="AC25" s="1365">
        <f t="shared" si="11"/>
        <v>0</v>
      </c>
      <c r="AD25" s="1365">
        <f t="shared" si="11"/>
        <v>0</v>
      </c>
      <c r="AE25" s="1365">
        <f t="shared" si="11"/>
        <v>0</v>
      </c>
      <c r="AF25" s="1365">
        <f t="shared" si="11"/>
        <v>0</v>
      </c>
      <c r="AG25" s="1365">
        <f t="shared" si="11"/>
        <v>0.14862307692307691</v>
      </c>
      <c r="AH25" s="1365">
        <f t="shared" si="11"/>
        <v>38.404743038461532</v>
      </c>
      <c r="AI25" s="1366">
        <f t="shared" si="4"/>
        <v>15.781749999999988</v>
      </c>
      <c r="AJ25" s="1366">
        <f t="shared" si="5"/>
        <v>189.38099999999986</v>
      </c>
      <c r="AK25" s="1531"/>
      <c r="AL25" s="1431"/>
    </row>
    <row r="26" spans="1:38" s="1444" customFormat="1" ht="20.25" customHeight="1">
      <c r="A26" s="1375">
        <v>7</v>
      </c>
      <c r="B26" s="1534" t="s">
        <v>2535</v>
      </c>
      <c r="C26" s="1365">
        <f>SUM(C170,C595)</f>
        <v>81</v>
      </c>
      <c r="D26" s="1365">
        <f t="shared" ref="D26:AH26" si="12">SUM(D170,D595)</f>
        <v>74</v>
      </c>
      <c r="E26" s="1365">
        <f t="shared" si="12"/>
        <v>7</v>
      </c>
      <c r="F26" s="1365">
        <f t="shared" si="12"/>
        <v>67</v>
      </c>
      <c r="G26" s="1365">
        <f t="shared" si="12"/>
        <v>600.65769999999998</v>
      </c>
      <c r="H26" s="1365">
        <f t="shared" si="12"/>
        <v>314.88</v>
      </c>
      <c r="I26" s="1365">
        <f t="shared" si="12"/>
        <v>209.8777</v>
      </c>
      <c r="J26" s="1365">
        <f t="shared" si="12"/>
        <v>0</v>
      </c>
      <c r="K26" s="1365">
        <f t="shared" si="12"/>
        <v>7.92</v>
      </c>
      <c r="L26" s="1365">
        <f t="shared" si="12"/>
        <v>1.42</v>
      </c>
      <c r="M26" s="1365">
        <f t="shared" si="12"/>
        <v>171.04</v>
      </c>
      <c r="N26" s="1365">
        <f t="shared" si="12"/>
        <v>10.64</v>
      </c>
      <c r="O26" s="1365">
        <f t="shared" si="12"/>
        <v>8.34</v>
      </c>
      <c r="P26" s="1365">
        <f t="shared" si="12"/>
        <v>8.0076999999999998</v>
      </c>
      <c r="Q26" s="1365">
        <f t="shared" si="12"/>
        <v>0</v>
      </c>
      <c r="R26" s="1365">
        <f t="shared" si="12"/>
        <v>0</v>
      </c>
      <c r="S26" s="1365">
        <f t="shared" si="12"/>
        <v>2.5099999999999998</v>
      </c>
      <c r="T26" s="1365">
        <f t="shared" si="12"/>
        <v>75.899999999999991</v>
      </c>
      <c r="U26" s="1365">
        <f t="shared" si="12"/>
        <v>643.22485323741012</v>
      </c>
      <c r="V26" s="1365">
        <f t="shared" si="12"/>
        <v>337.53323741007193</v>
      </c>
      <c r="W26" s="1365">
        <f t="shared" si="12"/>
        <v>224.33611510791366</v>
      </c>
      <c r="X26" s="1365">
        <f t="shared" si="12"/>
        <v>0</v>
      </c>
      <c r="Y26" s="1365">
        <f t="shared" si="12"/>
        <v>8.4897841726618708</v>
      </c>
      <c r="Z26" s="1365">
        <f t="shared" si="12"/>
        <v>1.5221582733812948</v>
      </c>
      <c r="AA26" s="1365">
        <f t="shared" si="12"/>
        <v>183.34503597122301</v>
      </c>
      <c r="AB26" s="1365">
        <f t="shared" si="12"/>
        <v>11.405467625899282</v>
      </c>
      <c r="AC26" s="1365">
        <f t="shared" si="12"/>
        <v>8.94</v>
      </c>
      <c r="AD26" s="1365">
        <f t="shared" si="12"/>
        <v>7.9430935251798571</v>
      </c>
      <c r="AE26" s="1365">
        <f t="shared" si="12"/>
        <v>0</v>
      </c>
      <c r="AF26" s="1365">
        <f t="shared" si="12"/>
        <v>0</v>
      </c>
      <c r="AG26" s="1365">
        <f t="shared" si="12"/>
        <v>2.6905755395683459</v>
      </c>
      <c r="AH26" s="1365">
        <f t="shared" si="12"/>
        <v>81.355500719424455</v>
      </c>
      <c r="AI26" s="1366">
        <f t="shared" si="4"/>
        <v>42.567153237410139</v>
      </c>
      <c r="AJ26" s="1366">
        <f t="shared" si="5"/>
        <v>510.80583884892167</v>
      </c>
      <c r="AK26" s="1531"/>
      <c r="AL26" s="1431"/>
    </row>
    <row r="27" spans="1:38" s="1444" customFormat="1" ht="20.25" customHeight="1">
      <c r="A27" s="1375">
        <v>8</v>
      </c>
      <c r="B27" s="1536" t="s">
        <v>2536</v>
      </c>
      <c r="C27" s="1365">
        <f>SUM(C178,C596)</f>
        <v>646</v>
      </c>
      <c r="D27" s="1365">
        <f t="shared" ref="D27:AH27" si="13">SUM(D178,D596)</f>
        <v>459</v>
      </c>
      <c r="E27" s="1365">
        <f t="shared" si="13"/>
        <v>105</v>
      </c>
      <c r="F27" s="1365">
        <f t="shared" si="13"/>
        <v>603</v>
      </c>
      <c r="G27" s="1365">
        <f t="shared" si="13"/>
        <v>4010.0665599314998</v>
      </c>
      <c r="H27" s="1365">
        <f t="shared" si="13"/>
        <v>2884.9146999999998</v>
      </c>
      <c r="I27" s="1365">
        <f t="shared" si="13"/>
        <v>427.91355959999999</v>
      </c>
      <c r="J27" s="1365">
        <f t="shared" si="13"/>
        <v>0</v>
      </c>
      <c r="K27" s="1365">
        <f t="shared" si="13"/>
        <v>71.587000000000003</v>
      </c>
      <c r="L27" s="1365">
        <f t="shared" si="13"/>
        <v>15.075106</v>
      </c>
      <c r="M27" s="1365">
        <f t="shared" si="13"/>
        <v>32.706533199999996</v>
      </c>
      <c r="N27" s="1365">
        <f t="shared" si="13"/>
        <v>128.39202039999998</v>
      </c>
      <c r="O27" s="1365">
        <f t="shared" si="13"/>
        <v>22.934999999999999</v>
      </c>
      <c r="P27" s="1365">
        <f t="shared" si="13"/>
        <v>116.46229849999999</v>
      </c>
      <c r="Q27" s="1365">
        <f t="shared" si="13"/>
        <v>0.753</v>
      </c>
      <c r="R27" s="1365">
        <f t="shared" si="13"/>
        <v>20.478661499999998</v>
      </c>
      <c r="S27" s="1365">
        <f t="shared" si="13"/>
        <v>19.523939999999996</v>
      </c>
      <c r="T27" s="1365">
        <f t="shared" si="13"/>
        <v>697.23830033149989</v>
      </c>
      <c r="U27" s="1365">
        <f t="shared" si="13"/>
        <v>4300.964369872615</v>
      </c>
      <c r="V27" s="1365">
        <f t="shared" si="13"/>
        <v>3096.1468136690655</v>
      </c>
      <c r="W27" s="1365">
        <f t="shared" si="13"/>
        <v>456.45299554244599</v>
      </c>
      <c r="X27" s="1365">
        <f t="shared" si="13"/>
        <v>0</v>
      </c>
      <c r="Y27" s="1365">
        <f t="shared" si="13"/>
        <v>76.737359712230202</v>
      </c>
      <c r="Z27" s="1365">
        <f t="shared" si="13"/>
        <v>15.712645999999999</v>
      </c>
      <c r="AA27" s="1365">
        <f t="shared" si="13"/>
        <v>35.059521199999999</v>
      </c>
      <c r="AB27" s="1365">
        <f t="shared" si="13"/>
        <v>137.62885639999999</v>
      </c>
      <c r="AC27" s="1365">
        <f t="shared" si="13"/>
        <v>22.934999999999999</v>
      </c>
      <c r="AD27" s="1365">
        <f t="shared" si="13"/>
        <v>124.84088112589927</v>
      </c>
      <c r="AE27" s="1365">
        <f t="shared" si="13"/>
        <v>0.8069568345323741</v>
      </c>
      <c r="AF27" s="1365">
        <f t="shared" si="13"/>
        <v>21.951946499999998</v>
      </c>
      <c r="AG27" s="1365">
        <f t="shared" si="13"/>
        <v>20.779827769784163</v>
      </c>
      <c r="AH27" s="1365">
        <f t="shared" si="13"/>
        <v>748.36456066110452</v>
      </c>
      <c r="AI27" s="1366">
        <f t="shared" si="4"/>
        <v>290.89780994111516</v>
      </c>
      <c r="AJ27" s="1366">
        <f t="shared" si="5"/>
        <v>3490.7737192933819</v>
      </c>
      <c r="AK27" s="1531"/>
      <c r="AL27" s="1431"/>
    </row>
    <row r="28" spans="1:38" s="1444" customFormat="1" ht="20.25" customHeight="1">
      <c r="A28" s="1375">
        <v>9</v>
      </c>
      <c r="B28" s="1536" t="s">
        <v>2537</v>
      </c>
      <c r="C28" s="1365">
        <f>SUM(C221,C597)</f>
        <v>54</v>
      </c>
      <c r="D28" s="1365">
        <f t="shared" ref="D28:AH28" si="14">SUM(D221,D597)</f>
        <v>0</v>
      </c>
      <c r="E28" s="1365">
        <f t="shared" si="14"/>
        <v>0</v>
      </c>
      <c r="F28" s="1365">
        <f t="shared" si="14"/>
        <v>50</v>
      </c>
      <c r="G28" s="1365">
        <f t="shared" si="14"/>
        <v>328.98599999999999</v>
      </c>
      <c r="H28" s="1365">
        <f t="shared" si="14"/>
        <v>231.40600000000001</v>
      </c>
      <c r="I28" s="1365">
        <f t="shared" si="14"/>
        <v>41.145000000000003</v>
      </c>
      <c r="J28" s="1365">
        <f t="shared" si="14"/>
        <v>0</v>
      </c>
      <c r="K28" s="1365">
        <f t="shared" si="14"/>
        <v>11.263999999999999</v>
      </c>
      <c r="L28" s="1365">
        <f t="shared" si="14"/>
        <v>0</v>
      </c>
      <c r="M28" s="1365">
        <f t="shared" si="14"/>
        <v>0</v>
      </c>
      <c r="N28" s="1365">
        <f t="shared" si="14"/>
        <v>0</v>
      </c>
      <c r="O28" s="1365">
        <f t="shared" si="14"/>
        <v>0</v>
      </c>
      <c r="P28" s="1365">
        <f t="shared" si="14"/>
        <v>28.154</v>
      </c>
      <c r="Q28" s="1365">
        <f t="shared" si="14"/>
        <v>0.33300000000000002</v>
      </c>
      <c r="R28" s="1365">
        <f t="shared" si="14"/>
        <v>0</v>
      </c>
      <c r="S28" s="1365">
        <f t="shared" si="14"/>
        <v>1.3940000000000001</v>
      </c>
      <c r="T28" s="1365">
        <f t="shared" si="14"/>
        <v>56.435000000000002</v>
      </c>
      <c r="U28" s="1365">
        <f t="shared" si="14"/>
        <v>353.28912985611515</v>
      </c>
      <c r="V28" s="1365">
        <f t="shared" si="14"/>
        <v>248.0539136690648</v>
      </c>
      <c r="W28" s="1365">
        <f t="shared" si="14"/>
        <v>44.105071942446045</v>
      </c>
      <c r="X28" s="1365">
        <f t="shared" si="14"/>
        <v>0</v>
      </c>
      <c r="Y28" s="1365">
        <f t="shared" si="14"/>
        <v>12.074359712230216</v>
      </c>
      <c r="Z28" s="1365">
        <f t="shared" si="14"/>
        <v>0</v>
      </c>
      <c r="AA28" s="1365">
        <f t="shared" si="14"/>
        <v>0</v>
      </c>
      <c r="AB28" s="1365">
        <f t="shared" si="14"/>
        <v>0</v>
      </c>
      <c r="AC28" s="1365">
        <f t="shared" si="14"/>
        <v>0</v>
      </c>
      <c r="AD28" s="1365">
        <f t="shared" si="14"/>
        <v>30.179467625899285</v>
      </c>
      <c r="AE28" s="1365">
        <f t="shared" si="14"/>
        <v>0.35695683453237415</v>
      </c>
      <c r="AF28" s="1365">
        <f t="shared" si="14"/>
        <v>0</v>
      </c>
      <c r="AG28" s="1365">
        <f t="shared" si="14"/>
        <v>1.4942877697841728</v>
      </c>
      <c r="AH28" s="1365">
        <f t="shared" si="14"/>
        <v>61.130144244604317</v>
      </c>
      <c r="AI28" s="1366">
        <f t="shared" si="4"/>
        <v>24.303129856115163</v>
      </c>
      <c r="AJ28" s="1366">
        <f t="shared" si="5"/>
        <v>291.63755827338196</v>
      </c>
      <c r="AK28" s="1531"/>
      <c r="AL28" s="1431"/>
    </row>
    <row r="29" spans="1:38" s="1444" customFormat="1" ht="20.25" customHeight="1">
      <c r="A29" s="1375">
        <v>10</v>
      </c>
      <c r="B29" s="1534" t="s">
        <v>2492</v>
      </c>
      <c r="C29" s="1366">
        <f>SUM(C30:C33)</f>
        <v>1219</v>
      </c>
      <c r="D29" s="1366">
        <f t="shared" ref="D29:AJ29" si="15">SUM(D30:D33)</f>
        <v>103</v>
      </c>
      <c r="E29" s="1366">
        <f t="shared" si="15"/>
        <v>958</v>
      </c>
      <c r="F29" s="1366">
        <f t="shared" si="15"/>
        <v>1105</v>
      </c>
      <c r="G29" s="1366">
        <f t="shared" si="15"/>
        <v>10024.801477364997</v>
      </c>
      <c r="H29" s="1366">
        <f t="shared" si="15"/>
        <v>6060.9540000000006</v>
      </c>
      <c r="I29" s="1366">
        <f t="shared" si="15"/>
        <v>2479.9771014999997</v>
      </c>
      <c r="J29" s="1366">
        <f t="shared" si="15"/>
        <v>0</v>
      </c>
      <c r="K29" s="1366">
        <f t="shared" si="15"/>
        <v>357.60389999999995</v>
      </c>
      <c r="L29" s="1366">
        <f t="shared" si="15"/>
        <v>38.566332999999993</v>
      </c>
      <c r="M29" s="1366">
        <f t="shared" si="15"/>
        <v>35.957909999999998</v>
      </c>
      <c r="N29" s="1366">
        <f t="shared" si="15"/>
        <v>0</v>
      </c>
      <c r="O29" s="1366">
        <f t="shared" si="15"/>
        <v>0</v>
      </c>
      <c r="P29" s="1366">
        <f t="shared" si="15"/>
        <v>1362.9525665000001</v>
      </c>
      <c r="Q29" s="1366">
        <f t="shared" si="15"/>
        <v>414.68533499999995</v>
      </c>
      <c r="R29" s="1366">
        <f t="shared" si="15"/>
        <v>60.00517</v>
      </c>
      <c r="S29" s="1366">
        <f t="shared" si="15"/>
        <v>210.20588700000005</v>
      </c>
      <c r="T29" s="1366">
        <f t="shared" si="15"/>
        <v>1483.3724778649998</v>
      </c>
      <c r="U29" s="1366">
        <f t="shared" si="15"/>
        <v>10775.167200905647</v>
      </c>
      <c r="V29" s="1366">
        <f t="shared" si="15"/>
        <v>6521.3711877697842</v>
      </c>
      <c r="W29" s="1366">
        <f t="shared" si="15"/>
        <v>2656.1532113920862</v>
      </c>
      <c r="X29" s="1366">
        <f t="shared" si="15"/>
        <v>0</v>
      </c>
      <c r="Y29" s="1366">
        <f t="shared" si="15"/>
        <v>384.67064820143884</v>
      </c>
      <c r="Z29" s="1366">
        <f t="shared" si="15"/>
        <v>41.115883503597125</v>
      </c>
      <c r="AA29" s="1366">
        <f t="shared" si="15"/>
        <v>38.544809999999998</v>
      </c>
      <c r="AB29" s="1366">
        <f t="shared" si="15"/>
        <v>0</v>
      </c>
      <c r="AC29" s="1366">
        <f t="shared" si="15"/>
        <v>0</v>
      </c>
      <c r="AD29" s="1366">
        <f t="shared" si="15"/>
        <v>1463.831880816547</v>
      </c>
      <c r="AE29" s="1366">
        <f t="shared" si="15"/>
        <v>444.51874039568349</v>
      </c>
      <c r="AF29" s="1366">
        <f t="shared" si="15"/>
        <v>64.421674100719429</v>
      </c>
      <c r="AG29" s="1366">
        <f t="shared" si="15"/>
        <v>219.04957437410073</v>
      </c>
      <c r="AH29" s="1366">
        <f t="shared" si="15"/>
        <v>1597.6428017437765</v>
      </c>
      <c r="AI29" s="1366">
        <f t="shared" si="15"/>
        <v>750.36572354064913</v>
      </c>
      <c r="AJ29" s="1366">
        <f t="shared" si="15"/>
        <v>9004.38868248779</v>
      </c>
      <c r="AK29" s="1531"/>
      <c r="AL29" s="1431"/>
    </row>
    <row r="30" spans="1:38" s="1444" customFormat="1" ht="20.25" customHeight="1">
      <c r="A30" s="1499"/>
      <c r="B30" s="1535" t="s">
        <v>2538</v>
      </c>
      <c r="C30" s="1368">
        <f>SUM(C228,C599)</f>
        <v>819</v>
      </c>
      <c r="D30" s="1368">
        <f t="shared" ref="D30:AH30" si="16">SUM(D228,D599)</f>
        <v>44</v>
      </c>
      <c r="E30" s="1368">
        <f t="shared" si="16"/>
        <v>624</v>
      </c>
      <c r="F30" s="1368">
        <f t="shared" si="16"/>
        <v>757</v>
      </c>
      <c r="G30" s="1368">
        <f t="shared" si="16"/>
        <v>6675.7025799999983</v>
      </c>
      <c r="H30" s="1368">
        <f t="shared" si="16"/>
        <v>4171.5892000000003</v>
      </c>
      <c r="I30" s="1368">
        <f t="shared" si="16"/>
        <v>1495.0525964999997</v>
      </c>
      <c r="J30" s="1368">
        <f t="shared" si="16"/>
        <v>0</v>
      </c>
      <c r="K30" s="1368">
        <f t="shared" si="16"/>
        <v>227.34999999999997</v>
      </c>
      <c r="L30" s="1368">
        <f t="shared" si="16"/>
        <v>29.438758999999997</v>
      </c>
      <c r="M30" s="1368">
        <f t="shared" si="16"/>
        <v>0</v>
      </c>
      <c r="N30" s="1368">
        <f t="shared" si="16"/>
        <v>0</v>
      </c>
      <c r="O30" s="1368">
        <f t="shared" si="16"/>
        <v>0</v>
      </c>
      <c r="P30" s="1368">
        <f t="shared" si="16"/>
        <v>1009.8036065</v>
      </c>
      <c r="Q30" s="1368">
        <f t="shared" si="16"/>
        <v>40.803134999999997</v>
      </c>
      <c r="R30" s="1368">
        <f t="shared" si="16"/>
        <v>45.594901</v>
      </c>
      <c r="S30" s="1368">
        <f t="shared" si="16"/>
        <v>142.06219500000003</v>
      </c>
      <c r="T30" s="1368">
        <f t="shared" si="16"/>
        <v>1009.0607835</v>
      </c>
      <c r="U30" s="1368">
        <f t="shared" si="16"/>
        <v>7185.7775972553954</v>
      </c>
      <c r="V30" s="1368">
        <f t="shared" si="16"/>
        <v>4496.0808625899281</v>
      </c>
      <c r="W30" s="1368">
        <f t="shared" si="16"/>
        <v>1600.3708283345325</v>
      </c>
      <c r="X30" s="1368">
        <f t="shared" si="16"/>
        <v>0</v>
      </c>
      <c r="Y30" s="1368">
        <f t="shared" si="16"/>
        <v>245.04596402877695</v>
      </c>
      <c r="Z30" s="1368">
        <f t="shared" si="16"/>
        <v>31.331649503597124</v>
      </c>
      <c r="AA30" s="1368">
        <f t="shared" si="16"/>
        <v>0</v>
      </c>
      <c r="AB30" s="1368">
        <f t="shared" si="16"/>
        <v>0</v>
      </c>
      <c r="AC30" s="1368">
        <f t="shared" si="16"/>
        <v>0</v>
      </c>
      <c r="AD30" s="1368">
        <f t="shared" si="16"/>
        <v>1085.276520816547</v>
      </c>
      <c r="AE30" s="1368">
        <f t="shared" si="16"/>
        <v>43.738540395683451</v>
      </c>
      <c r="AF30" s="1368">
        <f t="shared" si="16"/>
        <v>48.974695100719423</v>
      </c>
      <c r="AG30" s="1368">
        <f t="shared" si="16"/>
        <v>146.00345848920864</v>
      </c>
      <c r="AH30" s="1368">
        <f t="shared" si="16"/>
        <v>1089.3259063309351</v>
      </c>
      <c r="AI30" s="1537">
        <f t="shared" ref="AI30:AI33" si="17">U30-G30</f>
        <v>510.07501725539714</v>
      </c>
      <c r="AJ30" s="1366">
        <f>AI30*12</f>
        <v>6120.9002070647657</v>
      </c>
      <c r="AK30" s="1531"/>
      <c r="AL30" s="1431"/>
    </row>
    <row r="31" spans="1:38" s="1444" customFormat="1" ht="20.25" customHeight="1">
      <c r="A31" s="1499"/>
      <c r="B31" s="1535" t="s">
        <v>2539</v>
      </c>
      <c r="C31" s="1368">
        <f>SUM(C270,C600)</f>
        <v>228</v>
      </c>
      <c r="D31" s="1368">
        <f t="shared" ref="D31:AH31" si="18">SUM(D270,D600)</f>
        <v>0</v>
      </c>
      <c r="E31" s="1368">
        <f t="shared" si="18"/>
        <v>228</v>
      </c>
      <c r="F31" s="1368">
        <f t="shared" si="18"/>
        <v>198</v>
      </c>
      <c r="G31" s="1368">
        <f t="shared" si="18"/>
        <v>2062.3525391749999</v>
      </c>
      <c r="H31" s="1368">
        <f t="shared" si="18"/>
        <v>1115.39716</v>
      </c>
      <c r="I31" s="1368">
        <f t="shared" si="18"/>
        <v>663.23850000000004</v>
      </c>
      <c r="J31" s="1368">
        <f t="shared" si="18"/>
        <v>0</v>
      </c>
      <c r="K31" s="1368">
        <f t="shared" si="18"/>
        <v>72.363399999999984</v>
      </c>
      <c r="L31" s="1368">
        <f t="shared" si="18"/>
        <v>7.7506399999999998</v>
      </c>
      <c r="M31" s="1368">
        <f t="shared" si="18"/>
        <v>35.957909999999998</v>
      </c>
      <c r="N31" s="1368">
        <f t="shared" si="18"/>
        <v>0</v>
      </c>
      <c r="O31" s="1368">
        <f t="shared" si="18"/>
        <v>0</v>
      </c>
      <c r="P31" s="1368">
        <f t="shared" si="18"/>
        <v>255.80864999999997</v>
      </c>
      <c r="Q31" s="1368">
        <f t="shared" si="18"/>
        <v>257.07341099999996</v>
      </c>
      <c r="R31" s="1368">
        <f t="shared" si="18"/>
        <v>14.410269</v>
      </c>
      <c r="S31" s="1368">
        <f t="shared" si="18"/>
        <v>19.874220000000001</v>
      </c>
      <c r="T31" s="1368">
        <f t="shared" si="18"/>
        <v>283.71687917499997</v>
      </c>
      <c r="U31" s="1368">
        <f t="shared" si="18"/>
        <v>2210.0720024249999</v>
      </c>
      <c r="V31" s="1368">
        <f t="shared" si="18"/>
        <v>1195.64156</v>
      </c>
      <c r="W31" s="1368">
        <f t="shared" si="18"/>
        <v>710.95349999999985</v>
      </c>
      <c r="X31" s="1368">
        <f t="shared" si="18"/>
        <v>0</v>
      </c>
      <c r="Y31" s="1368">
        <f t="shared" si="18"/>
        <v>77.569400000000016</v>
      </c>
      <c r="Z31" s="1368">
        <f t="shared" si="18"/>
        <v>8.3082399999999996</v>
      </c>
      <c r="AA31" s="1368">
        <f t="shared" si="18"/>
        <v>38.544809999999998</v>
      </c>
      <c r="AB31" s="1368">
        <f t="shared" si="18"/>
        <v>0</v>
      </c>
      <c r="AC31" s="1368">
        <f t="shared" si="18"/>
        <v>0</v>
      </c>
      <c r="AD31" s="1368">
        <f t="shared" si="18"/>
        <v>274.21215000000001</v>
      </c>
      <c r="AE31" s="1368">
        <f t="shared" si="18"/>
        <v>275.56790100000001</v>
      </c>
      <c r="AF31" s="1368">
        <f t="shared" si="18"/>
        <v>15.446979000000001</v>
      </c>
      <c r="AG31" s="1368">
        <f t="shared" si="18"/>
        <v>21.304019999999998</v>
      </c>
      <c r="AH31" s="1368">
        <f t="shared" si="18"/>
        <v>303.47694242499995</v>
      </c>
      <c r="AI31" s="1537">
        <f t="shared" si="17"/>
        <v>147.71946324999999</v>
      </c>
      <c r="AJ31" s="1366">
        <f>AI31*12</f>
        <v>1772.6335589999999</v>
      </c>
      <c r="AK31" s="1531"/>
      <c r="AL31" s="1431"/>
    </row>
    <row r="32" spans="1:38" s="1444" customFormat="1" ht="20.25" customHeight="1">
      <c r="A32" s="1499"/>
      <c r="B32" s="1535" t="s">
        <v>2540</v>
      </c>
      <c r="C32" s="1368">
        <f>SUM(C282,C601)</f>
        <v>91</v>
      </c>
      <c r="D32" s="1368">
        <f t="shared" ref="D32:AH32" si="19">SUM(D282,D601)</f>
        <v>0</v>
      </c>
      <c r="E32" s="1368">
        <f t="shared" si="19"/>
        <v>91</v>
      </c>
      <c r="F32" s="1368">
        <f t="shared" si="19"/>
        <v>76</v>
      </c>
      <c r="G32" s="1368">
        <f t="shared" si="19"/>
        <v>755.25524900000005</v>
      </c>
      <c r="H32" s="1368">
        <f t="shared" si="19"/>
        <v>405.79381999999993</v>
      </c>
      <c r="I32" s="1368">
        <f t="shared" si="19"/>
        <v>250.04445899999999</v>
      </c>
      <c r="J32" s="1368">
        <f t="shared" si="19"/>
        <v>0</v>
      </c>
      <c r="K32" s="1368">
        <f t="shared" si="19"/>
        <v>33.846499999999999</v>
      </c>
      <c r="L32" s="1368">
        <f t="shared" si="19"/>
        <v>0</v>
      </c>
      <c r="M32" s="1368">
        <f t="shared" si="19"/>
        <v>0</v>
      </c>
      <c r="N32" s="1368">
        <f t="shared" si="19"/>
        <v>0</v>
      </c>
      <c r="O32" s="1368">
        <f t="shared" si="19"/>
        <v>0</v>
      </c>
      <c r="P32" s="1368">
        <f t="shared" si="19"/>
        <v>97.340310000000002</v>
      </c>
      <c r="Q32" s="1368">
        <f t="shared" si="19"/>
        <v>116.808789</v>
      </c>
      <c r="R32" s="1368">
        <f t="shared" si="19"/>
        <v>0</v>
      </c>
      <c r="S32" s="1368">
        <f t="shared" si="19"/>
        <v>2.0488599999999999</v>
      </c>
      <c r="T32" s="1368">
        <f t="shared" si="19"/>
        <v>98.919071999999986</v>
      </c>
      <c r="U32" s="1368">
        <f t="shared" si="19"/>
        <v>809.59015900000009</v>
      </c>
      <c r="V32" s="1368">
        <f t="shared" si="19"/>
        <v>434.98761999999999</v>
      </c>
      <c r="W32" s="1368">
        <f t="shared" si="19"/>
        <v>268.03326900000002</v>
      </c>
      <c r="X32" s="1368">
        <f t="shared" si="19"/>
        <v>0</v>
      </c>
      <c r="Y32" s="1368">
        <f t="shared" si="19"/>
        <v>36.281500000000001</v>
      </c>
      <c r="Z32" s="1368">
        <f t="shared" si="19"/>
        <v>0</v>
      </c>
      <c r="AA32" s="1368">
        <f t="shared" si="19"/>
        <v>0</v>
      </c>
      <c r="AB32" s="1368">
        <f t="shared" si="19"/>
        <v>0</v>
      </c>
      <c r="AC32" s="1368">
        <f t="shared" si="19"/>
        <v>0</v>
      </c>
      <c r="AD32" s="1368">
        <f t="shared" si="19"/>
        <v>104.34321</v>
      </c>
      <c r="AE32" s="1368">
        <f t="shared" si="19"/>
        <v>125.212299</v>
      </c>
      <c r="AF32" s="1368">
        <f t="shared" si="19"/>
        <v>0</v>
      </c>
      <c r="AG32" s="1368">
        <f t="shared" si="19"/>
        <v>2.1962600000000001</v>
      </c>
      <c r="AH32" s="1368">
        <f t="shared" si="19"/>
        <v>106.56926999999999</v>
      </c>
      <c r="AI32" s="1537">
        <f t="shared" si="17"/>
        <v>54.334910000000036</v>
      </c>
      <c r="AJ32" s="1366">
        <f>AI32*12</f>
        <v>652.01892000000043</v>
      </c>
      <c r="AK32" s="1531"/>
      <c r="AL32" s="1431"/>
    </row>
    <row r="33" spans="1:60" s="1444" customFormat="1" ht="20.25" customHeight="1">
      <c r="A33" s="1499"/>
      <c r="B33" s="1535" t="s">
        <v>2754</v>
      </c>
      <c r="C33" s="1368">
        <f>SUM(C290,C602)</f>
        <v>81</v>
      </c>
      <c r="D33" s="1368">
        <f t="shared" ref="D33:AH33" si="20">SUM(D290,D602)</f>
        <v>59</v>
      </c>
      <c r="E33" s="1368">
        <f t="shared" si="20"/>
        <v>15</v>
      </c>
      <c r="F33" s="1368">
        <f t="shared" si="20"/>
        <v>74</v>
      </c>
      <c r="G33" s="1368">
        <f t="shared" si="20"/>
        <v>531.49110918999997</v>
      </c>
      <c r="H33" s="1368">
        <f t="shared" si="20"/>
        <v>368.17381999999998</v>
      </c>
      <c r="I33" s="1368">
        <f t="shared" si="20"/>
        <v>71.641546000000005</v>
      </c>
      <c r="J33" s="1368">
        <f t="shared" si="20"/>
        <v>0</v>
      </c>
      <c r="K33" s="1368">
        <f t="shared" si="20"/>
        <v>24.043999999999997</v>
      </c>
      <c r="L33" s="1368">
        <f t="shared" si="20"/>
        <v>1.3769339999999999</v>
      </c>
      <c r="M33" s="1368">
        <f t="shared" si="20"/>
        <v>0</v>
      </c>
      <c r="N33" s="1368">
        <f t="shared" si="20"/>
        <v>0</v>
      </c>
      <c r="O33" s="1368">
        <f t="shared" si="20"/>
        <v>0</v>
      </c>
      <c r="P33" s="1368">
        <f t="shared" si="20"/>
        <v>0</v>
      </c>
      <c r="Q33" s="1368">
        <f t="shared" si="20"/>
        <v>0</v>
      </c>
      <c r="R33" s="1368">
        <f t="shared" si="20"/>
        <v>0</v>
      </c>
      <c r="S33" s="1368">
        <f t="shared" si="20"/>
        <v>46.22061200000001</v>
      </c>
      <c r="T33" s="1368">
        <f t="shared" si="20"/>
        <v>91.675743190000006</v>
      </c>
      <c r="U33" s="1368">
        <f t="shared" si="20"/>
        <v>569.72744222525193</v>
      </c>
      <c r="V33" s="1368">
        <f t="shared" si="20"/>
        <v>394.66114517985608</v>
      </c>
      <c r="W33" s="1368">
        <f t="shared" si="20"/>
        <v>76.795614057553948</v>
      </c>
      <c r="X33" s="1368">
        <f t="shared" si="20"/>
        <v>0</v>
      </c>
      <c r="Y33" s="1368">
        <f t="shared" si="20"/>
        <v>25.773784172661863</v>
      </c>
      <c r="Z33" s="1368">
        <f t="shared" si="20"/>
        <v>1.475994</v>
      </c>
      <c r="AA33" s="1368">
        <f t="shared" si="20"/>
        <v>0</v>
      </c>
      <c r="AB33" s="1368">
        <f t="shared" si="20"/>
        <v>0</v>
      </c>
      <c r="AC33" s="1368">
        <f t="shared" si="20"/>
        <v>0</v>
      </c>
      <c r="AD33" s="1368">
        <f t="shared" si="20"/>
        <v>0</v>
      </c>
      <c r="AE33" s="1368">
        <f t="shared" si="20"/>
        <v>0</v>
      </c>
      <c r="AF33" s="1368">
        <f t="shared" si="20"/>
        <v>0</v>
      </c>
      <c r="AG33" s="1368">
        <f t="shared" si="20"/>
        <v>49.545835884892085</v>
      </c>
      <c r="AH33" s="1368">
        <f t="shared" si="20"/>
        <v>98.270682987841724</v>
      </c>
      <c r="AI33" s="1537">
        <f t="shared" si="17"/>
        <v>38.23633303525196</v>
      </c>
      <c r="AJ33" s="1366">
        <f>AI33*12</f>
        <v>458.83599642302352</v>
      </c>
      <c r="AK33" s="1531"/>
      <c r="AL33" s="1431"/>
    </row>
    <row r="34" spans="1:60" s="1444" customFormat="1" ht="33" customHeight="1">
      <c r="A34" s="1516" t="s">
        <v>65</v>
      </c>
      <c r="B34" s="1538" t="s">
        <v>2541</v>
      </c>
      <c r="C34" s="1370">
        <f>SUM(C367)</f>
        <v>1</v>
      </c>
      <c r="D34" s="1370"/>
      <c r="E34" s="1370"/>
      <c r="F34" s="1370">
        <f>SUM(F367)</f>
        <v>1</v>
      </c>
      <c r="G34" s="1367">
        <f t="shared" ref="G34" si="21">H34+I34+T34</f>
        <v>3.3359999999999999</v>
      </c>
      <c r="H34" s="1370">
        <f>SUM(H367)</f>
        <v>3.3359999999999999</v>
      </c>
      <c r="I34" s="1367">
        <f t="shared" ref="I34" si="22">SUM(J34:S34)</f>
        <v>0</v>
      </c>
      <c r="J34" s="1370">
        <f t="shared" ref="J34:S34" si="23">SUM(J367)</f>
        <v>0</v>
      </c>
      <c r="K34" s="1370">
        <f t="shared" si="23"/>
        <v>0</v>
      </c>
      <c r="L34" s="1370">
        <f t="shared" si="23"/>
        <v>0</v>
      </c>
      <c r="M34" s="1370">
        <f t="shared" si="23"/>
        <v>0</v>
      </c>
      <c r="N34" s="1370">
        <f t="shared" si="23"/>
        <v>0</v>
      </c>
      <c r="O34" s="1370">
        <f t="shared" si="23"/>
        <v>0</v>
      </c>
      <c r="P34" s="1370">
        <f t="shared" si="23"/>
        <v>0</v>
      </c>
      <c r="Q34" s="1370">
        <f t="shared" si="23"/>
        <v>0</v>
      </c>
      <c r="R34" s="1370">
        <f t="shared" si="23"/>
        <v>0</v>
      </c>
      <c r="S34" s="1370">
        <f t="shared" si="23"/>
        <v>0</v>
      </c>
      <c r="T34" s="1366"/>
      <c r="U34" s="1371">
        <f t="shared" ref="U34" si="24">V34+W34+AH34</f>
        <v>4.3806000000000003</v>
      </c>
      <c r="V34" s="1367">
        <f>(H34/1.39)*1.49</f>
        <v>3.5760000000000001</v>
      </c>
      <c r="W34" s="1371">
        <f t="shared" ref="W34" si="25">SUM(X34:AG34)</f>
        <v>0</v>
      </c>
      <c r="X34" s="1367">
        <f>(J34/1.39)*1.49</f>
        <v>0</v>
      </c>
      <c r="Y34" s="1367">
        <f t="shared" ref="Y34:AG34" si="26">(K34/1.39)*1.49</f>
        <v>0</v>
      </c>
      <c r="Z34" s="1367">
        <f t="shared" si="26"/>
        <v>0</v>
      </c>
      <c r="AA34" s="1367">
        <f t="shared" si="26"/>
        <v>0</v>
      </c>
      <c r="AB34" s="1367">
        <f t="shared" si="26"/>
        <v>0</v>
      </c>
      <c r="AC34" s="1367">
        <f t="shared" si="26"/>
        <v>0</v>
      </c>
      <c r="AD34" s="1367">
        <f t="shared" si="26"/>
        <v>0</v>
      </c>
      <c r="AE34" s="1367">
        <f t="shared" si="26"/>
        <v>0</v>
      </c>
      <c r="AF34" s="1367">
        <f t="shared" si="26"/>
        <v>0</v>
      </c>
      <c r="AG34" s="1367">
        <f t="shared" si="26"/>
        <v>0</v>
      </c>
      <c r="AH34" s="1367">
        <f>(V34+Y34+Z34+AF34)*22.5%</f>
        <v>0.80459999999999998</v>
      </c>
      <c r="AI34" s="1372">
        <f>U34-G34</f>
        <v>1.0446000000000004</v>
      </c>
      <c r="AJ34" s="1366">
        <f>AI34*12</f>
        <v>12.535200000000005</v>
      </c>
      <c r="AK34" s="1531"/>
      <c r="AL34" s="1431"/>
    </row>
    <row r="35" spans="1:60" s="1444" customFormat="1" ht="32.25" customHeight="1">
      <c r="A35" s="1516" t="s">
        <v>14</v>
      </c>
      <c r="B35" s="1538" t="s">
        <v>2542</v>
      </c>
      <c r="C35" s="1372">
        <f>SUM(C36:C38)</f>
        <v>0</v>
      </c>
      <c r="D35" s="1372"/>
      <c r="E35" s="1372"/>
      <c r="F35" s="1372">
        <f t="shared" ref="F35:AJ35" si="27">SUM(F36:F38)</f>
        <v>49</v>
      </c>
      <c r="G35" s="1372">
        <f t="shared" si="27"/>
        <v>34.055</v>
      </c>
      <c r="H35" s="1372">
        <f t="shared" si="27"/>
        <v>0</v>
      </c>
      <c r="I35" s="1372">
        <f t="shared" si="27"/>
        <v>34.055</v>
      </c>
      <c r="J35" s="1372">
        <f t="shared" si="27"/>
        <v>0</v>
      </c>
      <c r="K35" s="1372">
        <f t="shared" si="27"/>
        <v>0</v>
      </c>
      <c r="L35" s="1372">
        <f t="shared" si="27"/>
        <v>0</v>
      </c>
      <c r="M35" s="1372">
        <f t="shared" si="27"/>
        <v>0</v>
      </c>
      <c r="N35" s="1372">
        <f t="shared" si="27"/>
        <v>0</v>
      </c>
      <c r="O35" s="1372">
        <f t="shared" si="27"/>
        <v>0</v>
      </c>
      <c r="P35" s="1372">
        <f t="shared" si="27"/>
        <v>0</v>
      </c>
      <c r="Q35" s="1372">
        <f t="shared" si="27"/>
        <v>0</v>
      </c>
      <c r="R35" s="1372">
        <f t="shared" si="27"/>
        <v>0</v>
      </c>
      <c r="S35" s="1372">
        <f t="shared" si="27"/>
        <v>34.055</v>
      </c>
      <c r="T35" s="1372"/>
      <c r="U35" s="1372">
        <f t="shared" si="27"/>
        <v>36.505000000000003</v>
      </c>
      <c r="V35" s="1372">
        <f t="shared" si="27"/>
        <v>0</v>
      </c>
      <c r="W35" s="1372">
        <f t="shared" si="27"/>
        <v>36.505000000000003</v>
      </c>
      <c r="X35" s="1372">
        <f t="shared" si="27"/>
        <v>0</v>
      </c>
      <c r="Y35" s="1372">
        <f t="shared" si="27"/>
        <v>0</v>
      </c>
      <c r="Z35" s="1372">
        <f t="shared" si="27"/>
        <v>0</v>
      </c>
      <c r="AA35" s="1372">
        <f t="shared" si="27"/>
        <v>0</v>
      </c>
      <c r="AB35" s="1372">
        <f t="shared" si="27"/>
        <v>0</v>
      </c>
      <c r="AC35" s="1372">
        <f t="shared" si="27"/>
        <v>0</v>
      </c>
      <c r="AD35" s="1372">
        <f t="shared" si="27"/>
        <v>0</v>
      </c>
      <c r="AE35" s="1372">
        <f t="shared" si="27"/>
        <v>0</v>
      </c>
      <c r="AF35" s="1372">
        <f t="shared" si="27"/>
        <v>0</v>
      </c>
      <c r="AG35" s="1372">
        <f t="shared" si="27"/>
        <v>36.505000000000003</v>
      </c>
      <c r="AH35" s="1372">
        <f t="shared" si="27"/>
        <v>0</v>
      </c>
      <c r="AI35" s="1372">
        <f t="shared" si="27"/>
        <v>2.4500000000000028</v>
      </c>
      <c r="AJ35" s="1372">
        <f t="shared" si="27"/>
        <v>29.400000000000034</v>
      </c>
      <c r="AK35" s="1531"/>
      <c r="AL35" s="1431"/>
    </row>
    <row r="36" spans="1:60" s="1444" customFormat="1" ht="20.25" customHeight="1">
      <c r="A36" s="1499"/>
      <c r="B36" s="1535" t="s">
        <v>2543</v>
      </c>
      <c r="C36" s="1368">
        <f>C309</f>
        <v>0</v>
      </c>
      <c r="D36" s="1368">
        <f t="shared" ref="D36:AH36" si="28">D309</f>
        <v>0</v>
      </c>
      <c r="E36" s="1368">
        <f t="shared" si="28"/>
        <v>0</v>
      </c>
      <c r="F36" s="1368">
        <f t="shared" si="28"/>
        <v>49</v>
      </c>
      <c r="G36" s="1368">
        <f t="shared" si="28"/>
        <v>34.055</v>
      </c>
      <c r="H36" s="1368">
        <f t="shared" si="28"/>
        <v>0</v>
      </c>
      <c r="I36" s="1368">
        <f t="shared" si="28"/>
        <v>34.055</v>
      </c>
      <c r="J36" s="1368">
        <f t="shared" si="28"/>
        <v>0</v>
      </c>
      <c r="K36" s="1368">
        <f t="shared" si="28"/>
        <v>0</v>
      </c>
      <c r="L36" s="1368">
        <f t="shared" si="28"/>
        <v>0</v>
      </c>
      <c r="M36" s="1368">
        <f t="shared" si="28"/>
        <v>0</v>
      </c>
      <c r="N36" s="1368">
        <f t="shared" si="28"/>
        <v>0</v>
      </c>
      <c r="O36" s="1368">
        <f t="shared" si="28"/>
        <v>0</v>
      </c>
      <c r="P36" s="1368">
        <f t="shared" si="28"/>
        <v>0</v>
      </c>
      <c r="Q36" s="1368">
        <f t="shared" si="28"/>
        <v>0</v>
      </c>
      <c r="R36" s="1368">
        <f t="shared" si="28"/>
        <v>0</v>
      </c>
      <c r="S36" s="1368">
        <f t="shared" si="28"/>
        <v>34.055</v>
      </c>
      <c r="T36" s="1368">
        <f t="shared" si="28"/>
        <v>0</v>
      </c>
      <c r="U36" s="1368">
        <f t="shared" si="28"/>
        <v>36.505000000000003</v>
      </c>
      <c r="V36" s="1368">
        <f t="shared" si="28"/>
        <v>0</v>
      </c>
      <c r="W36" s="1368">
        <f t="shared" si="28"/>
        <v>36.505000000000003</v>
      </c>
      <c r="X36" s="1368">
        <f t="shared" si="28"/>
        <v>0</v>
      </c>
      <c r="Y36" s="1368">
        <f t="shared" si="28"/>
        <v>0</v>
      </c>
      <c r="Z36" s="1368">
        <f t="shared" si="28"/>
        <v>0</v>
      </c>
      <c r="AA36" s="1368">
        <f t="shared" si="28"/>
        <v>0</v>
      </c>
      <c r="AB36" s="1368">
        <f t="shared" si="28"/>
        <v>0</v>
      </c>
      <c r="AC36" s="1368">
        <f t="shared" si="28"/>
        <v>0</v>
      </c>
      <c r="AD36" s="1368">
        <f t="shared" si="28"/>
        <v>0</v>
      </c>
      <c r="AE36" s="1368">
        <f t="shared" si="28"/>
        <v>0</v>
      </c>
      <c r="AF36" s="1368">
        <f t="shared" si="28"/>
        <v>0</v>
      </c>
      <c r="AG36" s="1368">
        <f t="shared" si="28"/>
        <v>36.505000000000003</v>
      </c>
      <c r="AH36" s="1368">
        <f t="shared" si="28"/>
        <v>0</v>
      </c>
      <c r="AI36" s="1537">
        <f t="shared" ref="AI36:AI38" si="29">U36-G36</f>
        <v>2.4500000000000028</v>
      </c>
      <c r="AJ36" s="1366">
        <f>AI36*12</f>
        <v>29.400000000000034</v>
      </c>
      <c r="AK36" s="1531"/>
      <c r="AL36" s="1431"/>
    </row>
    <row r="37" spans="1:60" s="1444" customFormat="1" ht="20.25" customHeight="1">
      <c r="A37" s="1499"/>
      <c r="B37" s="1535" t="s">
        <v>2544</v>
      </c>
      <c r="C37" s="1368">
        <f>C606</f>
        <v>0</v>
      </c>
      <c r="D37" s="1368">
        <f t="shared" ref="D37:AH38" si="30">D606</f>
        <v>0</v>
      </c>
      <c r="E37" s="1368">
        <f t="shared" si="30"/>
        <v>0</v>
      </c>
      <c r="F37" s="1368">
        <f t="shared" si="30"/>
        <v>0</v>
      </c>
      <c r="G37" s="1368">
        <f t="shared" si="30"/>
        <v>0</v>
      </c>
      <c r="H37" s="1368">
        <f t="shared" si="30"/>
        <v>0</v>
      </c>
      <c r="I37" s="1368">
        <f t="shared" si="30"/>
        <v>0</v>
      </c>
      <c r="J37" s="1368">
        <f t="shared" si="30"/>
        <v>0</v>
      </c>
      <c r="K37" s="1368">
        <f t="shared" si="30"/>
        <v>0</v>
      </c>
      <c r="L37" s="1368">
        <f t="shared" si="30"/>
        <v>0</v>
      </c>
      <c r="M37" s="1368">
        <f t="shared" si="30"/>
        <v>0</v>
      </c>
      <c r="N37" s="1368">
        <f t="shared" si="30"/>
        <v>0</v>
      </c>
      <c r="O37" s="1368">
        <f t="shared" si="30"/>
        <v>0</v>
      </c>
      <c r="P37" s="1368">
        <f t="shared" si="30"/>
        <v>0</v>
      </c>
      <c r="Q37" s="1368">
        <f t="shared" si="30"/>
        <v>0</v>
      </c>
      <c r="R37" s="1368">
        <f t="shared" si="30"/>
        <v>0</v>
      </c>
      <c r="S37" s="1368">
        <f t="shared" si="30"/>
        <v>0</v>
      </c>
      <c r="T37" s="1368">
        <f t="shared" si="30"/>
        <v>0</v>
      </c>
      <c r="U37" s="1368">
        <f t="shared" si="30"/>
        <v>0</v>
      </c>
      <c r="V37" s="1368">
        <f t="shared" si="30"/>
        <v>0</v>
      </c>
      <c r="W37" s="1368">
        <f t="shared" si="30"/>
        <v>0</v>
      </c>
      <c r="X37" s="1368">
        <f t="shared" si="30"/>
        <v>0</v>
      </c>
      <c r="Y37" s="1368">
        <f t="shared" si="30"/>
        <v>0</v>
      </c>
      <c r="Z37" s="1368">
        <f t="shared" si="30"/>
        <v>0</v>
      </c>
      <c r="AA37" s="1368">
        <f t="shared" si="30"/>
        <v>0</v>
      </c>
      <c r="AB37" s="1368">
        <f t="shared" si="30"/>
        <v>0</v>
      </c>
      <c r="AC37" s="1368">
        <f t="shared" si="30"/>
        <v>0</v>
      </c>
      <c r="AD37" s="1368">
        <f t="shared" si="30"/>
        <v>0</v>
      </c>
      <c r="AE37" s="1368">
        <f t="shared" si="30"/>
        <v>0</v>
      </c>
      <c r="AF37" s="1368">
        <f t="shared" si="30"/>
        <v>0</v>
      </c>
      <c r="AG37" s="1368">
        <f t="shared" si="30"/>
        <v>0</v>
      </c>
      <c r="AH37" s="1368">
        <f t="shared" si="30"/>
        <v>0</v>
      </c>
      <c r="AI37" s="1537">
        <f t="shared" si="29"/>
        <v>0</v>
      </c>
      <c r="AJ37" s="1366">
        <f>AI37*12</f>
        <v>0</v>
      </c>
      <c r="AK37" s="1531"/>
      <c r="AL37" s="1431"/>
    </row>
    <row r="38" spans="1:60" s="1444" customFormat="1" ht="20.25" customHeight="1">
      <c r="A38" s="1499"/>
      <c r="B38" s="1535" t="s">
        <v>2545</v>
      </c>
      <c r="C38" s="1368">
        <f>C607</f>
        <v>0</v>
      </c>
      <c r="D38" s="1368">
        <f t="shared" si="30"/>
        <v>0</v>
      </c>
      <c r="E38" s="1368">
        <f t="shared" si="30"/>
        <v>0</v>
      </c>
      <c r="F38" s="1368">
        <f t="shared" si="30"/>
        <v>0</v>
      </c>
      <c r="G38" s="1368">
        <f t="shared" si="30"/>
        <v>0</v>
      </c>
      <c r="H38" s="1368">
        <f t="shared" si="30"/>
        <v>0</v>
      </c>
      <c r="I38" s="1368">
        <f t="shared" si="30"/>
        <v>0</v>
      </c>
      <c r="J38" s="1368">
        <f t="shared" si="30"/>
        <v>0</v>
      </c>
      <c r="K38" s="1368">
        <f t="shared" si="30"/>
        <v>0</v>
      </c>
      <c r="L38" s="1368">
        <f t="shared" si="30"/>
        <v>0</v>
      </c>
      <c r="M38" s="1368">
        <f t="shared" si="30"/>
        <v>0</v>
      </c>
      <c r="N38" s="1368">
        <f t="shared" si="30"/>
        <v>0</v>
      </c>
      <c r="O38" s="1368">
        <f t="shared" si="30"/>
        <v>0</v>
      </c>
      <c r="P38" s="1368">
        <f t="shared" si="30"/>
        <v>0</v>
      </c>
      <c r="Q38" s="1368">
        <f t="shared" si="30"/>
        <v>0</v>
      </c>
      <c r="R38" s="1368">
        <f t="shared" si="30"/>
        <v>0</v>
      </c>
      <c r="S38" s="1368">
        <f t="shared" si="30"/>
        <v>0</v>
      </c>
      <c r="T38" s="1368">
        <f t="shared" si="30"/>
        <v>0</v>
      </c>
      <c r="U38" s="1368">
        <f t="shared" si="30"/>
        <v>0</v>
      </c>
      <c r="V38" s="1368">
        <f t="shared" si="30"/>
        <v>0</v>
      </c>
      <c r="W38" s="1368">
        <f t="shared" si="30"/>
        <v>0</v>
      </c>
      <c r="X38" s="1368">
        <f t="shared" si="30"/>
        <v>0</v>
      </c>
      <c r="Y38" s="1368">
        <f t="shared" si="30"/>
        <v>0</v>
      </c>
      <c r="Z38" s="1368">
        <f t="shared" si="30"/>
        <v>0</v>
      </c>
      <c r="AA38" s="1368">
        <f t="shared" si="30"/>
        <v>0</v>
      </c>
      <c r="AB38" s="1368">
        <f t="shared" si="30"/>
        <v>0</v>
      </c>
      <c r="AC38" s="1368">
        <f t="shared" si="30"/>
        <v>0</v>
      </c>
      <c r="AD38" s="1368">
        <f t="shared" si="30"/>
        <v>0</v>
      </c>
      <c r="AE38" s="1368">
        <f t="shared" si="30"/>
        <v>0</v>
      </c>
      <c r="AF38" s="1368">
        <f t="shared" si="30"/>
        <v>0</v>
      </c>
      <c r="AG38" s="1368">
        <f t="shared" si="30"/>
        <v>0</v>
      </c>
      <c r="AH38" s="1368">
        <f t="shared" si="30"/>
        <v>0</v>
      </c>
      <c r="AI38" s="1537">
        <f t="shared" si="29"/>
        <v>0</v>
      </c>
      <c r="AJ38" s="1366">
        <f>AI38*12</f>
        <v>0</v>
      </c>
      <c r="AK38" s="1531"/>
      <c r="AL38" s="1431"/>
    </row>
    <row r="39" spans="1:60" s="1444" customFormat="1" ht="20.25" customHeight="1">
      <c r="A39" s="1516" t="s">
        <v>18</v>
      </c>
      <c r="B39" s="1538" t="s">
        <v>2546</v>
      </c>
      <c r="C39" s="1372">
        <f>SUM(C40:C42)</f>
        <v>0</v>
      </c>
      <c r="D39" s="1372"/>
      <c r="E39" s="1372"/>
      <c r="F39" s="1372">
        <f t="shared" ref="F39:AJ39" si="31">SUM(F40:F42)</f>
        <v>320</v>
      </c>
      <c r="G39" s="1372">
        <f t="shared" si="31"/>
        <v>186.67700000000002</v>
      </c>
      <c r="H39" s="1372">
        <f t="shared" si="31"/>
        <v>0</v>
      </c>
      <c r="I39" s="1372">
        <f t="shared" si="31"/>
        <v>186.67700000000002</v>
      </c>
      <c r="J39" s="1372">
        <f t="shared" si="31"/>
        <v>0</v>
      </c>
      <c r="K39" s="1372">
        <f t="shared" si="31"/>
        <v>0</v>
      </c>
      <c r="L39" s="1372">
        <f t="shared" si="31"/>
        <v>0</v>
      </c>
      <c r="M39" s="1372">
        <f t="shared" si="31"/>
        <v>0</v>
      </c>
      <c r="N39" s="1372">
        <f t="shared" si="31"/>
        <v>0</v>
      </c>
      <c r="O39" s="1372">
        <f t="shared" si="31"/>
        <v>0</v>
      </c>
      <c r="P39" s="1372">
        <f t="shared" si="31"/>
        <v>0</v>
      </c>
      <c r="Q39" s="1372">
        <f t="shared" si="31"/>
        <v>0</v>
      </c>
      <c r="R39" s="1372">
        <f t="shared" si="31"/>
        <v>0</v>
      </c>
      <c r="S39" s="1372">
        <f t="shared" si="31"/>
        <v>186.67700000000002</v>
      </c>
      <c r="T39" s="1372"/>
      <c r="U39" s="1372">
        <f t="shared" si="31"/>
        <v>200.10700000000003</v>
      </c>
      <c r="V39" s="1372">
        <f t="shared" si="31"/>
        <v>0</v>
      </c>
      <c r="W39" s="1372">
        <f t="shared" si="31"/>
        <v>200.10700000000003</v>
      </c>
      <c r="X39" s="1372">
        <f t="shared" si="31"/>
        <v>0</v>
      </c>
      <c r="Y39" s="1372">
        <f t="shared" si="31"/>
        <v>0</v>
      </c>
      <c r="Z39" s="1372">
        <f t="shared" si="31"/>
        <v>0</v>
      </c>
      <c r="AA39" s="1372">
        <f t="shared" si="31"/>
        <v>0</v>
      </c>
      <c r="AB39" s="1372">
        <f t="shared" si="31"/>
        <v>0</v>
      </c>
      <c r="AC39" s="1372">
        <f t="shared" si="31"/>
        <v>0</v>
      </c>
      <c r="AD39" s="1372">
        <f t="shared" si="31"/>
        <v>0</v>
      </c>
      <c r="AE39" s="1372">
        <f t="shared" si="31"/>
        <v>0</v>
      </c>
      <c r="AF39" s="1372">
        <f t="shared" si="31"/>
        <v>0</v>
      </c>
      <c r="AG39" s="1372">
        <f t="shared" si="31"/>
        <v>200.10700000000003</v>
      </c>
      <c r="AH39" s="1372">
        <f t="shared" si="31"/>
        <v>0</v>
      </c>
      <c r="AI39" s="1372">
        <f t="shared" si="31"/>
        <v>13.430000000000007</v>
      </c>
      <c r="AJ39" s="1372">
        <f t="shared" si="31"/>
        <v>161.16000000000008</v>
      </c>
      <c r="AK39" s="1531"/>
      <c r="AL39" s="1431"/>
    </row>
    <row r="40" spans="1:60" s="1444" customFormat="1" ht="20.25" customHeight="1">
      <c r="A40" s="1499"/>
      <c r="B40" s="1535" t="s">
        <v>2547</v>
      </c>
      <c r="C40" s="1368">
        <f>C314</f>
        <v>0</v>
      </c>
      <c r="D40" s="1368">
        <f t="shared" ref="D40:AH40" si="32">D314</f>
        <v>0</v>
      </c>
      <c r="E40" s="1368">
        <f t="shared" si="32"/>
        <v>0</v>
      </c>
      <c r="F40" s="1368">
        <f t="shared" si="32"/>
        <v>320</v>
      </c>
      <c r="G40" s="1368">
        <f t="shared" si="32"/>
        <v>186.67700000000002</v>
      </c>
      <c r="H40" s="1368">
        <f t="shared" si="32"/>
        <v>0</v>
      </c>
      <c r="I40" s="1368">
        <f t="shared" si="32"/>
        <v>186.67700000000002</v>
      </c>
      <c r="J40" s="1368">
        <f t="shared" si="32"/>
        <v>0</v>
      </c>
      <c r="K40" s="1368">
        <f t="shared" si="32"/>
        <v>0</v>
      </c>
      <c r="L40" s="1368">
        <f t="shared" si="32"/>
        <v>0</v>
      </c>
      <c r="M40" s="1368">
        <f t="shared" si="32"/>
        <v>0</v>
      </c>
      <c r="N40" s="1368">
        <f t="shared" si="32"/>
        <v>0</v>
      </c>
      <c r="O40" s="1368">
        <f t="shared" si="32"/>
        <v>0</v>
      </c>
      <c r="P40" s="1368">
        <f t="shared" si="32"/>
        <v>0</v>
      </c>
      <c r="Q40" s="1368">
        <f t="shared" si="32"/>
        <v>0</v>
      </c>
      <c r="R40" s="1368">
        <f t="shared" si="32"/>
        <v>0</v>
      </c>
      <c r="S40" s="1368">
        <f t="shared" si="32"/>
        <v>186.67700000000002</v>
      </c>
      <c r="T40" s="1368">
        <f t="shared" si="32"/>
        <v>0</v>
      </c>
      <c r="U40" s="1368">
        <f t="shared" si="32"/>
        <v>200.10700000000003</v>
      </c>
      <c r="V40" s="1368">
        <f t="shared" si="32"/>
        <v>0</v>
      </c>
      <c r="W40" s="1368">
        <f t="shared" si="32"/>
        <v>200.10700000000003</v>
      </c>
      <c r="X40" s="1368">
        <f t="shared" si="32"/>
        <v>0</v>
      </c>
      <c r="Y40" s="1368">
        <f t="shared" si="32"/>
        <v>0</v>
      </c>
      <c r="Z40" s="1368">
        <f t="shared" si="32"/>
        <v>0</v>
      </c>
      <c r="AA40" s="1368">
        <f t="shared" si="32"/>
        <v>0</v>
      </c>
      <c r="AB40" s="1368">
        <f t="shared" si="32"/>
        <v>0</v>
      </c>
      <c r="AC40" s="1368">
        <f t="shared" si="32"/>
        <v>0</v>
      </c>
      <c r="AD40" s="1368">
        <f t="shared" si="32"/>
        <v>0</v>
      </c>
      <c r="AE40" s="1368">
        <f t="shared" si="32"/>
        <v>0</v>
      </c>
      <c r="AF40" s="1368">
        <f t="shared" si="32"/>
        <v>0</v>
      </c>
      <c r="AG40" s="1368">
        <f t="shared" si="32"/>
        <v>200.10700000000003</v>
      </c>
      <c r="AH40" s="1368">
        <f t="shared" si="32"/>
        <v>0</v>
      </c>
      <c r="AI40" s="1537">
        <f t="shared" ref="AI40:AI42" si="33">U40-G40</f>
        <v>13.430000000000007</v>
      </c>
      <c r="AJ40" s="1366">
        <f>AI40*12</f>
        <v>161.16000000000008</v>
      </c>
      <c r="AK40" s="1531"/>
      <c r="AL40" s="1431"/>
    </row>
    <row r="41" spans="1:60" s="1444" customFormat="1" ht="20.25" customHeight="1">
      <c r="A41" s="1499"/>
      <c r="B41" s="1535" t="s">
        <v>2548</v>
      </c>
      <c r="C41" s="1368">
        <f>C610</f>
        <v>0</v>
      </c>
      <c r="D41" s="1368">
        <f t="shared" ref="D41:AH42" si="34">D610</f>
        <v>0</v>
      </c>
      <c r="E41" s="1368">
        <f t="shared" si="34"/>
        <v>0</v>
      </c>
      <c r="F41" s="1368">
        <f t="shared" si="34"/>
        <v>0</v>
      </c>
      <c r="G41" s="1368">
        <f t="shared" si="34"/>
        <v>0</v>
      </c>
      <c r="H41" s="1368">
        <f t="shared" si="34"/>
        <v>0</v>
      </c>
      <c r="I41" s="1368">
        <f t="shared" si="34"/>
        <v>0</v>
      </c>
      <c r="J41" s="1368">
        <f t="shared" si="34"/>
        <v>0</v>
      </c>
      <c r="K41" s="1368">
        <f t="shared" si="34"/>
        <v>0</v>
      </c>
      <c r="L41" s="1368">
        <f t="shared" si="34"/>
        <v>0</v>
      </c>
      <c r="M41" s="1368">
        <f t="shared" si="34"/>
        <v>0</v>
      </c>
      <c r="N41" s="1368">
        <f t="shared" si="34"/>
        <v>0</v>
      </c>
      <c r="O41" s="1368">
        <f t="shared" si="34"/>
        <v>0</v>
      </c>
      <c r="P41" s="1368">
        <f t="shared" si="34"/>
        <v>0</v>
      </c>
      <c r="Q41" s="1368">
        <f t="shared" si="34"/>
        <v>0</v>
      </c>
      <c r="R41" s="1368">
        <f t="shared" si="34"/>
        <v>0</v>
      </c>
      <c r="S41" s="1368">
        <f t="shared" si="34"/>
        <v>0</v>
      </c>
      <c r="T41" s="1368">
        <f t="shared" si="34"/>
        <v>0</v>
      </c>
      <c r="U41" s="1368">
        <f t="shared" si="34"/>
        <v>0</v>
      </c>
      <c r="V41" s="1368">
        <f t="shared" si="34"/>
        <v>0</v>
      </c>
      <c r="W41" s="1368">
        <f t="shared" si="34"/>
        <v>0</v>
      </c>
      <c r="X41" s="1368">
        <f t="shared" si="34"/>
        <v>0</v>
      </c>
      <c r="Y41" s="1368">
        <f t="shared" si="34"/>
        <v>0</v>
      </c>
      <c r="Z41" s="1368">
        <f t="shared" si="34"/>
        <v>0</v>
      </c>
      <c r="AA41" s="1368">
        <f t="shared" si="34"/>
        <v>0</v>
      </c>
      <c r="AB41" s="1368">
        <f t="shared" si="34"/>
        <v>0</v>
      </c>
      <c r="AC41" s="1368">
        <f t="shared" si="34"/>
        <v>0</v>
      </c>
      <c r="AD41" s="1368">
        <f t="shared" si="34"/>
        <v>0</v>
      </c>
      <c r="AE41" s="1368">
        <f t="shared" si="34"/>
        <v>0</v>
      </c>
      <c r="AF41" s="1368">
        <f t="shared" si="34"/>
        <v>0</v>
      </c>
      <c r="AG41" s="1368">
        <f t="shared" si="34"/>
        <v>0</v>
      </c>
      <c r="AH41" s="1368">
        <f t="shared" si="34"/>
        <v>0</v>
      </c>
      <c r="AI41" s="1537">
        <f t="shared" si="33"/>
        <v>0</v>
      </c>
      <c r="AJ41" s="1366">
        <f>AI41*12</f>
        <v>0</v>
      </c>
      <c r="AK41" s="1531"/>
      <c r="AL41" s="1431"/>
    </row>
    <row r="42" spans="1:60" s="1444" customFormat="1" ht="20.25" customHeight="1">
      <c r="A42" s="1499"/>
      <c r="B42" s="1535" t="s">
        <v>2549</v>
      </c>
      <c r="C42" s="1368">
        <f>C611</f>
        <v>0</v>
      </c>
      <c r="D42" s="1368">
        <f t="shared" si="34"/>
        <v>0</v>
      </c>
      <c r="E42" s="1368">
        <f t="shared" si="34"/>
        <v>0</v>
      </c>
      <c r="F42" s="1368">
        <f t="shared" si="34"/>
        <v>0</v>
      </c>
      <c r="G42" s="1368">
        <f t="shared" si="34"/>
        <v>0</v>
      </c>
      <c r="H42" s="1368">
        <f t="shared" si="34"/>
        <v>0</v>
      </c>
      <c r="I42" s="1368">
        <f t="shared" si="34"/>
        <v>0</v>
      </c>
      <c r="J42" s="1368">
        <f t="shared" si="34"/>
        <v>0</v>
      </c>
      <c r="K42" s="1368">
        <f t="shared" si="34"/>
        <v>0</v>
      </c>
      <c r="L42" s="1368">
        <f t="shared" si="34"/>
        <v>0</v>
      </c>
      <c r="M42" s="1368">
        <f t="shared" si="34"/>
        <v>0</v>
      </c>
      <c r="N42" s="1368">
        <f t="shared" si="34"/>
        <v>0</v>
      </c>
      <c r="O42" s="1368">
        <f t="shared" si="34"/>
        <v>0</v>
      </c>
      <c r="P42" s="1368">
        <f t="shared" si="34"/>
        <v>0</v>
      </c>
      <c r="Q42" s="1368">
        <f t="shared" si="34"/>
        <v>0</v>
      </c>
      <c r="R42" s="1368">
        <f t="shared" si="34"/>
        <v>0</v>
      </c>
      <c r="S42" s="1368">
        <f t="shared" si="34"/>
        <v>0</v>
      </c>
      <c r="T42" s="1368">
        <f t="shared" si="34"/>
        <v>0</v>
      </c>
      <c r="U42" s="1368">
        <f t="shared" si="34"/>
        <v>0</v>
      </c>
      <c r="V42" s="1368">
        <f t="shared" si="34"/>
        <v>0</v>
      </c>
      <c r="W42" s="1368">
        <f t="shared" si="34"/>
        <v>0</v>
      </c>
      <c r="X42" s="1368">
        <f t="shared" si="34"/>
        <v>0</v>
      </c>
      <c r="Y42" s="1368">
        <f t="shared" si="34"/>
        <v>0</v>
      </c>
      <c r="Z42" s="1368">
        <f t="shared" si="34"/>
        <v>0</v>
      </c>
      <c r="AA42" s="1368">
        <f t="shared" si="34"/>
        <v>0</v>
      </c>
      <c r="AB42" s="1368">
        <f t="shared" si="34"/>
        <v>0</v>
      </c>
      <c r="AC42" s="1368">
        <f t="shared" si="34"/>
        <v>0</v>
      </c>
      <c r="AD42" s="1368">
        <f t="shared" si="34"/>
        <v>0</v>
      </c>
      <c r="AE42" s="1368">
        <f t="shared" si="34"/>
        <v>0</v>
      </c>
      <c r="AF42" s="1368">
        <f t="shared" si="34"/>
        <v>0</v>
      </c>
      <c r="AG42" s="1368">
        <f t="shared" si="34"/>
        <v>0</v>
      </c>
      <c r="AH42" s="1368">
        <f t="shared" si="34"/>
        <v>0</v>
      </c>
      <c r="AI42" s="1537">
        <f t="shared" si="33"/>
        <v>0</v>
      </c>
      <c r="AJ42" s="1366">
        <f>AI42*12</f>
        <v>0</v>
      </c>
      <c r="AK42" s="1531"/>
      <c r="AL42" s="1431"/>
    </row>
    <row r="43" spans="1:60" s="1444" customFormat="1" ht="20.25" customHeight="1">
      <c r="A43" s="1375"/>
      <c r="B43" s="1539"/>
      <c r="C43" s="1365"/>
      <c r="D43" s="1365"/>
      <c r="E43" s="1365"/>
      <c r="F43" s="1365"/>
      <c r="G43" s="1366"/>
      <c r="H43" s="1365"/>
      <c r="I43" s="1366"/>
      <c r="J43" s="1365"/>
      <c r="K43" s="1365"/>
      <c r="L43" s="1365"/>
      <c r="M43" s="1365"/>
      <c r="N43" s="1365"/>
      <c r="O43" s="1365"/>
      <c r="P43" s="1365"/>
      <c r="Q43" s="1365"/>
      <c r="R43" s="1365"/>
      <c r="S43" s="1365"/>
      <c r="T43" s="1366"/>
      <c r="U43" s="1366"/>
      <c r="V43" s="1366"/>
      <c r="W43" s="1366"/>
      <c r="X43" s="1366"/>
      <c r="Y43" s="1366"/>
      <c r="Z43" s="1366"/>
      <c r="AA43" s="1366"/>
      <c r="AB43" s="1366"/>
      <c r="AC43" s="1366"/>
      <c r="AD43" s="1366"/>
      <c r="AE43" s="1366"/>
      <c r="AF43" s="1366"/>
      <c r="AG43" s="1366"/>
      <c r="AH43" s="1366"/>
      <c r="AI43" s="1366"/>
      <c r="AJ43" s="1366"/>
      <c r="AK43" s="1531"/>
      <c r="AL43" s="1431"/>
    </row>
    <row r="44" spans="1:60" s="1432" customFormat="1" ht="23.25" customHeight="1">
      <c r="A44" s="1427" t="s">
        <v>5</v>
      </c>
      <c r="B44" s="1428" t="s">
        <v>2550</v>
      </c>
      <c r="C44" s="1429">
        <f t="shared" ref="C44:W44" si="35">SUM(C45,C307,C308,C313)</f>
        <v>8473</v>
      </c>
      <c r="D44" s="1429">
        <f t="shared" si="35"/>
        <v>5771</v>
      </c>
      <c r="E44" s="1429">
        <f t="shared" si="35"/>
        <v>1076</v>
      </c>
      <c r="F44" s="1429">
        <f t="shared" si="35"/>
        <v>8848</v>
      </c>
      <c r="G44" s="1429">
        <f t="shared" si="35"/>
        <v>73253.921346681484</v>
      </c>
      <c r="H44" s="1429">
        <f t="shared" si="35"/>
        <v>40641.067879999995</v>
      </c>
      <c r="I44" s="1429">
        <f t="shared" si="35"/>
        <v>22195.740068200001</v>
      </c>
      <c r="J44" s="1429">
        <f t="shared" si="35"/>
        <v>0</v>
      </c>
      <c r="K44" s="1429">
        <f t="shared" si="35"/>
        <v>1118.8993999999998</v>
      </c>
      <c r="L44" s="1429">
        <f t="shared" si="35"/>
        <v>340.245496</v>
      </c>
      <c r="M44" s="1429">
        <f t="shared" si="35"/>
        <v>12110.422699099998</v>
      </c>
      <c r="N44" s="1429">
        <f t="shared" si="35"/>
        <v>3120.2075255999998</v>
      </c>
      <c r="O44" s="1429">
        <f t="shared" si="35"/>
        <v>395.99899999999997</v>
      </c>
      <c r="P44" s="1429">
        <f t="shared" si="35"/>
        <v>1549.5644280000001</v>
      </c>
      <c r="Q44" s="1429">
        <f t="shared" si="35"/>
        <v>416.60533499999997</v>
      </c>
      <c r="R44" s="1429">
        <f t="shared" si="35"/>
        <v>2152.4071574999998</v>
      </c>
      <c r="S44" s="1429">
        <f t="shared" si="35"/>
        <v>976.78707700000018</v>
      </c>
      <c r="T44" s="1429">
        <f t="shared" si="35"/>
        <v>10357.401500481499</v>
      </c>
      <c r="U44" s="1429">
        <f t="shared" si="35"/>
        <v>78808.440137786805</v>
      </c>
      <c r="V44" s="1429">
        <f t="shared" si="35"/>
        <v>43695.585186364151</v>
      </c>
      <c r="W44" s="1429">
        <f t="shared" si="35"/>
        <v>23893.616783577207</v>
      </c>
      <c r="X44" s="1612" t="e">
        <f>#REF!</f>
        <v>#REF!</v>
      </c>
      <c r="Y44" s="1429">
        <f t="shared" ref="Y44:AJ44" si="36">SUM(Y45,Y307,Y308,Y313)</f>
        <v>1197.381982567792</v>
      </c>
      <c r="Z44" s="1429">
        <f t="shared" si="36"/>
        <v>350.11746262313227</v>
      </c>
      <c r="AA44" s="1429">
        <f t="shared" si="36"/>
        <v>12979.264404071224</v>
      </c>
      <c r="AB44" s="1429">
        <f t="shared" si="36"/>
        <v>3370.1651550258994</v>
      </c>
      <c r="AC44" s="1429">
        <f t="shared" si="36"/>
        <v>430.71900000000005</v>
      </c>
      <c r="AD44" s="1429">
        <f t="shared" si="36"/>
        <v>1663.2283560935255</v>
      </c>
      <c r="AE44" s="1429">
        <f t="shared" si="36"/>
        <v>446.57665406474825</v>
      </c>
      <c r="AF44" s="1429">
        <f t="shared" si="36"/>
        <v>2398.0616806007192</v>
      </c>
      <c r="AG44" s="1429">
        <f t="shared" si="36"/>
        <v>1042.4496385301604</v>
      </c>
      <c r="AH44" s="1429">
        <f t="shared" si="36"/>
        <v>11153.06011742237</v>
      </c>
      <c r="AI44" s="1429">
        <f t="shared" si="36"/>
        <v>5554.5187911052926</v>
      </c>
      <c r="AJ44" s="1429">
        <f t="shared" si="36"/>
        <v>66477.317203263505</v>
      </c>
      <c r="AK44" s="1430"/>
      <c r="AL44" s="1431">
        <f t="shared" ref="AL44:AL106" si="37">U44/G44*100</f>
        <v>107.58255488442457</v>
      </c>
    </row>
    <row r="45" spans="1:60" s="1437" customFormat="1" ht="21" customHeight="1">
      <c r="A45" s="1433" t="s">
        <v>13</v>
      </c>
      <c r="B45" s="1434" t="s">
        <v>2528</v>
      </c>
      <c r="C45" s="1438">
        <f t="shared" ref="C45:AJ45" si="38">C47+C100+C148+C157+C165+C167+C170+C178+C221+C227</f>
        <v>8473</v>
      </c>
      <c r="D45" s="1438">
        <f t="shared" si="38"/>
        <v>5771</v>
      </c>
      <c r="E45" s="1438">
        <f t="shared" si="38"/>
        <v>1076</v>
      </c>
      <c r="F45" s="1438">
        <f t="shared" si="38"/>
        <v>8479</v>
      </c>
      <c r="G45" s="1613">
        <f t="shared" si="38"/>
        <v>73033.189346681494</v>
      </c>
      <c r="H45" s="1613">
        <f t="shared" si="38"/>
        <v>40641.067879999995</v>
      </c>
      <c r="I45" s="1613">
        <f t="shared" si="38"/>
        <v>21975.008068200001</v>
      </c>
      <c r="J45" s="1613">
        <f t="shared" si="38"/>
        <v>0</v>
      </c>
      <c r="K45" s="1613">
        <f t="shared" si="38"/>
        <v>1118.8993999999998</v>
      </c>
      <c r="L45" s="1613">
        <f t="shared" si="38"/>
        <v>340.245496</v>
      </c>
      <c r="M45" s="1613">
        <f t="shared" si="38"/>
        <v>12110.422699099998</v>
      </c>
      <c r="N45" s="1613">
        <f t="shared" si="38"/>
        <v>3120.2075255999998</v>
      </c>
      <c r="O45" s="1613">
        <f t="shared" si="38"/>
        <v>395.99899999999997</v>
      </c>
      <c r="P45" s="1613">
        <f t="shared" si="38"/>
        <v>1549.5644280000001</v>
      </c>
      <c r="Q45" s="1613">
        <f t="shared" si="38"/>
        <v>416.60533499999997</v>
      </c>
      <c r="R45" s="1613">
        <f t="shared" si="38"/>
        <v>2152.4071574999998</v>
      </c>
      <c r="S45" s="1613">
        <f t="shared" si="38"/>
        <v>756.05507700000021</v>
      </c>
      <c r="T45" s="1613">
        <f t="shared" si="38"/>
        <v>10357.401500481499</v>
      </c>
      <c r="U45" s="1613">
        <f t="shared" si="38"/>
        <v>78571.828137786797</v>
      </c>
      <c r="V45" s="1613">
        <f t="shared" si="38"/>
        <v>43695.585186364151</v>
      </c>
      <c r="W45" s="1613">
        <f t="shared" si="38"/>
        <v>23657.004783577206</v>
      </c>
      <c r="X45" s="1613">
        <f t="shared" si="38"/>
        <v>0</v>
      </c>
      <c r="Y45" s="1613">
        <f t="shared" si="38"/>
        <v>1197.381982567792</v>
      </c>
      <c r="Z45" s="1613">
        <f t="shared" si="38"/>
        <v>350.11746262313227</v>
      </c>
      <c r="AA45" s="1613">
        <f t="shared" si="38"/>
        <v>12979.264404071224</v>
      </c>
      <c r="AB45" s="1613">
        <f t="shared" si="38"/>
        <v>3370.1651550258994</v>
      </c>
      <c r="AC45" s="1613">
        <f t="shared" si="38"/>
        <v>430.71900000000005</v>
      </c>
      <c r="AD45" s="1613">
        <f t="shared" si="38"/>
        <v>1663.2283560935255</v>
      </c>
      <c r="AE45" s="1613">
        <f t="shared" si="38"/>
        <v>446.57665406474825</v>
      </c>
      <c r="AF45" s="1613">
        <f t="shared" si="38"/>
        <v>2398.0616806007192</v>
      </c>
      <c r="AG45" s="1613">
        <f t="shared" si="38"/>
        <v>805.83763853016046</v>
      </c>
      <c r="AH45" s="1613">
        <f t="shared" si="38"/>
        <v>11153.06011742237</v>
      </c>
      <c r="AI45" s="1613">
        <f t="shared" si="38"/>
        <v>5538.6387911052925</v>
      </c>
      <c r="AJ45" s="1613">
        <f t="shared" si="38"/>
        <v>66286.757203263507</v>
      </c>
      <c r="AK45" s="1435"/>
      <c r="AL45" s="1431">
        <f t="shared" si="37"/>
        <v>107.58372849474493</v>
      </c>
      <c r="AM45" s="1436"/>
      <c r="AN45" s="1436"/>
      <c r="AO45" s="1436"/>
      <c r="AP45" s="1436"/>
      <c r="AQ45" s="1436"/>
      <c r="AR45" s="1436"/>
      <c r="AS45" s="1436"/>
      <c r="AT45" s="1436"/>
      <c r="AU45" s="1436"/>
      <c r="AV45" s="1436"/>
      <c r="AW45" s="1436"/>
      <c r="AX45" s="1436"/>
      <c r="AY45" s="1436"/>
      <c r="AZ45" s="1436"/>
      <c r="BA45" s="1436"/>
      <c r="BB45" s="1436"/>
      <c r="BC45" s="1436"/>
      <c r="BD45" s="1436"/>
      <c r="BE45" s="1436"/>
      <c r="BF45" s="1436"/>
      <c r="BG45" s="1436"/>
      <c r="BH45" s="1436"/>
    </row>
    <row r="46" spans="1:60" s="1444" customFormat="1" ht="21" customHeight="1">
      <c r="A46" s="1375"/>
      <c r="B46" s="1439" t="s">
        <v>2512</v>
      </c>
      <c r="C46" s="1440"/>
      <c r="D46" s="1440"/>
      <c r="E46" s="1440"/>
      <c r="F46" s="1440"/>
      <c r="G46" s="1614"/>
      <c r="H46" s="1615"/>
      <c r="I46" s="1614"/>
      <c r="J46" s="1615"/>
      <c r="K46" s="1615"/>
      <c r="L46" s="1615"/>
      <c r="M46" s="1615"/>
      <c r="N46" s="1615"/>
      <c r="O46" s="1615"/>
      <c r="P46" s="1615"/>
      <c r="Q46" s="1615"/>
      <c r="R46" s="1615"/>
      <c r="S46" s="1615"/>
      <c r="T46" s="1614"/>
      <c r="U46" s="1614"/>
      <c r="V46" s="1614"/>
      <c r="W46" s="1614"/>
      <c r="X46" s="1614"/>
      <c r="Y46" s="1614"/>
      <c r="Z46" s="1614"/>
      <c r="AA46" s="1614"/>
      <c r="AB46" s="1614"/>
      <c r="AC46" s="1614"/>
      <c r="AD46" s="1614"/>
      <c r="AE46" s="1614"/>
      <c r="AF46" s="1614"/>
      <c r="AG46" s="1614"/>
      <c r="AH46" s="1614"/>
      <c r="AI46" s="1614"/>
      <c r="AJ46" s="1614"/>
      <c r="AK46" s="1442"/>
      <c r="AL46" s="1431" t="e">
        <f t="shared" si="37"/>
        <v>#DIV/0!</v>
      </c>
      <c r="AM46" s="1443"/>
      <c r="AN46" s="1443"/>
      <c r="AO46" s="1443"/>
      <c r="AP46" s="1443"/>
      <c r="AQ46" s="1443"/>
      <c r="AR46" s="1443"/>
      <c r="AS46" s="1443"/>
      <c r="AT46" s="1443"/>
      <c r="AU46" s="1443"/>
      <c r="AV46" s="1443"/>
      <c r="AW46" s="1443"/>
      <c r="AX46" s="1443"/>
      <c r="AY46" s="1443"/>
      <c r="AZ46" s="1443"/>
      <c r="BA46" s="1443"/>
      <c r="BB46" s="1443"/>
      <c r="BC46" s="1443"/>
      <c r="BD46" s="1443"/>
      <c r="BE46" s="1443"/>
      <c r="BF46" s="1443"/>
      <c r="BG46" s="1443"/>
      <c r="BH46" s="1443"/>
    </row>
    <row r="47" spans="1:60" s="1444" customFormat="1" ht="21" customHeight="1">
      <c r="A47" s="1445">
        <v>1</v>
      </c>
      <c r="B47" s="1446" t="s">
        <v>2489</v>
      </c>
      <c r="C47" s="1447">
        <f>C48+C90</f>
        <v>2336</v>
      </c>
      <c r="D47" s="1447">
        <f t="shared" ref="D47:AJ47" si="39">D48+D90</f>
        <v>2071</v>
      </c>
      <c r="E47" s="1447">
        <f t="shared" si="39"/>
        <v>0</v>
      </c>
      <c r="F47" s="1447">
        <f t="shared" si="39"/>
        <v>3233</v>
      </c>
      <c r="G47" s="1616">
        <f t="shared" si="39"/>
        <v>31534.347651429998</v>
      </c>
      <c r="H47" s="1616">
        <f t="shared" si="39"/>
        <v>16368.844699999996</v>
      </c>
      <c r="I47" s="1616">
        <f t="shared" si="39"/>
        <v>10727.673195999996</v>
      </c>
      <c r="J47" s="1616">
        <f t="shared" si="39"/>
        <v>0</v>
      </c>
      <c r="K47" s="1616">
        <f t="shared" si="39"/>
        <v>355.02499999999998</v>
      </c>
      <c r="L47" s="1616">
        <f t="shared" si="39"/>
        <v>88.588912000000008</v>
      </c>
      <c r="M47" s="1616">
        <f t="shared" si="39"/>
        <v>5999.8393087999993</v>
      </c>
      <c r="N47" s="1616">
        <f t="shared" si="39"/>
        <v>1802.0101491999997</v>
      </c>
      <c r="O47" s="1616">
        <f t="shared" si="39"/>
        <v>263.81</v>
      </c>
      <c r="P47" s="1616">
        <f t="shared" si="39"/>
        <v>0</v>
      </c>
      <c r="Q47" s="1616">
        <f t="shared" si="39"/>
        <v>0</v>
      </c>
      <c r="R47" s="1616">
        <f t="shared" si="39"/>
        <v>2071.9233260000001</v>
      </c>
      <c r="S47" s="1616">
        <f t="shared" si="39"/>
        <v>146.47650000000002</v>
      </c>
      <c r="T47" s="1616">
        <f t="shared" si="39"/>
        <v>4437.8297554300007</v>
      </c>
      <c r="U47" s="1616">
        <f t="shared" si="39"/>
        <v>34071.475382510005</v>
      </c>
      <c r="V47" s="1616">
        <f t="shared" si="39"/>
        <v>17658.3642</v>
      </c>
      <c r="W47" s="1616">
        <f t="shared" si="39"/>
        <v>11612.0512218</v>
      </c>
      <c r="X47" s="1616">
        <f t="shared" si="39"/>
        <v>0</v>
      </c>
      <c r="Y47" s="1616">
        <f t="shared" si="39"/>
        <v>378.62699999999995</v>
      </c>
      <c r="Z47" s="1616">
        <f t="shared" si="39"/>
        <v>81.363125999999994</v>
      </c>
      <c r="AA47" s="1616">
        <f t="shared" si="39"/>
        <v>6431.4821008000008</v>
      </c>
      <c r="AB47" s="1616">
        <f t="shared" si="39"/>
        <v>1957.1334349999997</v>
      </c>
      <c r="AC47" s="1616">
        <f t="shared" si="39"/>
        <v>292.20000000000005</v>
      </c>
      <c r="AD47" s="1616">
        <f t="shared" si="39"/>
        <v>0</v>
      </c>
      <c r="AE47" s="1616">
        <f t="shared" si="39"/>
        <v>0</v>
      </c>
      <c r="AF47" s="1616">
        <f t="shared" si="39"/>
        <v>2311.68806</v>
      </c>
      <c r="AG47" s="1616">
        <f t="shared" si="39"/>
        <v>159.5575</v>
      </c>
      <c r="AH47" s="1616">
        <f t="shared" si="39"/>
        <v>4801.0599607099994</v>
      </c>
      <c r="AI47" s="1616">
        <f t="shared" si="39"/>
        <v>2537.1277310800024</v>
      </c>
      <c r="AJ47" s="1616">
        <f t="shared" si="39"/>
        <v>30445.532772960032</v>
      </c>
      <c r="AK47" s="1448"/>
      <c r="AL47" s="1431">
        <f t="shared" si="37"/>
        <v>108.04560081319758</v>
      </c>
      <c r="AM47" s="1443"/>
      <c r="AN47" s="1443"/>
      <c r="AO47" s="1443"/>
      <c r="AP47" s="1443"/>
      <c r="AQ47" s="1443"/>
      <c r="AR47" s="1443"/>
      <c r="AS47" s="1443"/>
      <c r="AT47" s="1443"/>
      <c r="AU47" s="1443"/>
      <c r="AV47" s="1443"/>
      <c r="AW47" s="1443"/>
      <c r="AX47" s="1443"/>
      <c r="AY47" s="1443"/>
      <c r="AZ47" s="1443"/>
      <c r="BA47" s="1443"/>
      <c r="BB47" s="1443"/>
      <c r="BC47" s="1443"/>
      <c r="BD47" s="1443"/>
      <c r="BE47" s="1443"/>
      <c r="BF47" s="1443"/>
      <c r="BG47" s="1443"/>
      <c r="BH47" s="1443"/>
    </row>
    <row r="48" spans="1:60" s="1444" customFormat="1" ht="21" customHeight="1">
      <c r="A48" s="1375"/>
      <c r="B48" s="1449" t="s">
        <v>2490</v>
      </c>
      <c r="C48" s="560">
        <f>C49+C88</f>
        <v>2184</v>
      </c>
      <c r="D48" s="560">
        <f t="shared" ref="D48:AJ48" si="40">D49+D88</f>
        <v>2066</v>
      </c>
      <c r="E48" s="560">
        <f t="shared" si="40"/>
        <v>0</v>
      </c>
      <c r="F48" s="560">
        <f t="shared" si="40"/>
        <v>2062</v>
      </c>
      <c r="G48" s="1617">
        <f t="shared" si="40"/>
        <v>23490.368458929999</v>
      </c>
      <c r="H48" s="1617">
        <f t="shared" si="40"/>
        <v>11270.926199999996</v>
      </c>
      <c r="I48" s="1617">
        <f t="shared" si="40"/>
        <v>9095.8371959999968</v>
      </c>
      <c r="J48" s="1617">
        <f t="shared" si="40"/>
        <v>0</v>
      </c>
      <c r="K48" s="1617">
        <f t="shared" si="40"/>
        <v>198.35300000000001</v>
      </c>
      <c r="L48" s="1617">
        <f t="shared" si="40"/>
        <v>81.760912000000005</v>
      </c>
      <c r="M48" s="1617">
        <f t="shared" si="40"/>
        <v>4900.275308799999</v>
      </c>
      <c r="N48" s="1617">
        <f t="shared" si="40"/>
        <v>1791.4101491999998</v>
      </c>
      <c r="O48" s="1617">
        <f t="shared" si="40"/>
        <v>263.81</v>
      </c>
      <c r="P48" s="1617">
        <f t="shared" si="40"/>
        <v>0</v>
      </c>
      <c r="Q48" s="1617">
        <f t="shared" si="40"/>
        <v>0</v>
      </c>
      <c r="R48" s="1617">
        <f t="shared" si="40"/>
        <v>1740.8963260000003</v>
      </c>
      <c r="S48" s="1617">
        <f t="shared" si="40"/>
        <v>119.33150000000002</v>
      </c>
      <c r="T48" s="1617">
        <f t="shared" si="40"/>
        <v>3123.6050629300003</v>
      </c>
      <c r="U48" s="1617">
        <f t="shared" si="40"/>
        <v>25450.478765010001</v>
      </c>
      <c r="V48" s="1617">
        <f t="shared" si="40"/>
        <v>12194.949699999999</v>
      </c>
      <c r="W48" s="1617">
        <f t="shared" si="40"/>
        <v>9862.9182218000005</v>
      </c>
      <c r="X48" s="1617">
        <f t="shared" si="40"/>
        <v>0</v>
      </c>
      <c r="Y48" s="1617">
        <f t="shared" si="40"/>
        <v>210.83499999999998</v>
      </c>
      <c r="Z48" s="1617">
        <f t="shared" si="40"/>
        <v>74.049126000000001</v>
      </c>
      <c r="AA48" s="1617">
        <f t="shared" si="40"/>
        <v>5252.8131008000009</v>
      </c>
      <c r="AB48" s="1617">
        <f t="shared" si="40"/>
        <v>1945.7634349999998</v>
      </c>
      <c r="AC48" s="1617">
        <f t="shared" si="40"/>
        <v>292.20000000000005</v>
      </c>
      <c r="AD48" s="1617">
        <f t="shared" si="40"/>
        <v>0</v>
      </c>
      <c r="AE48" s="1617">
        <f t="shared" si="40"/>
        <v>0</v>
      </c>
      <c r="AF48" s="1617">
        <f t="shared" si="40"/>
        <v>1956.8080600000001</v>
      </c>
      <c r="AG48" s="1617">
        <f t="shared" si="40"/>
        <v>130.4495</v>
      </c>
      <c r="AH48" s="1617">
        <f t="shared" si="40"/>
        <v>3392.61084321</v>
      </c>
      <c r="AI48" s="1617">
        <f t="shared" si="40"/>
        <v>1960.1103060800021</v>
      </c>
      <c r="AJ48" s="1617">
        <f t="shared" si="40"/>
        <v>23521.323672960028</v>
      </c>
      <c r="AK48" s="1448"/>
      <c r="AL48" s="1431">
        <f t="shared" si="37"/>
        <v>108.34431486039486</v>
      </c>
    </row>
    <row r="49" spans="1:38" s="1444" customFormat="1" ht="21" hidden="1" customHeight="1">
      <c r="A49" s="1375">
        <v>1</v>
      </c>
      <c r="B49" s="764" t="s">
        <v>2551</v>
      </c>
      <c r="C49" s="560">
        <f>SUM(C50:C86)</f>
        <v>2066</v>
      </c>
      <c r="D49" s="560">
        <f>SUM(D50:D86)</f>
        <v>2066</v>
      </c>
      <c r="E49" s="560">
        <f>SUM(E50:E86)</f>
        <v>0</v>
      </c>
      <c r="F49" s="560">
        <f>SUM(F50:F86)</f>
        <v>1949</v>
      </c>
      <c r="G49" s="1617">
        <f>SUM(G50:G87)</f>
        <v>22709.60193945</v>
      </c>
      <c r="H49" s="1617">
        <f t="shared" ref="H49:AJ49" si="41">SUM(H50:H87)</f>
        <v>10815.617799999996</v>
      </c>
      <c r="I49" s="1617">
        <f t="shared" si="41"/>
        <v>8889.3551979999975</v>
      </c>
      <c r="J49" s="1617">
        <f t="shared" si="41"/>
        <v>0</v>
      </c>
      <c r="K49" s="1617">
        <f t="shared" si="41"/>
        <v>191.05550000000002</v>
      </c>
      <c r="L49" s="1617">
        <f t="shared" si="41"/>
        <v>80.376472000000007</v>
      </c>
      <c r="M49" s="1617">
        <f t="shared" si="41"/>
        <v>4746.4342787999994</v>
      </c>
      <c r="N49" s="1617">
        <f t="shared" si="41"/>
        <v>1791.4101491999998</v>
      </c>
      <c r="O49" s="1617">
        <f t="shared" si="41"/>
        <v>263.81</v>
      </c>
      <c r="P49" s="1617">
        <f t="shared" si="41"/>
        <v>0</v>
      </c>
      <c r="Q49" s="1617">
        <f t="shared" si="41"/>
        <v>0</v>
      </c>
      <c r="R49" s="1617">
        <f t="shared" si="41"/>
        <v>1698.6052980000002</v>
      </c>
      <c r="S49" s="1617">
        <f t="shared" si="41"/>
        <v>117.66350000000001</v>
      </c>
      <c r="T49" s="1617">
        <f t="shared" si="41"/>
        <v>3004.6289414500002</v>
      </c>
      <c r="U49" s="1617">
        <f t="shared" si="41"/>
        <v>24613.54199233</v>
      </c>
      <c r="V49" s="1617">
        <f t="shared" si="41"/>
        <v>11706.8853</v>
      </c>
      <c r="W49" s="1617">
        <f t="shared" si="41"/>
        <v>9641.5814038000008</v>
      </c>
      <c r="X49" s="1617">
        <f t="shared" si="41"/>
        <v>0</v>
      </c>
      <c r="Y49" s="1617">
        <f t="shared" si="41"/>
        <v>203.01249999999999</v>
      </c>
      <c r="Z49" s="1617">
        <f t="shared" si="41"/>
        <v>72.565086000000008</v>
      </c>
      <c r="AA49" s="1617">
        <f t="shared" si="41"/>
        <v>5087.9043708000008</v>
      </c>
      <c r="AB49" s="1617">
        <f t="shared" si="41"/>
        <v>1945.7634349999998</v>
      </c>
      <c r="AC49" s="1617">
        <f t="shared" si="41"/>
        <v>292.20000000000005</v>
      </c>
      <c r="AD49" s="1617">
        <f t="shared" si="41"/>
        <v>0</v>
      </c>
      <c r="AE49" s="1617">
        <f t="shared" si="41"/>
        <v>0</v>
      </c>
      <c r="AF49" s="1617">
        <f t="shared" si="41"/>
        <v>1911.474512</v>
      </c>
      <c r="AG49" s="1617">
        <f t="shared" si="41"/>
        <v>128.66149999999999</v>
      </c>
      <c r="AH49" s="1617">
        <f t="shared" si="41"/>
        <v>3265.0752885299999</v>
      </c>
      <c r="AI49" s="1617">
        <f t="shared" si="41"/>
        <v>1903.940052880002</v>
      </c>
      <c r="AJ49" s="1617">
        <f t="shared" si="41"/>
        <v>22847.280634560026</v>
      </c>
      <c r="AK49" s="1448">
        <f t="shared" ref="AK49:AK110" si="42">AI49/F49</f>
        <v>0.97688047864546024</v>
      </c>
      <c r="AL49" s="1431">
        <f t="shared" si="37"/>
        <v>108.38385480272363</v>
      </c>
    </row>
    <row r="50" spans="1:38" s="1444" customFormat="1" ht="21" hidden="1" customHeight="1">
      <c r="A50" s="1375"/>
      <c r="B50" s="1450" t="s">
        <v>2552</v>
      </c>
      <c r="C50" s="1365">
        <f>D50+E50</f>
        <v>2066</v>
      </c>
      <c r="D50" s="1365">
        <v>2066</v>
      </c>
      <c r="E50" s="1451"/>
      <c r="F50" s="1452">
        <v>32</v>
      </c>
      <c r="G50" s="1367">
        <f t="shared" ref="G50:G88" si="43">H50+I50+T50</f>
        <v>299.63550290000001</v>
      </c>
      <c r="H50" s="1618">
        <f>122.39*1.39</f>
        <v>170.12209999999999</v>
      </c>
      <c r="I50" s="1367">
        <f t="shared" ref="I50:I88" si="44">SUM(J50:S50)</f>
        <v>82.793959999999998</v>
      </c>
      <c r="J50" s="1617"/>
      <c r="K50" s="1618">
        <f>2.55*1.39</f>
        <v>3.5444999999999993</v>
      </c>
      <c r="L50" s="1618">
        <v>0</v>
      </c>
      <c r="M50" s="1618">
        <f>129.76*1.39*30/100</f>
        <v>54.109919999999995</v>
      </c>
      <c r="N50" s="1619"/>
      <c r="O50" s="1619"/>
      <c r="P50" s="1617"/>
      <c r="Q50" s="1617"/>
      <c r="R50" s="1618">
        <f>18.086*1.39</f>
        <v>25.139539999999997</v>
      </c>
      <c r="S50" s="1618">
        <v>0</v>
      </c>
      <c r="T50" s="1554">
        <f t="shared" ref="T50:T86" si="45">(H50+K50+L50+R50)*23.5%</f>
        <v>46.71944289999999</v>
      </c>
      <c r="U50" s="1620">
        <f t="shared" ref="U50:U88" si="46">V50+W50+AH50</f>
        <v>338.85009329999997</v>
      </c>
      <c r="V50" s="1617">
        <v>193.50630000000001</v>
      </c>
      <c r="W50" s="1617">
        <f t="shared" ref="W50:W88" si="47">SUM(X50:AG50)</f>
        <v>91.903199999999998</v>
      </c>
      <c r="X50" s="1617"/>
      <c r="Y50" s="1617">
        <v>3.7994999999999997</v>
      </c>
      <c r="Z50" s="1617">
        <v>0</v>
      </c>
      <c r="AA50" s="1617">
        <v>58.002719999999997</v>
      </c>
      <c r="AB50" s="1617"/>
      <c r="AC50" s="1617"/>
      <c r="AD50" s="1617"/>
      <c r="AE50" s="1617"/>
      <c r="AF50" s="1617">
        <v>30.100980000000003</v>
      </c>
      <c r="AG50" s="1617">
        <v>0</v>
      </c>
      <c r="AH50" s="1554">
        <f t="shared" ref="AH50:AH86" si="48">(V50+Y50+Z50+AF50)*23.5%</f>
        <v>53.440593299999996</v>
      </c>
      <c r="AI50" s="1621">
        <f t="shared" ref="AI50:AI88" si="49">U50-G50</f>
        <v>39.214590399999963</v>
      </c>
      <c r="AJ50" s="1622">
        <f t="shared" ref="AJ50:AJ73" si="50">AI50*12</f>
        <v>470.57508479999956</v>
      </c>
      <c r="AK50" s="1448">
        <f t="shared" si="42"/>
        <v>1.2254559499999989</v>
      </c>
      <c r="AL50" s="1431">
        <f t="shared" si="37"/>
        <v>113.08743123577294</v>
      </c>
    </row>
    <row r="51" spans="1:38" s="1444" customFormat="1" ht="21" hidden="1" customHeight="1">
      <c r="A51" s="1375"/>
      <c r="B51" s="1450" t="s">
        <v>2553</v>
      </c>
      <c r="C51" s="1365"/>
      <c r="D51" s="1365"/>
      <c r="E51" s="1451"/>
      <c r="F51" s="1452">
        <v>44</v>
      </c>
      <c r="G51" s="1367">
        <f t="shared" si="43"/>
        <v>722.68718898999998</v>
      </c>
      <c r="H51" s="1618">
        <f>167.12*1.39</f>
        <v>232.29679999999999</v>
      </c>
      <c r="I51" s="1367">
        <f t="shared" si="44"/>
        <v>426.76791919999999</v>
      </c>
      <c r="J51" s="1617"/>
      <c r="K51" s="1618">
        <f>3.05*1.39</f>
        <v>4.2394999999999996</v>
      </c>
      <c r="L51" s="1618">
        <f>0.8964*1.39</f>
        <v>1.2459959999999999</v>
      </c>
      <c r="M51" s="1618">
        <f>172.826*1.39*70/100</f>
        <v>168.15969799999999</v>
      </c>
      <c r="N51" s="1619">
        <f>(H51+K51+L51)*70/100</f>
        <v>166.44760719999999</v>
      </c>
      <c r="O51" s="1619">
        <v>52.82</v>
      </c>
      <c r="P51" s="1617"/>
      <c r="Q51" s="1617"/>
      <c r="R51" s="1618">
        <f>23.7062*1.39</f>
        <v>32.951617999999996</v>
      </c>
      <c r="S51" s="1618">
        <f>0.65*1.39</f>
        <v>0.90349999999999997</v>
      </c>
      <c r="T51" s="1554">
        <f t="shared" si="45"/>
        <v>63.62246978999999</v>
      </c>
      <c r="U51" s="1620">
        <f t="shared" si="46"/>
        <v>735.76382897499991</v>
      </c>
      <c r="V51" s="1617">
        <v>254.84959999999998</v>
      </c>
      <c r="W51" s="1617">
        <f t="shared" si="47"/>
        <v>410.293701</v>
      </c>
      <c r="X51" s="1617"/>
      <c r="Y51" s="1617">
        <v>5.1405000000000003</v>
      </c>
      <c r="Z51" s="1617">
        <v>1.48404</v>
      </c>
      <c r="AA51" s="1617">
        <v>180.25751799999998</v>
      </c>
      <c r="AB51" s="1617">
        <v>183.03189800000001</v>
      </c>
      <c r="AC51" s="1617"/>
      <c r="AD51" s="1617"/>
      <c r="AE51" s="1617"/>
      <c r="AF51" s="1617">
        <v>39.038745000000006</v>
      </c>
      <c r="AG51" s="1617">
        <v>1.341</v>
      </c>
      <c r="AH51" s="1554">
        <f t="shared" si="48"/>
        <v>70.620527974999987</v>
      </c>
      <c r="AI51" s="1621">
        <f t="shared" si="49"/>
        <v>13.076639984999929</v>
      </c>
      <c r="AJ51" s="1622">
        <f t="shared" si="50"/>
        <v>156.91967981999915</v>
      </c>
      <c r="AK51" s="1448">
        <f t="shared" si="42"/>
        <v>0.2971963632954529</v>
      </c>
      <c r="AL51" s="1431">
        <f t="shared" si="37"/>
        <v>101.80944676814809</v>
      </c>
    </row>
    <row r="52" spans="1:38" s="1444" customFormat="1" ht="21" hidden="1" customHeight="1">
      <c r="A52" s="1375"/>
      <c r="B52" s="1453" t="s">
        <v>2554</v>
      </c>
      <c r="C52" s="1365"/>
      <c r="D52" s="1365"/>
      <c r="E52" s="1451"/>
      <c r="F52" s="1452">
        <v>78</v>
      </c>
      <c r="G52" s="1367">
        <f t="shared" si="43"/>
        <v>1302.4015784999999</v>
      </c>
      <c r="H52" s="1618">
        <f>323.93*1.39</f>
        <v>450.2627</v>
      </c>
      <c r="I52" s="1367">
        <f t="shared" si="44"/>
        <v>725.33008199999995</v>
      </c>
      <c r="J52" s="1617"/>
      <c r="K52" s="1618">
        <f>4.85*1.39</f>
        <v>6.7414999999999994</v>
      </c>
      <c r="L52" s="1618">
        <f>4.581*1.39</f>
        <v>6.3675899999999999</v>
      </c>
      <c r="M52" s="1618">
        <f>318.273*1.39*70/100</f>
        <v>309.67962900000003</v>
      </c>
      <c r="N52" s="1619">
        <f>(H52+K52+L52)*70/100</f>
        <v>324.360253</v>
      </c>
      <c r="O52" s="1619">
        <v>0.69</v>
      </c>
      <c r="P52" s="1617"/>
      <c r="Q52" s="1617"/>
      <c r="R52" s="1618">
        <f>54.849*1.39</f>
        <v>76.240109999999987</v>
      </c>
      <c r="S52" s="1618">
        <f t="shared" ref="S52" si="51">0.9*1.39</f>
        <v>1.2509999999999999</v>
      </c>
      <c r="T52" s="1554">
        <f t="shared" si="45"/>
        <v>126.80879649999999</v>
      </c>
      <c r="U52" s="1620">
        <f t="shared" si="46"/>
        <v>1405.8204172000001</v>
      </c>
      <c r="V52" s="1617">
        <v>483.92219999999998</v>
      </c>
      <c r="W52" s="1617">
        <f t="shared" si="47"/>
        <v>784.30747500000007</v>
      </c>
      <c r="X52" s="1617"/>
      <c r="Y52" s="1617">
        <v>7.45</v>
      </c>
      <c r="Z52" s="1617">
        <v>6.7526799999999998</v>
      </c>
      <c r="AA52" s="1617">
        <v>331.95873900000004</v>
      </c>
      <c r="AB52" s="1617">
        <v>348.68741599999993</v>
      </c>
      <c r="AC52" s="1617">
        <v>0.75</v>
      </c>
      <c r="AD52" s="1617"/>
      <c r="AE52" s="1617"/>
      <c r="AF52" s="1617">
        <v>87.367640000000009</v>
      </c>
      <c r="AG52" s="1617">
        <v>1.341</v>
      </c>
      <c r="AH52" s="1554">
        <f t="shared" si="48"/>
        <v>137.59074219999999</v>
      </c>
      <c r="AI52" s="1621">
        <f t="shared" si="49"/>
        <v>103.41883870000015</v>
      </c>
      <c r="AJ52" s="1622">
        <f t="shared" si="50"/>
        <v>1241.0260644000018</v>
      </c>
      <c r="AK52" s="1448">
        <f t="shared" si="42"/>
        <v>1.3258825474358993</v>
      </c>
      <c r="AL52" s="1431">
        <f t="shared" si="37"/>
        <v>107.94062602558495</v>
      </c>
    </row>
    <row r="53" spans="1:38" s="1444" customFormat="1" ht="21" hidden="1" customHeight="1">
      <c r="A53" s="1375"/>
      <c r="B53" s="1453" t="s">
        <v>2555</v>
      </c>
      <c r="C53" s="1365"/>
      <c r="D53" s="1365"/>
      <c r="E53" s="1451"/>
      <c r="F53" s="1452">
        <v>64</v>
      </c>
      <c r="G53" s="1367">
        <f t="shared" si="43"/>
        <v>650.16554999999994</v>
      </c>
      <c r="H53" s="1618">
        <f>260.32*1.39</f>
        <v>361.84479999999996</v>
      </c>
      <c r="I53" s="1367">
        <f t="shared" si="44"/>
        <v>185.85717799999998</v>
      </c>
      <c r="J53" s="1617"/>
      <c r="K53" s="1618">
        <f>4.1*1.39</f>
        <v>5.698999999999999</v>
      </c>
      <c r="L53" s="1618">
        <f>3.138*1.39</f>
        <v>4.3618199999999998</v>
      </c>
      <c r="M53" s="1618">
        <f>267.834*1.39*30/100</f>
        <v>111.68677799999999</v>
      </c>
      <c r="N53" s="1619"/>
      <c r="O53" s="1619"/>
      <c r="P53" s="1617"/>
      <c r="Q53" s="1617"/>
      <c r="R53" s="1618">
        <f>46.122*1.39</f>
        <v>64.109579999999994</v>
      </c>
      <c r="S53" s="1618">
        <v>0</v>
      </c>
      <c r="T53" s="1554">
        <f t="shared" si="45"/>
        <v>102.463572</v>
      </c>
      <c r="U53" s="1620">
        <f t="shared" si="46"/>
        <v>716.75110489999997</v>
      </c>
      <c r="V53" s="1617">
        <v>397.56180000000001</v>
      </c>
      <c r="W53" s="1617">
        <f t="shared" si="47"/>
        <v>205.58453799999998</v>
      </c>
      <c r="X53" s="1617"/>
      <c r="Y53" s="1617">
        <v>6.1089999999999991</v>
      </c>
      <c r="Z53" s="1617">
        <v>5.4355200000000004</v>
      </c>
      <c r="AA53" s="1617">
        <v>119.72179799999999</v>
      </c>
      <c r="AB53" s="1617"/>
      <c r="AC53" s="1617"/>
      <c r="AD53" s="1617"/>
      <c r="AE53" s="1617"/>
      <c r="AF53" s="1617">
        <v>74.318219999999997</v>
      </c>
      <c r="AG53" s="1617">
        <v>0</v>
      </c>
      <c r="AH53" s="1554">
        <f t="shared" si="48"/>
        <v>113.60476689999999</v>
      </c>
      <c r="AI53" s="1622">
        <f t="shared" si="49"/>
        <v>66.585554900000034</v>
      </c>
      <c r="AJ53" s="1622">
        <f t="shared" si="50"/>
        <v>799.0266588000004</v>
      </c>
      <c r="AK53" s="1448">
        <f t="shared" si="42"/>
        <v>1.0403992953125005</v>
      </c>
      <c r="AL53" s="1431">
        <f t="shared" si="37"/>
        <v>110.24132313685338</v>
      </c>
    </row>
    <row r="54" spans="1:38" s="1444" customFormat="1" ht="21" hidden="1" customHeight="1">
      <c r="A54" s="1375"/>
      <c r="B54" s="1453" t="s">
        <v>2556</v>
      </c>
      <c r="C54" s="1365"/>
      <c r="D54" s="1365"/>
      <c r="E54" s="1451"/>
      <c r="F54" s="1452">
        <v>51</v>
      </c>
      <c r="G54" s="1367">
        <f t="shared" si="43"/>
        <v>482.95878040000002</v>
      </c>
      <c r="H54" s="1618">
        <f>195.9*1.39</f>
        <v>272.30099999999999</v>
      </c>
      <c r="I54" s="1367">
        <f t="shared" si="44"/>
        <v>135.006947</v>
      </c>
      <c r="J54" s="1617"/>
      <c r="K54" s="1618">
        <f>3.65*1.39</f>
        <v>5.0734999999999992</v>
      </c>
      <c r="L54" s="1618">
        <f>2.041*1.39</f>
        <v>2.8369899999999997</v>
      </c>
      <c r="M54" s="1618">
        <f>201.771*1.39*30/100</f>
        <v>84.13850699999999</v>
      </c>
      <c r="N54" s="1619"/>
      <c r="O54" s="1619"/>
      <c r="P54" s="1617"/>
      <c r="Q54" s="1617"/>
      <c r="R54" s="1618">
        <f>30.005*1.39</f>
        <v>41.706949999999999</v>
      </c>
      <c r="S54" s="1618">
        <f t="shared" ref="S54:S55" si="52">0.9*1.39</f>
        <v>1.2509999999999999</v>
      </c>
      <c r="T54" s="1554">
        <f t="shared" si="45"/>
        <v>75.650833399999996</v>
      </c>
      <c r="U54" s="1620">
        <f t="shared" si="46"/>
        <v>535.85525600000005</v>
      </c>
      <c r="V54" s="1617">
        <v>302.72329999999999</v>
      </c>
      <c r="W54" s="1617">
        <f t="shared" si="47"/>
        <v>148.58473699999999</v>
      </c>
      <c r="X54" s="1617"/>
      <c r="Y54" s="1617">
        <v>5.4384999999999994</v>
      </c>
      <c r="Z54" s="1617">
        <v>3.2645899999999997</v>
      </c>
      <c r="AA54" s="1617">
        <v>90.191636999999986</v>
      </c>
      <c r="AB54" s="1617"/>
      <c r="AC54" s="1617"/>
      <c r="AD54" s="1617"/>
      <c r="AE54" s="1617"/>
      <c r="AF54" s="1617">
        <v>48.34901</v>
      </c>
      <c r="AG54" s="1617">
        <v>1.341</v>
      </c>
      <c r="AH54" s="1554">
        <f t="shared" si="48"/>
        <v>84.547218999999998</v>
      </c>
      <c r="AI54" s="1621">
        <f t="shared" si="49"/>
        <v>52.896475600000031</v>
      </c>
      <c r="AJ54" s="1622">
        <f t="shared" si="50"/>
        <v>634.75770720000037</v>
      </c>
      <c r="AK54" s="1448">
        <f t="shared" si="42"/>
        <v>1.0371857960784319</v>
      </c>
      <c r="AL54" s="1431">
        <f t="shared" si="37"/>
        <v>110.95258596524317</v>
      </c>
    </row>
    <row r="55" spans="1:38" s="1444" customFormat="1" ht="21" hidden="1" customHeight="1">
      <c r="A55" s="1375"/>
      <c r="B55" s="1453" t="s">
        <v>2557</v>
      </c>
      <c r="C55" s="1365"/>
      <c r="D55" s="1365"/>
      <c r="E55" s="1451"/>
      <c r="F55" s="1452">
        <v>67</v>
      </c>
      <c r="G55" s="1367">
        <f t="shared" si="43"/>
        <v>762.09551544999999</v>
      </c>
      <c r="H55" s="1618">
        <f>308.57*1.39</f>
        <v>428.91229999999996</v>
      </c>
      <c r="I55" s="1367">
        <f t="shared" si="44"/>
        <v>211.39731600000002</v>
      </c>
      <c r="J55" s="1617"/>
      <c r="K55" s="1618">
        <f>4.55*1.39</f>
        <v>6.3244999999999996</v>
      </c>
      <c r="L55" s="1618">
        <f>3.91*1.39</f>
        <v>5.4348999999999998</v>
      </c>
      <c r="M55" s="1618">
        <f>289.738*1.39*30/100</f>
        <v>120.820746</v>
      </c>
      <c r="N55" s="1619"/>
      <c r="O55" s="1619"/>
      <c r="P55" s="1617"/>
      <c r="Q55" s="1617"/>
      <c r="R55" s="1618">
        <f>55.803*1.39</f>
        <v>77.566169999999985</v>
      </c>
      <c r="S55" s="1618">
        <f t="shared" si="52"/>
        <v>1.2509999999999999</v>
      </c>
      <c r="T55" s="1554">
        <f t="shared" si="45"/>
        <v>121.78589944999997</v>
      </c>
      <c r="U55" s="1620">
        <f t="shared" si="46"/>
        <v>766.91645469999992</v>
      </c>
      <c r="V55" s="1617">
        <v>424.21789999999999</v>
      </c>
      <c r="W55" s="1617">
        <f t="shared" si="47"/>
        <v>221.66640599999999</v>
      </c>
      <c r="X55" s="1617"/>
      <c r="Y55" s="1617">
        <v>6.7794999999999996</v>
      </c>
      <c r="Z55" s="1617">
        <v>4.6756199999999994</v>
      </c>
      <c r="AA55" s="1617">
        <v>129.51288600000001</v>
      </c>
      <c r="AB55" s="1617"/>
      <c r="AC55" s="1617"/>
      <c r="AD55" s="1617"/>
      <c r="AE55" s="1617"/>
      <c r="AF55" s="1617">
        <v>79.357399999999998</v>
      </c>
      <c r="AG55" s="1617">
        <v>1.341</v>
      </c>
      <c r="AH55" s="1554">
        <f t="shared" si="48"/>
        <v>121.03214869999998</v>
      </c>
      <c r="AI55" s="1621">
        <f t="shared" si="49"/>
        <v>4.820939249999924</v>
      </c>
      <c r="AJ55" s="1622">
        <f t="shared" si="50"/>
        <v>57.851270999999088</v>
      </c>
      <c r="AK55" s="1448">
        <f t="shared" si="42"/>
        <v>7.1954317164177967E-2</v>
      </c>
      <c r="AL55" s="1431">
        <f t="shared" si="37"/>
        <v>100.63258989880728</v>
      </c>
    </row>
    <row r="56" spans="1:38" s="1444" customFormat="1" ht="21" hidden="1" customHeight="1">
      <c r="A56" s="1375"/>
      <c r="B56" s="1453" t="s">
        <v>2558</v>
      </c>
      <c r="C56" s="1365"/>
      <c r="D56" s="1365"/>
      <c r="E56" s="1451"/>
      <c r="F56" s="1452">
        <v>36</v>
      </c>
      <c r="G56" s="1367">
        <f t="shared" si="43"/>
        <v>315.55492965000002</v>
      </c>
      <c r="H56" s="1618">
        <f>131.85*1.39</f>
        <v>183.27149999999997</v>
      </c>
      <c r="I56" s="1367">
        <f t="shared" si="44"/>
        <v>82.887090000000001</v>
      </c>
      <c r="J56" s="1617"/>
      <c r="K56" s="1618">
        <f>2.8*1.39</f>
        <v>3.8919999999999995</v>
      </c>
      <c r="L56" s="1618">
        <v>0</v>
      </c>
      <c r="M56" s="1618">
        <f>134.2*1.39*30/100</f>
        <v>55.961399999999998</v>
      </c>
      <c r="N56" s="1619"/>
      <c r="O56" s="1619"/>
      <c r="P56" s="1617"/>
      <c r="Q56" s="1617"/>
      <c r="R56" s="1618">
        <f>16.571*1.39</f>
        <v>23.03369</v>
      </c>
      <c r="S56" s="1618">
        <v>0</v>
      </c>
      <c r="T56" s="1554">
        <f t="shared" si="45"/>
        <v>49.396339649999994</v>
      </c>
      <c r="U56" s="1620">
        <f t="shared" si="46"/>
        <v>351.49613304999997</v>
      </c>
      <c r="V56" s="1617">
        <v>203.9512</v>
      </c>
      <c r="W56" s="1617">
        <f t="shared" si="47"/>
        <v>92.330829999999978</v>
      </c>
      <c r="X56" s="1617"/>
      <c r="Y56" s="1617">
        <v>3.5760000000000001</v>
      </c>
      <c r="Z56" s="1617">
        <v>0</v>
      </c>
      <c r="AA56" s="1617">
        <v>59.987399999999987</v>
      </c>
      <c r="AB56" s="1617"/>
      <c r="AC56" s="1617"/>
      <c r="AD56" s="1617"/>
      <c r="AE56" s="1617"/>
      <c r="AF56" s="1617">
        <v>27.42643</v>
      </c>
      <c r="AG56" s="1617">
        <v>1.341</v>
      </c>
      <c r="AH56" s="1554">
        <f t="shared" si="48"/>
        <v>55.214103049999999</v>
      </c>
      <c r="AI56" s="1621">
        <f t="shared" si="49"/>
        <v>35.941203399999949</v>
      </c>
      <c r="AJ56" s="1622">
        <f t="shared" si="50"/>
        <v>431.29444079999939</v>
      </c>
      <c r="AK56" s="1448">
        <f t="shared" si="42"/>
        <v>0.99836676111110967</v>
      </c>
      <c r="AL56" s="1431">
        <f t="shared" si="37"/>
        <v>111.3898405706621</v>
      </c>
    </row>
    <row r="57" spans="1:38" s="1444" customFormat="1" ht="21" hidden="1" customHeight="1">
      <c r="A57" s="1375"/>
      <c r="B57" s="1453" t="s">
        <v>2559</v>
      </c>
      <c r="C57" s="1365"/>
      <c r="D57" s="1365"/>
      <c r="E57" s="1451"/>
      <c r="F57" s="1452">
        <v>46</v>
      </c>
      <c r="G57" s="1367">
        <f t="shared" si="43"/>
        <v>432.95065309999995</v>
      </c>
      <c r="H57" s="1618">
        <f>176.07*1.39</f>
        <v>244.73729999999998</v>
      </c>
      <c r="I57" s="1367">
        <f t="shared" si="44"/>
        <v>120.5269</v>
      </c>
      <c r="J57" s="1617"/>
      <c r="K57" s="1618">
        <f>3.7*1.39</f>
        <v>5.1429999999999998</v>
      </c>
      <c r="L57" s="1618">
        <f>0.598*1.39</f>
        <v>0.83121999999999996</v>
      </c>
      <c r="M57" s="1618">
        <f>182.22*1.39*30/100</f>
        <v>75.985739999999993</v>
      </c>
      <c r="N57" s="1619"/>
      <c r="O57" s="1619"/>
      <c r="P57" s="1617"/>
      <c r="Q57" s="1617"/>
      <c r="R57" s="1618">
        <f>26.846*1.39</f>
        <v>37.315939999999998</v>
      </c>
      <c r="S57" s="1618">
        <f t="shared" ref="S57:S58" si="53">0.9*1.39</f>
        <v>1.2509999999999999</v>
      </c>
      <c r="T57" s="1554">
        <f t="shared" si="45"/>
        <v>67.686453099999994</v>
      </c>
      <c r="U57" s="1620">
        <f t="shared" si="46"/>
        <v>477.35462269999999</v>
      </c>
      <c r="V57" s="1617">
        <v>270.04759999999999</v>
      </c>
      <c r="W57" s="1617">
        <f t="shared" si="47"/>
        <v>132.22856000000002</v>
      </c>
      <c r="X57" s="1617"/>
      <c r="Y57" s="1617">
        <v>5.5129999999999999</v>
      </c>
      <c r="Z57" s="1617">
        <v>0</v>
      </c>
      <c r="AA57" s="1617">
        <v>81.452339999999992</v>
      </c>
      <c r="AB57" s="1617"/>
      <c r="AC57" s="1617"/>
      <c r="AD57" s="1617"/>
      <c r="AE57" s="1617"/>
      <c r="AF57" s="1617">
        <v>43.922220000000003</v>
      </c>
      <c r="AG57" s="1617">
        <v>1.341</v>
      </c>
      <c r="AH57" s="1554">
        <f t="shared" si="48"/>
        <v>75.078462699999989</v>
      </c>
      <c r="AI57" s="1621">
        <f t="shared" si="49"/>
        <v>44.403969600000039</v>
      </c>
      <c r="AJ57" s="1622">
        <f t="shared" si="50"/>
        <v>532.84763520000047</v>
      </c>
      <c r="AK57" s="1448">
        <f t="shared" si="42"/>
        <v>0.96530368695652258</v>
      </c>
      <c r="AL57" s="1431">
        <f t="shared" si="37"/>
        <v>110.25612717801904</v>
      </c>
    </row>
    <row r="58" spans="1:38" s="1444" customFormat="1" ht="21" hidden="1" customHeight="1">
      <c r="A58" s="1375"/>
      <c r="B58" s="1453" t="s">
        <v>2560</v>
      </c>
      <c r="C58" s="1365"/>
      <c r="D58" s="1365"/>
      <c r="E58" s="1451"/>
      <c r="F58" s="1452">
        <v>27</v>
      </c>
      <c r="G58" s="1367">
        <f t="shared" si="43"/>
        <v>383.96156260000004</v>
      </c>
      <c r="H58" s="1618">
        <f>98.16*1.39</f>
        <v>136.44239999999999</v>
      </c>
      <c r="I58" s="1367">
        <f t="shared" si="44"/>
        <v>210.44308100000001</v>
      </c>
      <c r="J58" s="1617"/>
      <c r="K58" s="1618">
        <f>1.65*1.39</f>
        <v>2.2934999999999999</v>
      </c>
      <c r="L58" s="1618">
        <f>0.349*1.39</f>
        <v>0.48510999999999993</v>
      </c>
      <c r="M58" s="1618">
        <f>92.918*1.39*70/100</f>
        <v>90.409214000000006</v>
      </c>
      <c r="N58" s="1619">
        <f>(H58+K58+L58)*70/100</f>
        <v>97.454706999999985</v>
      </c>
      <c r="O58" s="1619"/>
      <c r="P58" s="1617"/>
      <c r="Q58" s="1617"/>
      <c r="R58" s="1618">
        <f>13.345*1.39</f>
        <v>18.54955</v>
      </c>
      <c r="S58" s="1618">
        <f t="shared" si="53"/>
        <v>1.2509999999999999</v>
      </c>
      <c r="T58" s="1554">
        <f t="shared" si="45"/>
        <v>37.076081599999995</v>
      </c>
      <c r="U58" s="1620">
        <f t="shared" si="46"/>
        <v>460.06342227499999</v>
      </c>
      <c r="V58" s="1617">
        <v>152.48660000000001</v>
      </c>
      <c r="W58" s="1617">
        <f t="shared" si="47"/>
        <v>265.96902299999999</v>
      </c>
      <c r="X58" s="1617"/>
      <c r="Y58" s="1617">
        <v>2.4584999999999999</v>
      </c>
      <c r="Z58" s="1617">
        <v>0.59301999999999999</v>
      </c>
      <c r="AA58" s="1617">
        <v>96.913474000000008</v>
      </c>
      <c r="AB58" s="1617">
        <v>108.87668399999998</v>
      </c>
      <c r="AC58" s="1617">
        <v>34.270000000000003</v>
      </c>
      <c r="AD58" s="1617"/>
      <c r="AE58" s="1617"/>
      <c r="AF58" s="1617">
        <v>21.516345000000001</v>
      </c>
      <c r="AG58" s="1617">
        <v>1.341</v>
      </c>
      <c r="AH58" s="1554">
        <f t="shared" si="48"/>
        <v>41.607799274999998</v>
      </c>
      <c r="AI58" s="1621">
        <f t="shared" si="49"/>
        <v>76.101859674999957</v>
      </c>
      <c r="AJ58" s="1622">
        <f t="shared" si="50"/>
        <v>913.22231609999949</v>
      </c>
      <c r="AK58" s="1448">
        <f t="shared" si="42"/>
        <v>2.8185873953703688</v>
      </c>
      <c r="AL58" s="1431">
        <f t="shared" si="37"/>
        <v>119.8201765717577</v>
      </c>
    </row>
    <row r="59" spans="1:38" s="1444" customFormat="1" ht="21" hidden="1" customHeight="1">
      <c r="A59" s="1375"/>
      <c r="B59" s="1453" t="s">
        <v>2561</v>
      </c>
      <c r="C59" s="1365"/>
      <c r="D59" s="1365"/>
      <c r="E59" s="1451"/>
      <c r="F59" s="1452">
        <v>48</v>
      </c>
      <c r="G59" s="1367">
        <f t="shared" si="43"/>
        <v>458.42929749999996</v>
      </c>
      <c r="H59" s="1618">
        <f>188.27*1.39</f>
        <v>261.69529999999997</v>
      </c>
      <c r="I59" s="1367">
        <f t="shared" si="44"/>
        <v>124.49534999999999</v>
      </c>
      <c r="J59" s="1617"/>
      <c r="K59" s="1618">
        <f>3.85*1.39</f>
        <v>5.3514999999999997</v>
      </c>
      <c r="L59" s="1618">
        <f>0.797*1.39</f>
        <v>1.1078299999999999</v>
      </c>
      <c r="M59" s="1618">
        <f>185.95*1.39*30/100</f>
        <v>77.541149999999988</v>
      </c>
      <c r="N59" s="1619"/>
      <c r="O59" s="1619"/>
      <c r="P59" s="1617"/>
      <c r="Q59" s="1617"/>
      <c r="R59" s="1618">
        <f>28.233*1.39</f>
        <v>39.243870000000001</v>
      </c>
      <c r="S59" s="1618">
        <f>0.9*1.39</f>
        <v>1.2509999999999999</v>
      </c>
      <c r="T59" s="1554">
        <f t="shared" si="45"/>
        <v>72.238647499999985</v>
      </c>
      <c r="U59" s="1620">
        <f t="shared" si="46"/>
        <v>489.44638244999999</v>
      </c>
      <c r="V59" s="1617">
        <v>280.17959999999999</v>
      </c>
      <c r="W59" s="1617">
        <f t="shared" si="47"/>
        <v>132.20472000000001</v>
      </c>
      <c r="X59" s="1617"/>
      <c r="Y59" s="1617">
        <v>5.0659999999999998</v>
      </c>
      <c r="Z59" s="1617">
        <v>0</v>
      </c>
      <c r="AA59" s="1617">
        <v>83.119650000000007</v>
      </c>
      <c r="AB59" s="1617"/>
      <c r="AC59" s="1617"/>
      <c r="AD59" s="1617"/>
      <c r="AE59" s="1617"/>
      <c r="AF59" s="1617">
        <v>42.678069999999998</v>
      </c>
      <c r="AG59" s="1617">
        <v>1.341</v>
      </c>
      <c r="AH59" s="1554">
        <f t="shared" si="48"/>
        <v>77.062062449999985</v>
      </c>
      <c r="AI59" s="1621">
        <f t="shared" si="49"/>
        <v>31.017084950000026</v>
      </c>
      <c r="AJ59" s="1622">
        <f t="shared" si="50"/>
        <v>372.20501940000031</v>
      </c>
      <c r="AK59" s="1448">
        <f t="shared" si="42"/>
        <v>0.64618926979166724</v>
      </c>
      <c r="AL59" s="1431">
        <f t="shared" si="37"/>
        <v>106.7659473596362</v>
      </c>
    </row>
    <row r="60" spans="1:38" s="1444" customFormat="1" ht="21" hidden="1" customHeight="1">
      <c r="A60" s="1375"/>
      <c r="B60" s="1453" t="s">
        <v>2562</v>
      </c>
      <c r="C60" s="1365"/>
      <c r="D60" s="1365"/>
      <c r="E60" s="1451"/>
      <c r="F60" s="1452">
        <v>37</v>
      </c>
      <c r="G60" s="1367">
        <f t="shared" si="43"/>
        <v>324.26403024999996</v>
      </c>
      <c r="H60" s="1618">
        <f>136.66*1.39</f>
        <v>189.95739999999998</v>
      </c>
      <c r="I60" s="1367">
        <f t="shared" si="44"/>
        <v>83.680779999999999</v>
      </c>
      <c r="J60" s="1617"/>
      <c r="K60" s="1618">
        <f>2.65*1.39</f>
        <v>3.6834999999999996</v>
      </c>
      <c r="L60" s="1618">
        <v>0</v>
      </c>
      <c r="M60" s="1618">
        <f>139.59*1.39*30/100</f>
        <v>58.209030000000006</v>
      </c>
      <c r="N60" s="1619"/>
      <c r="O60" s="1619"/>
      <c r="P60" s="1617"/>
      <c r="Q60" s="1617"/>
      <c r="R60" s="1618">
        <f>15.675*1.39</f>
        <v>21.788249999999998</v>
      </c>
      <c r="S60" s="1618">
        <v>0</v>
      </c>
      <c r="T60" s="1554">
        <f t="shared" si="45"/>
        <v>50.625850249999992</v>
      </c>
      <c r="U60" s="1620">
        <f t="shared" si="46"/>
        <v>356.81888985000001</v>
      </c>
      <c r="V60" s="1617">
        <v>208.4659</v>
      </c>
      <c r="W60" s="1617">
        <f t="shared" si="47"/>
        <v>92.329340000000002</v>
      </c>
      <c r="X60" s="1617"/>
      <c r="Y60" s="1617">
        <v>3.5760000000000001</v>
      </c>
      <c r="Z60" s="1617">
        <v>0</v>
      </c>
      <c r="AA60" s="1617">
        <v>62.396730000000005</v>
      </c>
      <c r="AB60" s="1617"/>
      <c r="AC60" s="1617"/>
      <c r="AD60" s="1617"/>
      <c r="AE60" s="1617"/>
      <c r="AF60" s="1617">
        <v>26.35661</v>
      </c>
      <c r="AG60" s="1617">
        <v>0</v>
      </c>
      <c r="AH60" s="1554">
        <f t="shared" si="48"/>
        <v>56.023649849999991</v>
      </c>
      <c r="AI60" s="1621">
        <f t="shared" si="49"/>
        <v>32.554859600000043</v>
      </c>
      <c r="AJ60" s="1622">
        <f t="shared" si="50"/>
        <v>390.65831520000052</v>
      </c>
      <c r="AK60" s="1448">
        <f t="shared" si="42"/>
        <v>0.87986107027027138</v>
      </c>
      <c r="AL60" s="1431">
        <f t="shared" si="37"/>
        <v>110.03961480861784</v>
      </c>
    </row>
    <row r="61" spans="1:38" s="1444" customFormat="1" ht="21" hidden="1" customHeight="1">
      <c r="A61" s="1375"/>
      <c r="B61" s="1453" t="s">
        <v>2563</v>
      </c>
      <c r="C61" s="1365"/>
      <c r="D61" s="1365"/>
      <c r="E61" s="1451"/>
      <c r="F61" s="1452">
        <v>116</v>
      </c>
      <c r="G61" s="1367">
        <f t="shared" si="43"/>
        <v>1248.1075420499997</v>
      </c>
      <c r="H61" s="1618">
        <f>496.7*1.39</f>
        <v>690.4129999999999</v>
      </c>
      <c r="I61" s="1367">
        <f t="shared" si="44"/>
        <v>359.98080999999996</v>
      </c>
      <c r="J61" s="1617"/>
      <c r="K61" s="1618">
        <f>7.45*1.39</f>
        <v>10.355499999999999</v>
      </c>
      <c r="L61" s="1618">
        <f>8.183*1.39</f>
        <v>11.374369999999999</v>
      </c>
      <c r="M61" s="1618">
        <f>498.34*1.39*30/100</f>
        <v>207.80777999999998</v>
      </c>
      <c r="N61" s="1619"/>
      <c r="O61" s="1619"/>
      <c r="P61" s="1617"/>
      <c r="Q61" s="1617"/>
      <c r="R61" s="1618">
        <f>92.944*1.39</f>
        <v>129.19216</v>
      </c>
      <c r="S61" s="1618">
        <f t="shared" ref="S61:S63" si="54">0.9*1.39</f>
        <v>1.2509999999999999</v>
      </c>
      <c r="T61" s="1554">
        <f t="shared" si="45"/>
        <v>197.71373204999998</v>
      </c>
      <c r="U61" s="1620">
        <f t="shared" si="46"/>
        <v>1326.0783279499999</v>
      </c>
      <c r="V61" s="1617">
        <v>732.49890000000005</v>
      </c>
      <c r="W61" s="1617">
        <f t="shared" si="47"/>
        <v>383.89104999999995</v>
      </c>
      <c r="X61" s="1617"/>
      <c r="Y61" s="1617">
        <v>10.132</v>
      </c>
      <c r="Z61" s="1617">
        <v>10.683299999999999</v>
      </c>
      <c r="AA61" s="1617">
        <v>222.75797999999998</v>
      </c>
      <c r="AB61" s="1617"/>
      <c r="AC61" s="1617"/>
      <c r="AD61" s="1617"/>
      <c r="AE61" s="1617"/>
      <c r="AF61" s="1617">
        <v>138.97676999999999</v>
      </c>
      <c r="AG61" s="1617">
        <v>1.341</v>
      </c>
      <c r="AH61" s="1554">
        <f t="shared" si="48"/>
        <v>209.68837794999999</v>
      </c>
      <c r="AI61" s="1622">
        <f t="shared" si="49"/>
        <v>77.970785900000237</v>
      </c>
      <c r="AJ61" s="1622">
        <f t="shared" si="50"/>
        <v>935.64943080000285</v>
      </c>
      <c r="AK61" s="1448">
        <f t="shared" si="42"/>
        <v>0.6721619474137952</v>
      </c>
      <c r="AL61" s="1431">
        <f t="shared" si="37"/>
        <v>106.24712080274223</v>
      </c>
    </row>
    <row r="62" spans="1:38" s="1444" customFormat="1" ht="21" hidden="1" customHeight="1">
      <c r="A62" s="1375"/>
      <c r="B62" s="1453" t="s">
        <v>2564</v>
      </c>
      <c r="C62" s="1365"/>
      <c r="D62" s="1365"/>
      <c r="E62" s="1451"/>
      <c r="F62" s="1452">
        <v>79</v>
      </c>
      <c r="G62" s="1367">
        <f t="shared" si="43"/>
        <v>824.89741819999995</v>
      </c>
      <c r="H62" s="1618">
        <f>332.65*1.39</f>
        <v>462.38349999999991</v>
      </c>
      <c r="I62" s="1367">
        <f t="shared" si="44"/>
        <v>231.99503100000001</v>
      </c>
      <c r="J62" s="1617"/>
      <c r="K62" s="1618">
        <f>5.25*1.39</f>
        <v>7.2974999999999994</v>
      </c>
      <c r="L62" s="1618">
        <f>3.236*1.39</f>
        <v>4.4980399999999996</v>
      </c>
      <c r="M62" s="1618">
        <f>330.283*1.39*30/100</f>
        <v>137.72801100000001</v>
      </c>
      <c r="N62" s="1619"/>
      <c r="O62" s="1619"/>
      <c r="P62" s="1617"/>
      <c r="Q62" s="1617"/>
      <c r="R62" s="1618">
        <f>58.432*1.39</f>
        <v>81.220479999999995</v>
      </c>
      <c r="S62" s="1618">
        <f t="shared" si="54"/>
        <v>1.2509999999999999</v>
      </c>
      <c r="T62" s="1554">
        <f t="shared" si="45"/>
        <v>130.51888719999997</v>
      </c>
      <c r="U62" s="1620">
        <f t="shared" si="46"/>
        <v>877.15797869999994</v>
      </c>
      <c r="V62" s="1617">
        <v>491.44669999999996</v>
      </c>
      <c r="W62" s="1617">
        <f t="shared" si="47"/>
        <v>247.150621</v>
      </c>
      <c r="X62" s="1617"/>
      <c r="Y62" s="1617">
        <v>7.8224999999999998</v>
      </c>
      <c r="Z62" s="1617">
        <v>2.37357</v>
      </c>
      <c r="AA62" s="1617">
        <v>147.63650099999998</v>
      </c>
      <c r="AB62" s="1617"/>
      <c r="AC62" s="1617"/>
      <c r="AD62" s="1617"/>
      <c r="AE62" s="1617"/>
      <c r="AF62" s="1617">
        <v>87.977050000000006</v>
      </c>
      <c r="AG62" s="1617">
        <v>1.341</v>
      </c>
      <c r="AH62" s="1554">
        <f t="shared" si="48"/>
        <v>138.56065769999998</v>
      </c>
      <c r="AI62" s="1622">
        <f t="shared" si="49"/>
        <v>52.260560499999997</v>
      </c>
      <c r="AJ62" s="1622">
        <f t="shared" si="50"/>
        <v>627.12672599999996</v>
      </c>
      <c r="AK62" s="1448">
        <f t="shared" si="42"/>
        <v>0.66152608227848098</v>
      </c>
      <c r="AL62" s="1431">
        <f t="shared" si="37"/>
        <v>106.33540114770115</v>
      </c>
    </row>
    <row r="63" spans="1:38" s="1444" customFormat="1" ht="21" hidden="1" customHeight="1">
      <c r="A63" s="1375"/>
      <c r="B63" s="1453" t="s">
        <v>2565</v>
      </c>
      <c r="C63" s="1365"/>
      <c r="D63" s="1365"/>
      <c r="E63" s="1451"/>
      <c r="F63" s="1452">
        <v>39</v>
      </c>
      <c r="G63" s="1367">
        <f t="shared" si="43"/>
        <v>339.38335215000001</v>
      </c>
      <c r="H63" s="1618">
        <f>140.65*1.39</f>
        <v>195.5035</v>
      </c>
      <c r="I63" s="1367">
        <f t="shared" si="44"/>
        <v>91.004689999999997</v>
      </c>
      <c r="J63" s="1617"/>
      <c r="K63" s="1618">
        <f>3.1*1.39</f>
        <v>4.3090000000000002</v>
      </c>
      <c r="L63" s="1618">
        <v>0</v>
      </c>
      <c r="M63" s="1618">
        <f>144.5*1.39*30/100</f>
        <v>60.256499999999996</v>
      </c>
      <c r="N63" s="1619"/>
      <c r="O63" s="1619"/>
      <c r="P63" s="1617"/>
      <c r="Q63" s="1617"/>
      <c r="R63" s="1618">
        <f>18.121*1.39</f>
        <v>25.188189999999995</v>
      </c>
      <c r="S63" s="1618">
        <f t="shared" si="54"/>
        <v>1.2509999999999999</v>
      </c>
      <c r="T63" s="1554">
        <f t="shared" si="45"/>
        <v>52.875162149999994</v>
      </c>
      <c r="U63" s="1620">
        <f t="shared" si="46"/>
        <v>379.63759170000003</v>
      </c>
      <c r="V63" s="1617">
        <v>219.16409999999999</v>
      </c>
      <c r="W63" s="1617">
        <f t="shared" si="47"/>
        <v>100.78062000000001</v>
      </c>
      <c r="X63" s="1617"/>
      <c r="Y63" s="1617">
        <v>4.6189999999999998</v>
      </c>
      <c r="Z63" s="1617">
        <v>0</v>
      </c>
      <c r="AA63" s="1617">
        <v>64.591500000000011</v>
      </c>
      <c r="AB63" s="1617"/>
      <c r="AC63" s="1617"/>
      <c r="AD63" s="1617"/>
      <c r="AE63" s="1617"/>
      <c r="AF63" s="1617">
        <v>30.229120000000002</v>
      </c>
      <c r="AG63" s="1617">
        <v>1.341</v>
      </c>
      <c r="AH63" s="1554">
        <f t="shared" si="48"/>
        <v>59.692871699999991</v>
      </c>
      <c r="AI63" s="1622">
        <f t="shared" si="49"/>
        <v>40.254239550000023</v>
      </c>
      <c r="AJ63" s="1622">
        <f t="shared" si="50"/>
        <v>483.05087460000027</v>
      </c>
      <c r="AK63" s="1448">
        <f t="shared" si="42"/>
        <v>1.0321599884615391</v>
      </c>
      <c r="AL63" s="1431">
        <f t="shared" si="37"/>
        <v>111.86099415159543</v>
      </c>
    </row>
    <row r="64" spans="1:38" s="1444" customFormat="1" ht="21" hidden="1" customHeight="1">
      <c r="A64" s="1375"/>
      <c r="B64" s="1453" t="s">
        <v>2566</v>
      </c>
      <c r="C64" s="1365"/>
      <c r="D64" s="1365"/>
      <c r="E64" s="1451"/>
      <c r="F64" s="1452">
        <v>67</v>
      </c>
      <c r="G64" s="1367">
        <f t="shared" si="43"/>
        <v>671.50937529999999</v>
      </c>
      <c r="H64" s="1618">
        <f>270.3*1.39</f>
        <v>375.71699999999998</v>
      </c>
      <c r="I64" s="1367">
        <f t="shared" si="44"/>
        <v>190.21844199999998</v>
      </c>
      <c r="J64" s="1617"/>
      <c r="K64" s="1618">
        <f>4.35*1.39</f>
        <v>6.0464999999999991</v>
      </c>
      <c r="L64" s="1618">
        <f>2.39*1.39</f>
        <v>3.3220999999999998</v>
      </c>
      <c r="M64" s="1618">
        <f>275.986*1.39*30/100</f>
        <v>115.08616199999999</v>
      </c>
      <c r="N64" s="1619"/>
      <c r="O64" s="1619"/>
      <c r="P64" s="1617"/>
      <c r="Q64" s="1617"/>
      <c r="R64" s="1618">
        <f>46.162*1.39</f>
        <v>64.165179999999992</v>
      </c>
      <c r="S64" s="1618">
        <f>1.15*1.39</f>
        <v>1.5984999999999998</v>
      </c>
      <c r="T64" s="1554">
        <f t="shared" si="45"/>
        <v>105.57393329999998</v>
      </c>
      <c r="U64" s="1620">
        <f t="shared" si="46"/>
        <v>726.98126609999997</v>
      </c>
      <c r="V64" s="1617">
        <v>408.36430000000001</v>
      </c>
      <c r="W64" s="1617">
        <f t="shared" si="47"/>
        <v>204.08500199999997</v>
      </c>
      <c r="X64" s="1617"/>
      <c r="Y64" s="1617">
        <v>6.4814999999999996</v>
      </c>
      <c r="Z64" s="1617">
        <v>1.33504</v>
      </c>
      <c r="AA64" s="1617">
        <v>123.365742</v>
      </c>
      <c r="AB64" s="1617"/>
      <c r="AC64" s="1617"/>
      <c r="AD64" s="1617"/>
      <c r="AE64" s="1617"/>
      <c r="AF64" s="1617">
        <v>71.189219999999992</v>
      </c>
      <c r="AG64" s="1617">
        <v>1.7134999999999998</v>
      </c>
      <c r="AH64" s="1554">
        <f t="shared" si="48"/>
        <v>114.53196409999998</v>
      </c>
      <c r="AI64" s="1622">
        <f t="shared" si="49"/>
        <v>55.471890799999983</v>
      </c>
      <c r="AJ64" s="1622">
        <f t="shared" si="50"/>
        <v>665.66268959999979</v>
      </c>
      <c r="AK64" s="1448">
        <f t="shared" si="42"/>
        <v>0.82793866865671617</v>
      </c>
      <c r="AL64" s="1431">
        <f t="shared" si="37"/>
        <v>108.26077681718407</v>
      </c>
    </row>
    <row r="65" spans="1:38" s="1444" customFormat="1" ht="21" hidden="1" customHeight="1">
      <c r="A65" s="1375"/>
      <c r="B65" s="1453" t="s">
        <v>2567</v>
      </c>
      <c r="C65" s="1365"/>
      <c r="D65" s="1365"/>
      <c r="E65" s="1451"/>
      <c r="F65" s="1452">
        <v>35</v>
      </c>
      <c r="G65" s="1367">
        <f t="shared" si="43"/>
        <v>518.27022224999996</v>
      </c>
      <c r="H65" s="1618">
        <f>130.96*1.39</f>
        <v>182.03440000000001</v>
      </c>
      <c r="I65" s="1367">
        <f t="shared" si="44"/>
        <v>287.15829299999996</v>
      </c>
      <c r="J65" s="1617"/>
      <c r="K65" s="1618">
        <f>2.55*1.39</f>
        <v>3.5444999999999993</v>
      </c>
      <c r="L65" s="1618">
        <f>0.643*1.39</f>
        <v>0.89376999999999995</v>
      </c>
      <c r="M65" s="1618">
        <f>132.138*1.39*70/100</f>
        <v>128.57027399999998</v>
      </c>
      <c r="N65" s="1619">
        <f>(H65+K65+L65)*70/100</f>
        <v>130.530869</v>
      </c>
      <c r="O65" s="1619">
        <v>0</v>
      </c>
      <c r="P65" s="1617"/>
      <c r="Q65" s="1617"/>
      <c r="R65" s="1618">
        <f>16.092*1.39</f>
        <v>22.367879999999996</v>
      </c>
      <c r="S65" s="1618">
        <f t="shared" ref="S65:S66" si="55">0.9*1.39</f>
        <v>1.2509999999999999</v>
      </c>
      <c r="T65" s="1554">
        <f t="shared" si="45"/>
        <v>49.077529249999991</v>
      </c>
      <c r="U65" s="1620">
        <f t="shared" si="46"/>
        <v>561.83540364999999</v>
      </c>
      <c r="V65" s="1617">
        <v>196.084</v>
      </c>
      <c r="W65" s="1617">
        <f t="shared" si="47"/>
        <v>312.25863800000002</v>
      </c>
      <c r="X65" s="1617"/>
      <c r="Y65" s="1617">
        <v>4.3955000000000002</v>
      </c>
      <c r="Z65" s="1617">
        <v>0.66752</v>
      </c>
      <c r="AA65" s="1617">
        <v>137.81993400000002</v>
      </c>
      <c r="AB65" s="1617">
        <v>140.80291399999999</v>
      </c>
      <c r="AC65" s="1617">
        <v>0.75</v>
      </c>
      <c r="AD65" s="1617"/>
      <c r="AE65" s="1617"/>
      <c r="AF65" s="1617">
        <v>26.481770000000001</v>
      </c>
      <c r="AG65" s="1617">
        <v>1.341</v>
      </c>
      <c r="AH65" s="1554">
        <f t="shared" si="48"/>
        <v>53.492765650000003</v>
      </c>
      <c r="AI65" s="1622">
        <f t="shared" si="49"/>
        <v>43.565181400000029</v>
      </c>
      <c r="AJ65" s="1622">
        <f t="shared" si="50"/>
        <v>522.78217680000034</v>
      </c>
      <c r="AK65" s="1448">
        <f t="shared" si="42"/>
        <v>1.2447194685714293</v>
      </c>
      <c r="AL65" s="1431">
        <f t="shared" si="37"/>
        <v>108.40588162886682</v>
      </c>
    </row>
    <row r="66" spans="1:38" s="1444" customFormat="1" ht="21" hidden="1" customHeight="1">
      <c r="A66" s="1375"/>
      <c r="B66" s="1453" t="s">
        <v>2568</v>
      </c>
      <c r="C66" s="1365"/>
      <c r="D66" s="1365"/>
      <c r="E66" s="1451"/>
      <c r="F66" s="1452">
        <v>48</v>
      </c>
      <c r="G66" s="1367">
        <f t="shared" si="43"/>
        <v>432.29843729999993</v>
      </c>
      <c r="H66" s="1618">
        <f>179.26*1.39</f>
        <v>249.17139999999998</v>
      </c>
      <c r="I66" s="1367">
        <f t="shared" si="44"/>
        <v>115.84954999999999</v>
      </c>
      <c r="J66" s="1617"/>
      <c r="K66" s="1618">
        <f>3*1.39</f>
        <v>4.17</v>
      </c>
      <c r="L66" s="1618">
        <v>0</v>
      </c>
      <c r="M66" s="1618">
        <f>185.81*1.39*30/100</f>
        <v>77.482769999999988</v>
      </c>
      <c r="N66" s="1619"/>
      <c r="O66" s="1619"/>
      <c r="P66" s="1617"/>
      <c r="Q66" s="1617"/>
      <c r="R66" s="1618">
        <f>23.702*1.39</f>
        <v>32.945779999999999</v>
      </c>
      <c r="S66" s="1618">
        <f t="shared" si="55"/>
        <v>1.2509999999999999</v>
      </c>
      <c r="T66" s="1554">
        <f t="shared" si="45"/>
        <v>67.27748729999999</v>
      </c>
      <c r="U66" s="1620">
        <f t="shared" si="46"/>
        <v>482.4998013</v>
      </c>
      <c r="V66" s="1617">
        <v>278.07869999999997</v>
      </c>
      <c r="W66" s="1617">
        <f t="shared" si="47"/>
        <v>128.66895000000002</v>
      </c>
      <c r="X66" s="1617"/>
      <c r="Y66" s="1617">
        <v>5.1405000000000003</v>
      </c>
      <c r="Z66" s="1617">
        <v>0</v>
      </c>
      <c r="AA66" s="1617">
        <v>83.05707000000001</v>
      </c>
      <c r="AB66" s="1617"/>
      <c r="AC66" s="1617"/>
      <c r="AD66" s="1617"/>
      <c r="AE66" s="1617"/>
      <c r="AF66" s="1617">
        <v>39.130380000000002</v>
      </c>
      <c r="AG66" s="1617">
        <v>1.341</v>
      </c>
      <c r="AH66" s="1554">
        <f t="shared" si="48"/>
        <v>75.75215129999998</v>
      </c>
      <c r="AI66" s="1622">
        <f t="shared" si="49"/>
        <v>50.201364000000069</v>
      </c>
      <c r="AJ66" s="1622">
        <f t="shared" si="50"/>
        <v>602.41636800000083</v>
      </c>
      <c r="AK66" s="1448">
        <f t="shared" si="42"/>
        <v>1.0458617500000014</v>
      </c>
      <c r="AL66" s="1431">
        <f t="shared" si="37"/>
        <v>111.61266376847023</v>
      </c>
    </row>
    <row r="67" spans="1:38" s="1444" customFormat="1" ht="21" hidden="1" customHeight="1">
      <c r="A67" s="1375"/>
      <c r="B67" s="1453" t="s">
        <v>2569</v>
      </c>
      <c r="C67" s="1365"/>
      <c r="D67" s="1365"/>
      <c r="E67" s="1451"/>
      <c r="F67" s="1452">
        <v>73</v>
      </c>
      <c r="G67" s="1367">
        <f t="shared" si="43"/>
        <v>1302.9760066999997</v>
      </c>
      <c r="H67" s="1618">
        <f>307.4*1.39</f>
        <v>427.28599999999994</v>
      </c>
      <c r="I67" s="1367">
        <f t="shared" si="44"/>
        <v>756.52873999999997</v>
      </c>
      <c r="J67" s="1617"/>
      <c r="K67" s="1618">
        <f>4.35*1.39</f>
        <v>6.0464999999999991</v>
      </c>
      <c r="L67" s="1618">
        <f>1.586*1.39</f>
        <v>2.2045400000000002</v>
      </c>
      <c r="M67" s="1618">
        <f>300.904*1.39*70/100</f>
        <v>292.77959199999998</v>
      </c>
      <c r="N67" s="1619">
        <f>(H67+K67+L67)*70/100</f>
        <v>304.87592799999993</v>
      </c>
      <c r="O67" s="1619">
        <v>79.09</v>
      </c>
      <c r="P67" s="1617"/>
      <c r="Q67" s="1617"/>
      <c r="R67" s="1618">
        <f>51.462*1.39</f>
        <v>71.532179999999997</v>
      </c>
      <c r="S67" s="1618">
        <v>0</v>
      </c>
      <c r="T67" s="1554">
        <f t="shared" si="45"/>
        <v>119.16126669999997</v>
      </c>
      <c r="U67" s="1620">
        <f t="shared" si="46"/>
        <v>1368.4651768000001</v>
      </c>
      <c r="V67" s="1617">
        <v>444.28820000000002</v>
      </c>
      <c r="W67" s="1617">
        <f t="shared" si="47"/>
        <v>800.59083400000009</v>
      </c>
      <c r="X67" s="1617"/>
      <c r="Y67" s="1617">
        <v>6.0344999999999995</v>
      </c>
      <c r="Z67" s="1617">
        <v>2.0025599999999999</v>
      </c>
      <c r="AA67" s="1617">
        <v>313.842872</v>
      </c>
      <c r="AB67" s="1617">
        <v>316.62768200000005</v>
      </c>
      <c r="AC67" s="1617">
        <v>88.51</v>
      </c>
      <c r="AD67" s="1617"/>
      <c r="AE67" s="1617"/>
      <c r="AF67" s="1617">
        <v>73.573220000000006</v>
      </c>
      <c r="AG67" s="1617">
        <v>0</v>
      </c>
      <c r="AH67" s="1554">
        <f t="shared" si="48"/>
        <v>123.5861428</v>
      </c>
      <c r="AI67" s="1622">
        <f t="shared" si="49"/>
        <v>65.489170100000365</v>
      </c>
      <c r="AJ67" s="1622">
        <f t="shared" si="50"/>
        <v>785.87004120000438</v>
      </c>
      <c r="AK67" s="1448">
        <f t="shared" si="42"/>
        <v>0.89711191917808719</v>
      </c>
      <c r="AL67" s="1431">
        <f t="shared" si="37"/>
        <v>105.02612248907501</v>
      </c>
    </row>
    <row r="68" spans="1:38" s="1444" customFormat="1" ht="21" hidden="1" customHeight="1">
      <c r="A68" s="1375"/>
      <c r="B68" s="1453" t="s">
        <v>2570</v>
      </c>
      <c r="C68" s="1365"/>
      <c r="D68" s="1365"/>
      <c r="E68" s="1451"/>
      <c r="F68" s="1452">
        <v>48</v>
      </c>
      <c r="G68" s="1367">
        <f t="shared" si="43"/>
        <v>482.65364064999994</v>
      </c>
      <c r="H68" s="1618">
        <f>194.12*1.39</f>
        <v>269.82679999999999</v>
      </c>
      <c r="I68" s="1367">
        <f t="shared" si="44"/>
        <v>137.27890199999999</v>
      </c>
      <c r="J68" s="1617"/>
      <c r="K68" s="1618">
        <f>3.6*1.39</f>
        <v>5.0039999999999996</v>
      </c>
      <c r="L68" s="1618">
        <f>0.947*1.39</f>
        <v>1.3163299999999998</v>
      </c>
      <c r="M68" s="1618">
        <f>202.336*1.39*30/100</f>
        <v>84.374111999999982</v>
      </c>
      <c r="N68" s="1619"/>
      <c r="O68" s="1619"/>
      <c r="P68" s="1617"/>
      <c r="Q68" s="1617"/>
      <c r="R68" s="1618">
        <f>32.614*1.39</f>
        <v>45.333459999999995</v>
      </c>
      <c r="S68" s="1618">
        <f t="shared" ref="S68" si="56">0.9*1.39</f>
        <v>1.2509999999999999</v>
      </c>
      <c r="T68" s="1554">
        <f t="shared" si="45"/>
        <v>75.547938649999992</v>
      </c>
      <c r="U68" s="1620">
        <f t="shared" si="46"/>
        <v>534.29158295000002</v>
      </c>
      <c r="V68" s="1617">
        <v>298.6705</v>
      </c>
      <c r="W68" s="1617">
        <f t="shared" si="47"/>
        <v>151.41946200000001</v>
      </c>
      <c r="X68" s="1617"/>
      <c r="Y68" s="1617">
        <v>4.7679999999999998</v>
      </c>
      <c r="Z68" s="1617">
        <v>1.63304</v>
      </c>
      <c r="AA68" s="1617">
        <v>90.444192000000001</v>
      </c>
      <c r="AB68" s="1617"/>
      <c r="AC68" s="1617"/>
      <c r="AD68" s="1617"/>
      <c r="AE68" s="1617"/>
      <c r="AF68" s="1617">
        <v>53.233229999999992</v>
      </c>
      <c r="AG68" s="1617">
        <v>1.341</v>
      </c>
      <c r="AH68" s="1554">
        <f t="shared" si="48"/>
        <v>84.201620949999992</v>
      </c>
      <c r="AI68" s="1622">
        <f t="shared" si="49"/>
        <v>51.637942300000077</v>
      </c>
      <c r="AJ68" s="1622">
        <f t="shared" si="50"/>
        <v>619.65530760000092</v>
      </c>
      <c r="AK68" s="1448">
        <f t="shared" si="42"/>
        <v>1.0757904645833349</v>
      </c>
      <c r="AL68" s="1431">
        <f t="shared" si="37"/>
        <v>110.69875744238833</v>
      </c>
    </row>
    <row r="69" spans="1:38" s="1444" customFormat="1" ht="21" hidden="1" customHeight="1">
      <c r="A69" s="1375"/>
      <c r="B69" s="1453" t="s">
        <v>2571</v>
      </c>
      <c r="C69" s="1365"/>
      <c r="D69" s="1365"/>
      <c r="E69" s="1451"/>
      <c r="F69" s="1452">
        <v>45</v>
      </c>
      <c r="G69" s="1367">
        <f t="shared" si="43"/>
        <v>410.46817454999996</v>
      </c>
      <c r="H69" s="1618">
        <f>171.35*1.39</f>
        <v>238.17649999999998</v>
      </c>
      <c r="I69" s="1367">
        <f t="shared" si="44"/>
        <v>107.90014000000001</v>
      </c>
      <c r="J69" s="1617"/>
      <c r="K69" s="1618">
        <f>3.3*1.39</f>
        <v>4.5869999999999997</v>
      </c>
      <c r="L69" s="1618">
        <v>0</v>
      </c>
      <c r="M69" s="1618">
        <f>170.33*1.39*30/100</f>
        <v>71.02761000000001</v>
      </c>
      <c r="N69" s="1619"/>
      <c r="O69" s="1619"/>
      <c r="P69" s="1617"/>
      <c r="Q69" s="1617"/>
      <c r="R69" s="1618">
        <f>22.477*1.39</f>
        <v>31.243029999999997</v>
      </c>
      <c r="S69" s="1618">
        <f>0.75*1.39</f>
        <v>1.0425</v>
      </c>
      <c r="T69" s="1554">
        <f t="shared" si="45"/>
        <v>64.391534549999989</v>
      </c>
      <c r="U69" s="1620">
        <f t="shared" si="46"/>
        <v>439.14080130000002</v>
      </c>
      <c r="V69" s="1617">
        <v>253.01689999999999</v>
      </c>
      <c r="W69" s="1617">
        <f t="shared" si="47"/>
        <v>117.23469000000001</v>
      </c>
      <c r="X69" s="1617"/>
      <c r="Y69" s="1617">
        <v>5.2894999999999994</v>
      </c>
      <c r="Z69" s="1617">
        <v>0</v>
      </c>
      <c r="AA69" s="1617">
        <v>76.137510000000006</v>
      </c>
      <c r="AB69" s="1617"/>
      <c r="AC69" s="1617"/>
      <c r="AD69" s="1617"/>
      <c r="AE69" s="1617"/>
      <c r="AF69" s="1617">
        <v>34.839179999999999</v>
      </c>
      <c r="AG69" s="1617">
        <v>0.96850000000000003</v>
      </c>
      <c r="AH69" s="1554">
        <f t="shared" si="48"/>
        <v>68.889211299999999</v>
      </c>
      <c r="AI69" s="1622">
        <f t="shared" si="49"/>
        <v>28.672626750000063</v>
      </c>
      <c r="AJ69" s="1622">
        <f t="shared" si="50"/>
        <v>344.07152100000076</v>
      </c>
      <c r="AK69" s="1448">
        <f t="shared" si="42"/>
        <v>0.63716948333333479</v>
      </c>
      <c r="AL69" s="1431">
        <f t="shared" si="37"/>
        <v>106.98534710551777</v>
      </c>
    </row>
    <row r="70" spans="1:38" s="1444" customFormat="1" ht="21" hidden="1" customHeight="1">
      <c r="A70" s="1375"/>
      <c r="B70" s="1453" t="s">
        <v>2572</v>
      </c>
      <c r="C70" s="1365"/>
      <c r="D70" s="1365"/>
      <c r="E70" s="1451"/>
      <c r="F70" s="1452">
        <v>92</v>
      </c>
      <c r="G70" s="1367">
        <f t="shared" si="43"/>
        <v>899.17419489999997</v>
      </c>
      <c r="H70" s="1618">
        <f>369.5*1.39</f>
        <v>513.60500000000002</v>
      </c>
      <c r="I70" s="1367">
        <f t="shared" si="44"/>
        <v>244.05592199999998</v>
      </c>
      <c r="J70" s="1617"/>
      <c r="K70" s="1618">
        <f>6*1.39</f>
        <v>8.34</v>
      </c>
      <c r="L70" s="1618">
        <f>1.145*1.39</f>
        <v>1.59155</v>
      </c>
      <c r="M70" s="1618">
        <f>369.846*1.39*30/100</f>
        <v>154.22578199999998</v>
      </c>
      <c r="N70" s="1619"/>
      <c r="O70" s="1619"/>
      <c r="P70" s="1617"/>
      <c r="Q70" s="1617"/>
      <c r="R70" s="1618">
        <f>56.581*1.39</f>
        <v>78.647589999999994</v>
      </c>
      <c r="S70" s="1618">
        <f>0.9*1.39</f>
        <v>1.2509999999999999</v>
      </c>
      <c r="T70" s="1554">
        <f t="shared" si="45"/>
        <v>141.5132729</v>
      </c>
      <c r="U70" s="1620">
        <f t="shared" si="46"/>
        <v>966.6232109</v>
      </c>
      <c r="V70" s="1617">
        <v>549.89940000000001</v>
      </c>
      <c r="W70" s="1617">
        <f t="shared" si="47"/>
        <v>264.504502</v>
      </c>
      <c r="X70" s="1617"/>
      <c r="Y70" s="1617">
        <v>8.94</v>
      </c>
      <c r="Z70" s="1617">
        <v>1.33504</v>
      </c>
      <c r="AA70" s="1617">
        <v>165.32116200000002</v>
      </c>
      <c r="AB70" s="1617"/>
      <c r="AC70" s="1617"/>
      <c r="AD70" s="1617"/>
      <c r="AE70" s="1617"/>
      <c r="AF70" s="1617">
        <v>87.567300000000003</v>
      </c>
      <c r="AG70" s="1617">
        <v>1.341</v>
      </c>
      <c r="AH70" s="1554">
        <f t="shared" si="48"/>
        <v>152.21930890000002</v>
      </c>
      <c r="AI70" s="1622">
        <f t="shared" si="49"/>
        <v>67.449016000000029</v>
      </c>
      <c r="AJ70" s="1622">
        <f t="shared" si="50"/>
        <v>809.38819200000034</v>
      </c>
      <c r="AK70" s="1448">
        <f t="shared" si="42"/>
        <v>0.73314147826086984</v>
      </c>
      <c r="AL70" s="1431">
        <f t="shared" si="37"/>
        <v>107.5012179378103</v>
      </c>
    </row>
    <row r="71" spans="1:38" s="1444" customFormat="1" ht="21" hidden="1" customHeight="1">
      <c r="A71" s="1375"/>
      <c r="B71" s="1453" t="s">
        <v>2573</v>
      </c>
      <c r="C71" s="1365"/>
      <c r="D71" s="1365"/>
      <c r="E71" s="1451"/>
      <c r="F71" s="1452">
        <v>50</v>
      </c>
      <c r="G71" s="1367">
        <f t="shared" si="43"/>
        <v>518.83287340000004</v>
      </c>
      <c r="H71" s="1618">
        <f>218.3*1.39</f>
        <v>303.43700000000001</v>
      </c>
      <c r="I71" s="1367">
        <f t="shared" si="44"/>
        <v>132.06223200000002</v>
      </c>
      <c r="J71" s="1617"/>
      <c r="K71" s="1618">
        <f>3.7*1.39</f>
        <v>5.1429999999999998</v>
      </c>
      <c r="L71" s="1618">
        <f>0.846*1.39</f>
        <v>1.17594</v>
      </c>
      <c r="M71" s="1618">
        <f>190.976*1.39*30/100</f>
        <v>79.636992000000006</v>
      </c>
      <c r="N71" s="1619"/>
      <c r="O71" s="1619"/>
      <c r="P71" s="1617"/>
      <c r="Q71" s="1617"/>
      <c r="R71" s="1618">
        <f>32.27*1.39</f>
        <v>44.8553</v>
      </c>
      <c r="S71" s="1618">
        <f t="shared" ref="S71" si="57">0.9*1.39</f>
        <v>1.2509999999999999</v>
      </c>
      <c r="T71" s="1554">
        <f t="shared" si="45"/>
        <v>83.333641399999991</v>
      </c>
      <c r="U71" s="1620">
        <f t="shared" si="46"/>
        <v>553.14581199999998</v>
      </c>
      <c r="V71" s="1617">
        <v>325.267</v>
      </c>
      <c r="W71" s="1617">
        <f t="shared" si="47"/>
        <v>139.080772</v>
      </c>
      <c r="X71" s="1617"/>
      <c r="Y71" s="1617">
        <v>5.0659999999999998</v>
      </c>
      <c r="Z71" s="1617">
        <v>1.33504</v>
      </c>
      <c r="AA71" s="1617">
        <v>85.366271999999995</v>
      </c>
      <c r="AB71" s="1617"/>
      <c r="AC71" s="1617"/>
      <c r="AD71" s="1617"/>
      <c r="AE71" s="1617"/>
      <c r="AF71" s="1617">
        <v>46.195959999999999</v>
      </c>
      <c r="AG71" s="1617">
        <v>1.1174999999999999</v>
      </c>
      <c r="AH71" s="1554">
        <f t="shared" si="48"/>
        <v>88.798039999999986</v>
      </c>
      <c r="AI71" s="1622">
        <f t="shared" si="49"/>
        <v>34.312938599999939</v>
      </c>
      <c r="AJ71" s="1622">
        <f t="shared" si="50"/>
        <v>411.75526319999926</v>
      </c>
      <c r="AK71" s="1448">
        <f t="shared" si="42"/>
        <v>0.68625877199999874</v>
      </c>
      <c r="AL71" s="1431">
        <f t="shared" si="37"/>
        <v>106.61348583699824</v>
      </c>
    </row>
    <row r="72" spans="1:38" s="1444" customFormat="1" ht="21" hidden="1" customHeight="1">
      <c r="A72" s="1375"/>
      <c r="B72" s="1453" t="s">
        <v>2574</v>
      </c>
      <c r="C72" s="1365"/>
      <c r="D72" s="1365"/>
      <c r="E72" s="1451"/>
      <c r="F72" s="1452">
        <v>52</v>
      </c>
      <c r="G72" s="1367">
        <f t="shared" si="43"/>
        <v>507.32119224999997</v>
      </c>
      <c r="H72" s="1618">
        <f>207.52*1.39</f>
        <v>288.45279999999997</v>
      </c>
      <c r="I72" s="1367">
        <f t="shared" si="44"/>
        <v>138.844042</v>
      </c>
      <c r="J72" s="1617"/>
      <c r="K72" s="1618">
        <f>3.15*1.39</f>
        <v>4.3784999999999998</v>
      </c>
      <c r="L72" s="1618">
        <f>0.643*1.39</f>
        <v>0.89376999999999995</v>
      </c>
      <c r="M72" s="1618">
        <f>208.076*1.39*30/100</f>
        <v>86.767692000000011</v>
      </c>
      <c r="N72" s="1619"/>
      <c r="O72" s="1619"/>
      <c r="P72" s="1617"/>
      <c r="Q72" s="1617"/>
      <c r="R72" s="1618">
        <f>33.672*1.39</f>
        <v>46.804079999999992</v>
      </c>
      <c r="S72" s="1618">
        <v>0</v>
      </c>
      <c r="T72" s="1554">
        <f t="shared" si="45"/>
        <v>80.024350249999983</v>
      </c>
      <c r="U72" s="1620">
        <f t="shared" si="46"/>
        <v>550.12531379999996</v>
      </c>
      <c r="V72" s="1617">
        <v>311.1567</v>
      </c>
      <c r="W72" s="1617">
        <f t="shared" si="47"/>
        <v>151.98715199999998</v>
      </c>
      <c r="X72" s="1617"/>
      <c r="Y72" s="1617">
        <v>4.6935000000000002</v>
      </c>
      <c r="Z72" s="1617">
        <v>1.4691399999999999</v>
      </c>
      <c r="AA72" s="1617">
        <v>93.009972000000005</v>
      </c>
      <c r="AB72" s="1617"/>
      <c r="AC72" s="1617"/>
      <c r="AD72" s="1617"/>
      <c r="AE72" s="1617"/>
      <c r="AF72" s="1617">
        <v>52.814539999999994</v>
      </c>
      <c r="AG72" s="1617">
        <v>0</v>
      </c>
      <c r="AH72" s="1554">
        <f t="shared" si="48"/>
        <v>86.981461799999991</v>
      </c>
      <c r="AI72" s="1622">
        <f t="shared" si="49"/>
        <v>42.804121549999991</v>
      </c>
      <c r="AJ72" s="1622">
        <f t="shared" si="50"/>
        <v>513.64945859999989</v>
      </c>
      <c r="AK72" s="1448">
        <f t="shared" si="42"/>
        <v>0.82315618365384602</v>
      </c>
      <c r="AL72" s="1431">
        <f t="shared" si="37"/>
        <v>108.43728237729655</v>
      </c>
    </row>
    <row r="73" spans="1:38" s="1444" customFormat="1" ht="21" hidden="1" customHeight="1">
      <c r="A73" s="1375"/>
      <c r="B73" s="1453" t="s">
        <v>2575</v>
      </c>
      <c r="C73" s="1365"/>
      <c r="D73" s="1365"/>
      <c r="E73" s="1451"/>
      <c r="F73" s="1452">
        <v>68</v>
      </c>
      <c r="G73" s="1367">
        <f t="shared" si="43"/>
        <v>642.05986924999991</v>
      </c>
      <c r="H73" s="1618">
        <f>262.76*1.39</f>
        <v>365.23639999999995</v>
      </c>
      <c r="I73" s="1367">
        <f t="shared" si="44"/>
        <v>176.60561599999997</v>
      </c>
      <c r="J73" s="1617"/>
      <c r="K73" s="1618">
        <f>4.6*1.39</f>
        <v>6.3939999999999992</v>
      </c>
      <c r="L73" s="1618">
        <f>0.448*1.39</f>
        <v>0.62271999999999994</v>
      </c>
      <c r="M73" s="1618">
        <f>273.698*1.39*30/100</f>
        <v>114.13206599999998</v>
      </c>
      <c r="N73" s="1619"/>
      <c r="O73" s="1619"/>
      <c r="P73" s="1617"/>
      <c r="Q73" s="1617"/>
      <c r="R73" s="1618">
        <f>38.997*1.39</f>
        <v>54.205829999999999</v>
      </c>
      <c r="S73" s="1618">
        <f t="shared" ref="S73" si="58">0.9*1.39</f>
        <v>1.2509999999999999</v>
      </c>
      <c r="T73" s="1554">
        <f t="shared" si="45"/>
        <v>100.21785324999999</v>
      </c>
      <c r="U73" s="1620">
        <f t="shared" si="46"/>
        <v>710.66057345000002</v>
      </c>
      <c r="V73" s="1617">
        <v>404.02840000000003</v>
      </c>
      <c r="W73" s="1617">
        <f t="shared" si="47"/>
        <v>194.94027599999998</v>
      </c>
      <c r="X73" s="1617"/>
      <c r="Y73" s="1617">
        <v>7.0774999999999997</v>
      </c>
      <c r="Z73" s="1617">
        <v>0.66752</v>
      </c>
      <c r="AA73" s="1617">
        <v>122.34300599999999</v>
      </c>
      <c r="AB73" s="1617"/>
      <c r="AC73" s="1617"/>
      <c r="AD73" s="1617"/>
      <c r="AE73" s="1617"/>
      <c r="AF73" s="1617">
        <v>63.511249999999997</v>
      </c>
      <c r="AG73" s="1617">
        <v>1.341</v>
      </c>
      <c r="AH73" s="1554">
        <f t="shared" si="48"/>
        <v>111.69189745000001</v>
      </c>
      <c r="AI73" s="1622">
        <f t="shared" si="49"/>
        <v>68.600704200000109</v>
      </c>
      <c r="AJ73" s="1622">
        <f t="shared" si="50"/>
        <v>823.20845040000131</v>
      </c>
      <c r="AK73" s="1448">
        <f t="shared" si="42"/>
        <v>1.0088338852941192</v>
      </c>
      <c r="AL73" s="1431">
        <f t="shared" si="37"/>
        <v>110.68447157118442</v>
      </c>
    </row>
    <row r="74" spans="1:38" s="1444" customFormat="1" ht="21" hidden="1" customHeight="1">
      <c r="A74" s="1375"/>
      <c r="B74" s="1453" t="s">
        <v>2576</v>
      </c>
      <c r="C74" s="1365"/>
      <c r="D74" s="1365"/>
      <c r="E74" s="1451"/>
      <c r="F74" s="1452">
        <v>82</v>
      </c>
      <c r="G74" s="1367">
        <f t="shared" si="43"/>
        <v>983.06498304999991</v>
      </c>
      <c r="H74" s="1618">
        <f>306.77*1.39</f>
        <v>426.41029999999995</v>
      </c>
      <c r="I74" s="1367">
        <f t="shared" si="44"/>
        <v>435.57957399999992</v>
      </c>
      <c r="J74" s="1617"/>
      <c r="K74" s="1618">
        <f>4.6*1.39</f>
        <v>6.3939999999999992</v>
      </c>
      <c r="L74" s="1618">
        <f>7.272*1.39</f>
        <v>10.108079999999999</v>
      </c>
      <c r="M74" s="1618">
        <f>324.828*1.39*70/100</f>
        <v>316.05764399999998</v>
      </c>
      <c r="N74" s="1619"/>
      <c r="O74" s="1619"/>
      <c r="P74" s="1617"/>
      <c r="Q74" s="1617"/>
      <c r="R74" s="1618">
        <f>52.015*1.39</f>
        <v>72.300849999999997</v>
      </c>
      <c r="S74" s="1618">
        <f>22.1*1.39</f>
        <v>30.719000000000001</v>
      </c>
      <c r="T74" s="1554">
        <f t="shared" si="45"/>
        <v>121.07510904999998</v>
      </c>
      <c r="U74" s="1620">
        <f t="shared" si="46"/>
        <v>1104.3116151499999</v>
      </c>
      <c r="V74" s="1617">
        <v>490.22489999999999</v>
      </c>
      <c r="W74" s="1617">
        <f t="shared" si="47"/>
        <v>475.02779399999991</v>
      </c>
      <c r="X74" s="1617"/>
      <c r="Y74" s="1617">
        <v>7.2264999999999997</v>
      </c>
      <c r="Z74" s="1617">
        <v>8.385720000000001</v>
      </c>
      <c r="AA74" s="1617">
        <v>338.79560399999997</v>
      </c>
      <c r="AB74" s="1617"/>
      <c r="AC74" s="1617"/>
      <c r="AD74" s="1617"/>
      <c r="AE74" s="1617"/>
      <c r="AF74" s="1617">
        <v>85.902969999999996</v>
      </c>
      <c r="AG74" s="1617">
        <v>34.716999999999999</v>
      </c>
      <c r="AH74" s="1554">
        <f t="shared" si="48"/>
        <v>139.05892115</v>
      </c>
      <c r="AI74" s="1622">
        <f t="shared" si="49"/>
        <v>121.24663209999994</v>
      </c>
      <c r="AJ74" s="1622">
        <f>AI74*12</f>
        <v>1454.9595851999993</v>
      </c>
      <c r="AK74" s="1448">
        <f t="shared" si="42"/>
        <v>1.4786174646341457</v>
      </c>
      <c r="AL74" s="1431">
        <f t="shared" si="37"/>
        <v>112.33353177974332</v>
      </c>
    </row>
    <row r="75" spans="1:38" s="1444" customFormat="1" ht="21" hidden="1" customHeight="1">
      <c r="A75" s="1375"/>
      <c r="B75" s="1453" t="s">
        <v>2577</v>
      </c>
      <c r="C75" s="1365"/>
      <c r="D75" s="1365"/>
      <c r="E75" s="1451"/>
      <c r="F75" s="1452">
        <v>62</v>
      </c>
      <c r="G75" s="1367">
        <f t="shared" si="43"/>
        <v>630.25217369999996</v>
      </c>
      <c r="H75" s="1618">
        <f>256.35*1.39</f>
        <v>356.32650000000001</v>
      </c>
      <c r="I75" s="1367">
        <f t="shared" si="44"/>
        <v>174.33727500000001</v>
      </c>
      <c r="J75" s="1617"/>
      <c r="K75" s="1618">
        <f>4.85*1.39</f>
        <v>6.7414999999999994</v>
      </c>
      <c r="L75" s="1618">
        <f>0.846*1.39</f>
        <v>1.17594</v>
      </c>
      <c r="M75" s="1618">
        <f>253.315*1.39*30/100</f>
        <v>105.63235499999999</v>
      </c>
      <c r="N75" s="1619"/>
      <c r="O75" s="1619"/>
      <c r="P75" s="1617"/>
      <c r="Q75" s="1617"/>
      <c r="R75" s="1618">
        <f>42.832*1.39</f>
        <v>59.536479999999997</v>
      </c>
      <c r="S75" s="1618">
        <f t="shared" ref="S75" si="59">0.9*1.39</f>
        <v>1.2509999999999999</v>
      </c>
      <c r="T75" s="1554">
        <f t="shared" si="45"/>
        <v>99.588398699999999</v>
      </c>
      <c r="U75" s="1620">
        <f t="shared" si="46"/>
        <v>665.87070410000001</v>
      </c>
      <c r="V75" s="1617">
        <v>373.12579999999997</v>
      </c>
      <c r="W75" s="1617">
        <f t="shared" si="47"/>
        <v>187.84206500000005</v>
      </c>
      <c r="X75" s="1617"/>
      <c r="Y75" s="1617">
        <v>7.0030000000000001</v>
      </c>
      <c r="Z75" s="1617">
        <v>1.7805500000000001</v>
      </c>
      <c r="AA75" s="1617">
        <v>113.23180500000001</v>
      </c>
      <c r="AB75" s="1617"/>
      <c r="AC75" s="1617"/>
      <c r="AD75" s="1617"/>
      <c r="AE75" s="1617"/>
      <c r="AF75" s="1617">
        <v>64.485710000000012</v>
      </c>
      <c r="AG75" s="1617">
        <v>1.341</v>
      </c>
      <c r="AH75" s="1554">
        <f t="shared" si="48"/>
        <v>104.90283909999998</v>
      </c>
      <c r="AI75" s="1622">
        <f t="shared" si="49"/>
        <v>35.618530400000054</v>
      </c>
      <c r="AJ75" s="1622">
        <f t="shared" ref="AJ75:AJ88" si="60">AI75*12</f>
        <v>427.42236480000065</v>
      </c>
      <c r="AK75" s="1448">
        <f t="shared" si="42"/>
        <v>0.57449242580645243</v>
      </c>
      <c r="AL75" s="1431">
        <f t="shared" si="37"/>
        <v>105.65147283680048</v>
      </c>
    </row>
    <row r="76" spans="1:38" s="1444" customFormat="1" ht="21" hidden="1" customHeight="1">
      <c r="A76" s="1375"/>
      <c r="B76" s="1453" t="s">
        <v>3439</v>
      </c>
      <c r="C76" s="1365"/>
      <c r="D76" s="1365"/>
      <c r="E76" s="1451"/>
      <c r="F76" s="1454">
        <v>31</v>
      </c>
      <c r="G76" s="1367">
        <f t="shared" si="43"/>
        <v>341.41127875000001</v>
      </c>
      <c r="H76" s="1618">
        <f>136.38*1.39</f>
        <v>189.56819999999999</v>
      </c>
      <c r="I76" s="1367">
        <f t="shared" si="44"/>
        <v>98.396932399999997</v>
      </c>
      <c r="J76" s="1617"/>
      <c r="K76" s="1618">
        <f>2.45*1.39</f>
        <v>3.4055</v>
      </c>
      <c r="L76" s="1618">
        <f>1.146*1.39</f>
        <v>1.5929399999999998</v>
      </c>
      <c r="M76" s="1618">
        <f>145.1672*1.39*30/100</f>
        <v>60.5347224</v>
      </c>
      <c r="N76" s="1619"/>
      <c r="O76" s="1619"/>
      <c r="P76" s="1617"/>
      <c r="Q76" s="1617"/>
      <c r="R76" s="1618">
        <f>23.643*1.39</f>
        <v>32.863769999999995</v>
      </c>
      <c r="S76" s="1618">
        <v>0</v>
      </c>
      <c r="T76" s="1554">
        <f t="shared" si="45"/>
        <v>53.446146349999992</v>
      </c>
      <c r="U76" s="1620">
        <f t="shared" si="46"/>
        <v>353.67367865000006</v>
      </c>
      <c r="V76" s="1617">
        <v>193.86390000000003</v>
      </c>
      <c r="W76" s="1617">
        <f t="shared" si="47"/>
        <v>104.8589884</v>
      </c>
      <c r="X76" s="1617"/>
      <c r="Y76" s="1617">
        <v>3.4269999999999996</v>
      </c>
      <c r="Z76" s="1617">
        <v>1.33504</v>
      </c>
      <c r="AA76" s="1617">
        <v>64.889738399999999</v>
      </c>
      <c r="AB76" s="1617"/>
      <c r="AC76" s="1617"/>
      <c r="AD76" s="1617"/>
      <c r="AE76" s="1617"/>
      <c r="AF76" s="1617">
        <v>35.207210000000003</v>
      </c>
      <c r="AG76" s="1617">
        <v>0</v>
      </c>
      <c r="AH76" s="1554">
        <f t="shared" si="48"/>
        <v>54.950790250000004</v>
      </c>
      <c r="AI76" s="1622">
        <f t="shared" si="49"/>
        <v>12.262399900000048</v>
      </c>
      <c r="AJ76" s="1622">
        <f t="shared" si="60"/>
        <v>147.14879880000058</v>
      </c>
      <c r="AK76" s="1448">
        <f t="shared" si="42"/>
        <v>0.39556128709677574</v>
      </c>
      <c r="AL76" s="1431">
        <f t="shared" si="37"/>
        <v>103.59167979010419</v>
      </c>
    </row>
    <row r="77" spans="1:38" s="1444" customFormat="1" ht="21" hidden="1" customHeight="1">
      <c r="A77" s="1375"/>
      <c r="B77" s="1453" t="s">
        <v>3440</v>
      </c>
      <c r="C77" s="1365"/>
      <c r="D77" s="1365"/>
      <c r="E77" s="1451"/>
      <c r="F77" s="1454">
        <v>18</v>
      </c>
      <c r="G77" s="1367">
        <f t="shared" si="43"/>
        <v>189.46032905000001</v>
      </c>
      <c r="H77" s="1618">
        <f>66.13*1.39</f>
        <v>91.920699999999982</v>
      </c>
      <c r="I77" s="1367">
        <f t="shared" si="44"/>
        <v>72.068442000000019</v>
      </c>
      <c r="J77" s="1617"/>
      <c r="K77" s="1618">
        <f>1.45*1.39</f>
        <v>2.0154999999999998</v>
      </c>
      <c r="L77" s="1618">
        <f>0.498*1.39</f>
        <v>0.69221999999999995</v>
      </c>
      <c r="M77" s="1618">
        <f>130.336*1.39*30/100</f>
        <v>54.35011200000001</v>
      </c>
      <c r="N77" s="1619"/>
      <c r="O77" s="1619"/>
      <c r="P77" s="1617"/>
      <c r="Q77" s="1617"/>
      <c r="R77" s="1618">
        <f>9.899*1.39</f>
        <v>13.759609999999999</v>
      </c>
      <c r="S77" s="1618">
        <f>0.9*1.39</f>
        <v>1.2509999999999999</v>
      </c>
      <c r="T77" s="1554">
        <f t="shared" si="45"/>
        <v>25.471187049999994</v>
      </c>
      <c r="U77" s="1620">
        <f t="shared" si="46"/>
        <v>211.29193308500001</v>
      </c>
      <c r="V77" s="1617">
        <v>103.52520000000001</v>
      </c>
      <c r="W77" s="1617">
        <f t="shared" si="47"/>
        <v>78.902502999999996</v>
      </c>
      <c r="X77" s="1617"/>
      <c r="Y77" s="1617">
        <v>2.1604999999999999</v>
      </c>
      <c r="Z77" s="1617">
        <v>0.81622199999999989</v>
      </c>
      <c r="AA77" s="1617">
        <v>58.260192000000004</v>
      </c>
      <c r="AB77" s="1617"/>
      <c r="AC77" s="1617"/>
      <c r="AD77" s="1617"/>
      <c r="AE77" s="1617"/>
      <c r="AF77" s="1617">
        <v>16.324589</v>
      </c>
      <c r="AG77" s="1617">
        <v>1.341</v>
      </c>
      <c r="AH77" s="1554">
        <f t="shared" si="48"/>
        <v>28.864230084999999</v>
      </c>
      <c r="AI77" s="1622">
        <f t="shared" si="49"/>
        <v>21.831604034999998</v>
      </c>
      <c r="AJ77" s="1622">
        <f t="shared" si="60"/>
        <v>261.97924841999998</v>
      </c>
      <c r="AK77" s="1448">
        <f t="shared" si="42"/>
        <v>1.2128668908333333</v>
      </c>
      <c r="AL77" s="1431">
        <f t="shared" si="37"/>
        <v>111.52304767149353</v>
      </c>
    </row>
    <row r="78" spans="1:38" s="1444" customFormat="1" ht="21" hidden="1" customHeight="1">
      <c r="A78" s="1375"/>
      <c r="B78" s="1453" t="s">
        <v>2580</v>
      </c>
      <c r="C78" s="1365"/>
      <c r="D78" s="1365"/>
      <c r="E78" s="1451"/>
      <c r="F78" s="1454">
        <v>42</v>
      </c>
      <c r="G78" s="1367">
        <f t="shared" si="43"/>
        <v>514.89825599999995</v>
      </c>
      <c r="H78" s="1618">
        <f>159.81*1.39</f>
        <v>222.13589999999999</v>
      </c>
      <c r="I78" s="1367">
        <f t="shared" si="44"/>
        <v>230.90791199999998</v>
      </c>
      <c r="J78" s="1617"/>
      <c r="K78" s="1618">
        <f>4.05*1.39</f>
        <v>5.6294999999999993</v>
      </c>
      <c r="L78" s="1618">
        <f>0.587*1.39</f>
        <v>0.81592999999999993</v>
      </c>
      <c r="M78" s="1618">
        <f>179.244*1.39*70/100</f>
        <v>174.40441200000001</v>
      </c>
      <c r="N78" s="1619"/>
      <c r="O78" s="1619"/>
      <c r="P78" s="1617"/>
      <c r="Q78" s="1617"/>
      <c r="R78" s="1618">
        <f>24.913*1.39</f>
        <v>34.629069999999999</v>
      </c>
      <c r="S78" s="1618">
        <f>11.1*1.39</f>
        <v>15.428999999999998</v>
      </c>
      <c r="T78" s="1554">
        <f t="shared" si="45"/>
        <v>61.854443999999994</v>
      </c>
      <c r="U78" s="1620">
        <f t="shared" si="46"/>
        <v>563.65753104999999</v>
      </c>
      <c r="V78" s="1617">
        <v>243.40640000000002</v>
      </c>
      <c r="W78" s="1617">
        <f t="shared" si="47"/>
        <v>251.717322</v>
      </c>
      <c r="X78" s="1617"/>
      <c r="Y78" s="1617">
        <v>6.0344999999999995</v>
      </c>
      <c r="Z78" s="1617">
        <v>1.4214599999999999</v>
      </c>
      <c r="AA78" s="1617">
        <v>186.951492</v>
      </c>
      <c r="AB78" s="1617"/>
      <c r="AC78" s="1617"/>
      <c r="AD78" s="1617"/>
      <c r="AE78" s="1617"/>
      <c r="AF78" s="1617">
        <v>40.770870000000002</v>
      </c>
      <c r="AG78" s="1617">
        <v>16.538999999999998</v>
      </c>
      <c r="AH78" s="1554">
        <f t="shared" si="48"/>
        <v>68.533809050000002</v>
      </c>
      <c r="AI78" s="1622">
        <f t="shared" si="49"/>
        <v>48.759275050000042</v>
      </c>
      <c r="AJ78" s="1622">
        <f t="shared" si="60"/>
        <v>585.1113006000005</v>
      </c>
      <c r="AK78" s="1448">
        <f t="shared" si="42"/>
        <v>1.1609351202380962</v>
      </c>
      <c r="AL78" s="1431">
        <f t="shared" si="37"/>
        <v>109.46969124129254</v>
      </c>
    </row>
    <row r="79" spans="1:38" s="1444" customFormat="1" ht="21" hidden="1" customHeight="1">
      <c r="A79" s="1375"/>
      <c r="B79" s="1453" t="s">
        <v>2581</v>
      </c>
      <c r="C79" s="1365"/>
      <c r="D79" s="1365"/>
      <c r="E79" s="1451"/>
      <c r="F79" s="1454">
        <v>42</v>
      </c>
      <c r="G79" s="1367">
        <f t="shared" si="43"/>
        <v>464.65718555000001</v>
      </c>
      <c r="H79" s="1618">
        <f>147.63*1.39</f>
        <v>205.20569999999998</v>
      </c>
      <c r="I79" s="1367">
        <f t="shared" si="44"/>
        <v>203.20660200000003</v>
      </c>
      <c r="J79" s="1617"/>
      <c r="K79" s="1618">
        <f>4.2*1.39</f>
        <v>5.8380000000000001</v>
      </c>
      <c r="L79" s="1618">
        <f>0.747*1.39</f>
        <v>1.03833</v>
      </c>
      <c r="M79" s="1618">
        <f>156.264*1.39*70/100</f>
        <v>152.04487200000003</v>
      </c>
      <c r="N79" s="1619"/>
      <c r="O79" s="1619"/>
      <c r="P79" s="1617"/>
      <c r="Q79" s="1617"/>
      <c r="R79" s="1618">
        <f>19.61*1.39</f>
        <v>27.257899999999996</v>
      </c>
      <c r="S79" s="1618">
        <f>12.25*1.39</f>
        <v>17.0275</v>
      </c>
      <c r="T79" s="1554">
        <f t="shared" si="45"/>
        <v>56.24488354999999</v>
      </c>
      <c r="U79" s="1620">
        <f t="shared" si="46"/>
        <v>506.98656560000001</v>
      </c>
      <c r="V79" s="1617">
        <v>224.93040000000002</v>
      </c>
      <c r="W79" s="1617">
        <f t="shared" si="47"/>
        <v>220.07121200000003</v>
      </c>
      <c r="X79" s="1617"/>
      <c r="Y79" s="1617">
        <v>6.258</v>
      </c>
      <c r="Z79" s="1617">
        <v>1.0388280000000001</v>
      </c>
      <c r="AA79" s="1617">
        <v>162.98335200000002</v>
      </c>
      <c r="AB79" s="1617"/>
      <c r="AC79" s="1617"/>
      <c r="AD79" s="1617"/>
      <c r="AE79" s="1617"/>
      <c r="AF79" s="1617">
        <v>31.538531999999996</v>
      </c>
      <c r="AG79" s="1617">
        <v>18.252500000000001</v>
      </c>
      <c r="AH79" s="1554">
        <f t="shared" si="48"/>
        <v>61.984953599999997</v>
      </c>
      <c r="AI79" s="1622">
        <f t="shared" si="49"/>
        <v>42.329380049999997</v>
      </c>
      <c r="AJ79" s="1622">
        <f t="shared" si="60"/>
        <v>507.95256059999997</v>
      </c>
      <c r="AK79" s="1448">
        <f t="shared" si="42"/>
        <v>1.007842382142857</v>
      </c>
      <c r="AL79" s="1431">
        <f t="shared" si="37"/>
        <v>109.10980855701091</v>
      </c>
    </row>
    <row r="80" spans="1:38" s="1444" customFormat="1" ht="21" hidden="1" customHeight="1">
      <c r="A80" s="1375"/>
      <c r="B80" s="1453" t="s">
        <v>2582</v>
      </c>
      <c r="C80" s="1365"/>
      <c r="D80" s="1365"/>
      <c r="E80" s="1451"/>
      <c r="F80" s="1454">
        <v>47</v>
      </c>
      <c r="G80" s="1367">
        <f t="shared" si="43"/>
        <v>540.9776167</v>
      </c>
      <c r="H80" s="1618">
        <f>195.44*1.39</f>
        <v>271.66159999999996</v>
      </c>
      <c r="I80" s="1367">
        <f t="shared" si="44"/>
        <v>192.612717</v>
      </c>
      <c r="J80" s="1617"/>
      <c r="K80" s="1618">
        <f>4.75*1.39</f>
        <v>6.6024999999999991</v>
      </c>
      <c r="L80" s="1618">
        <f>3.487*1.39</f>
        <v>4.8469299999999995</v>
      </c>
      <c r="M80" s="1618">
        <f>122.989*1.39*70/100</f>
        <v>119.668297</v>
      </c>
      <c r="N80" s="1619"/>
      <c r="O80" s="1619"/>
      <c r="P80" s="1617"/>
      <c r="Q80" s="1617"/>
      <c r="R80" s="1618">
        <f>31.141*1.39</f>
        <v>43.285989999999991</v>
      </c>
      <c r="S80" s="1618">
        <f>13.1*1.39</f>
        <v>18.209</v>
      </c>
      <c r="T80" s="1554">
        <f t="shared" si="45"/>
        <v>76.703299699999988</v>
      </c>
      <c r="U80" s="1620">
        <f t="shared" si="46"/>
        <v>572.1197625499999</v>
      </c>
      <c r="V80" s="1617">
        <v>283.77049999999997</v>
      </c>
      <c r="W80" s="1617">
        <f t="shared" si="47"/>
        <v>207.45165700000001</v>
      </c>
      <c r="X80" s="1617"/>
      <c r="Y80" s="1617">
        <v>6.258</v>
      </c>
      <c r="Z80" s="1617">
        <v>3.9321099999999998</v>
      </c>
      <c r="AA80" s="1617">
        <v>128.27752700000002</v>
      </c>
      <c r="AB80" s="1617"/>
      <c r="AC80" s="1617"/>
      <c r="AD80" s="1617"/>
      <c r="AE80" s="1617"/>
      <c r="AF80" s="1617">
        <v>50.284519999999993</v>
      </c>
      <c r="AG80" s="1617">
        <v>18.6995</v>
      </c>
      <c r="AH80" s="1554">
        <f t="shared" si="48"/>
        <v>80.89760554999998</v>
      </c>
      <c r="AI80" s="1622">
        <f t="shared" si="49"/>
        <v>31.142145849999906</v>
      </c>
      <c r="AJ80" s="1622">
        <f t="shared" si="60"/>
        <v>373.70575019999887</v>
      </c>
      <c r="AK80" s="1448">
        <f t="shared" si="42"/>
        <v>0.66259884787233847</v>
      </c>
      <c r="AL80" s="1431">
        <f t="shared" si="37"/>
        <v>105.75664221377015</v>
      </c>
    </row>
    <row r="81" spans="1:38" s="1444" customFormat="1" ht="21" hidden="1" customHeight="1">
      <c r="A81" s="1375"/>
      <c r="B81" s="1453" t="s">
        <v>2583</v>
      </c>
      <c r="C81" s="1365"/>
      <c r="D81" s="1365"/>
      <c r="E81" s="1451"/>
      <c r="F81" s="1454">
        <v>17</v>
      </c>
      <c r="G81" s="1367">
        <f t="shared" si="43"/>
        <v>197.23753194999998</v>
      </c>
      <c r="H81" s="1618">
        <f>61.23*1.39</f>
        <v>85.109699999999989</v>
      </c>
      <c r="I81" s="1367">
        <f t="shared" si="44"/>
        <v>88.528349399999982</v>
      </c>
      <c r="J81" s="1617"/>
      <c r="K81" s="1618">
        <f>2*1.39</f>
        <v>2.78</v>
      </c>
      <c r="L81" s="1618">
        <f>0.796*1.39</f>
        <v>1.1064400000000001</v>
      </c>
      <c r="M81" s="1618">
        <f>68.8178*1.39*70/100</f>
        <v>66.959719399999997</v>
      </c>
      <c r="N81" s="1619"/>
      <c r="O81" s="1619"/>
      <c r="P81" s="1617"/>
      <c r="Q81" s="1617"/>
      <c r="R81" s="1618">
        <f>8.221*1.39</f>
        <v>11.42719</v>
      </c>
      <c r="S81" s="1618">
        <f>4.5*1.39</f>
        <v>6.2549999999999999</v>
      </c>
      <c r="T81" s="1554">
        <f t="shared" si="45"/>
        <v>23.599482549999998</v>
      </c>
      <c r="U81" s="1620">
        <f t="shared" si="46"/>
        <v>218.66643254999997</v>
      </c>
      <c r="V81" s="1617">
        <v>95.672899999999984</v>
      </c>
      <c r="W81" s="1617">
        <f t="shared" si="47"/>
        <v>96.318755399999986</v>
      </c>
      <c r="X81" s="1617"/>
      <c r="Y81" s="1617">
        <v>2.98</v>
      </c>
      <c r="Z81" s="1617">
        <v>1.33504</v>
      </c>
      <c r="AA81" s="1617">
        <v>71.776965399999995</v>
      </c>
      <c r="AB81" s="1617"/>
      <c r="AC81" s="1617"/>
      <c r="AD81" s="1617"/>
      <c r="AE81" s="1617"/>
      <c r="AF81" s="1617">
        <v>13.521749999999999</v>
      </c>
      <c r="AG81" s="1617">
        <v>6.7050000000000001</v>
      </c>
      <c r="AH81" s="1554">
        <f t="shared" si="48"/>
        <v>26.674777149999997</v>
      </c>
      <c r="AI81" s="1622">
        <f t="shared" si="49"/>
        <v>21.428900599999992</v>
      </c>
      <c r="AJ81" s="1622">
        <f t="shared" si="60"/>
        <v>257.1468071999999</v>
      </c>
      <c r="AK81" s="1448">
        <f t="shared" si="42"/>
        <v>1.2605235647058819</v>
      </c>
      <c r="AL81" s="1431">
        <f t="shared" si="37"/>
        <v>110.86451467331899</v>
      </c>
    </row>
    <row r="82" spans="1:38" s="1444" customFormat="1" ht="21" hidden="1" customHeight="1">
      <c r="A82" s="1375"/>
      <c r="B82" s="1453" t="s">
        <v>2584</v>
      </c>
      <c r="C82" s="1365"/>
      <c r="D82" s="1365"/>
      <c r="E82" s="1451"/>
      <c r="F82" s="1452">
        <v>62</v>
      </c>
      <c r="G82" s="1367">
        <f t="shared" si="43"/>
        <v>613.60362939999993</v>
      </c>
      <c r="H82" s="1618">
        <f>250.12*1.39</f>
        <v>347.66679999999997</v>
      </c>
      <c r="I82" s="1367">
        <f t="shared" si="44"/>
        <v>169.25626899999997</v>
      </c>
      <c r="J82" s="1617"/>
      <c r="K82" s="1618">
        <f>3.7*1.39</f>
        <v>5.1429999999999998</v>
      </c>
      <c r="L82" s="1618">
        <f>1.345*1.39</f>
        <v>1.8695499999999998</v>
      </c>
      <c r="M82" s="1618">
        <f>250.537*1.39*30/100</f>
        <v>104.47392899999998</v>
      </c>
      <c r="N82" s="1619"/>
      <c r="O82" s="1619"/>
      <c r="P82" s="1617"/>
      <c r="Q82" s="1617"/>
      <c r="R82" s="1618">
        <f>40.811*1.39</f>
        <v>56.727289999999996</v>
      </c>
      <c r="S82" s="1618">
        <f>0.75*1.39</f>
        <v>1.0425</v>
      </c>
      <c r="T82" s="1554">
        <f t="shared" si="45"/>
        <v>96.680560399999976</v>
      </c>
      <c r="U82" s="1620">
        <f t="shared" si="46"/>
        <v>655.66556745000003</v>
      </c>
      <c r="V82" s="1617">
        <v>370.8014</v>
      </c>
      <c r="W82" s="1617">
        <f t="shared" si="47"/>
        <v>181.66690900000003</v>
      </c>
      <c r="X82" s="1617"/>
      <c r="Y82" s="1617">
        <v>5.2894999999999994</v>
      </c>
      <c r="Z82" s="1617">
        <v>1.26203</v>
      </c>
      <c r="AA82" s="1617">
        <v>111.99003900000001</v>
      </c>
      <c r="AB82" s="1617"/>
      <c r="AC82" s="1617"/>
      <c r="AD82" s="1617"/>
      <c r="AE82" s="1617"/>
      <c r="AF82" s="1617">
        <v>61.78434</v>
      </c>
      <c r="AG82" s="1617">
        <v>1.341</v>
      </c>
      <c r="AH82" s="1554">
        <f t="shared" si="48"/>
        <v>103.19725844999998</v>
      </c>
      <c r="AI82" s="1622">
        <f t="shared" si="49"/>
        <v>42.061938050000094</v>
      </c>
      <c r="AJ82" s="1622">
        <f t="shared" si="60"/>
        <v>504.74325660000113</v>
      </c>
      <c r="AK82" s="1448">
        <f t="shared" si="42"/>
        <v>0.67841835564516284</v>
      </c>
      <c r="AL82" s="1431">
        <f t="shared" si="37"/>
        <v>106.85490372524842</v>
      </c>
    </row>
    <row r="83" spans="1:38" s="1444" customFormat="1" ht="20.25" hidden="1" customHeight="1">
      <c r="A83" s="1375"/>
      <c r="B83" s="1453" t="s">
        <v>2585</v>
      </c>
      <c r="C83" s="1365"/>
      <c r="D83" s="1365"/>
      <c r="E83" s="1451"/>
      <c r="F83" s="1452">
        <v>65</v>
      </c>
      <c r="G83" s="1367">
        <f t="shared" si="43"/>
        <v>1023.5406410999999</v>
      </c>
      <c r="H83" s="1623">
        <f>249.83*1.39</f>
        <v>347.26369999999997</v>
      </c>
      <c r="I83" s="1367">
        <f t="shared" si="44"/>
        <v>580.27646599999991</v>
      </c>
      <c r="J83" s="1617"/>
      <c r="K83" s="1623">
        <f>3.8*1.39</f>
        <v>5.2819999999999991</v>
      </c>
      <c r="L83" s="1623">
        <f>1.245*1.39</f>
        <v>1.73055</v>
      </c>
      <c r="M83" s="1623">
        <f>250.847*1.39*70/100</f>
        <v>244.07413099999997</v>
      </c>
      <c r="N83" s="1619">
        <f>(H83+K83+L83)*70/100</f>
        <v>247.99337499999999</v>
      </c>
      <c r="O83" s="1619">
        <v>26.96</v>
      </c>
      <c r="P83" s="1617"/>
      <c r="Q83" s="1617"/>
      <c r="R83" s="1623">
        <f>39.019*1.39</f>
        <v>54.236409999999992</v>
      </c>
      <c r="S83" s="1623">
        <v>0</v>
      </c>
      <c r="T83" s="1554">
        <f t="shared" si="45"/>
        <v>96.000475099999974</v>
      </c>
      <c r="U83" s="1620">
        <f t="shared" si="46"/>
        <v>1110.0163449500001</v>
      </c>
      <c r="V83" s="1617">
        <v>375.0181</v>
      </c>
      <c r="W83" s="1617">
        <f t="shared" si="47"/>
        <v>631.44033200000013</v>
      </c>
      <c r="X83" s="1617"/>
      <c r="Y83" s="1617">
        <v>5.6619999999999999</v>
      </c>
      <c r="Z83" s="1617">
        <v>1.03853</v>
      </c>
      <c r="AA83" s="1617">
        <v>261.633421</v>
      </c>
      <c r="AB83" s="1617">
        <v>267.20304099999998</v>
      </c>
      <c r="AC83" s="1617">
        <v>36.950000000000003</v>
      </c>
      <c r="AD83" s="1617"/>
      <c r="AE83" s="1617"/>
      <c r="AF83" s="1617">
        <v>58.953340000000004</v>
      </c>
      <c r="AG83" s="1617">
        <v>0</v>
      </c>
      <c r="AH83" s="1554">
        <f t="shared" si="48"/>
        <v>103.55791294999999</v>
      </c>
      <c r="AI83" s="1622">
        <f t="shared" si="49"/>
        <v>86.475703850000173</v>
      </c>
      <c r="AJ83" s="1622">
        <f t="shared" si="60"/>
        <v>1037.7084462000021</v>
      </c>
      <c r="AK83" s="1448">
        <f t="shared" si="42"/>
        <v>1.3303954438461565</v>
      </c>
      <c r="AL83" s="1431">
        <f t="shared" si="37"/>
        <v>108.44868297140255</v>
      </c>
    </row>
    <row r="84" spans="1:38" s="1444" customFormat="1" ht="21" hidden="1" customHeight="1">
      <c r="A84" s="1375"/>
      <c r="B84" s="1453" t="s">
        <v>2586</v>
      </c>
      <c r="C84" s="1365"/>
      <c r="D84" s="1365"/>
      <c r="E84" s="1451"/>
      <c r="F84" s="1452">
        <v>43</v>
      </c>
      <c r="G84" s="1367">
        <f t="shared" si="43"/>
        <v>643.85160089999999</v>
      </c>
      <c r="H84" s="1618">
        <f>152.81*1.39</f>
        <v>212.40589999999997</v>
      </c>
      <c r="I84" s="1367">
        <f t="shared" si="44"/>
        <v>373.89454399999994</v>
      </c>
      <c r="J84" s="1617"/>
      <c r="K84" s="1618">
        <f>2.55*1.39</f>
        <v>3.5444999999999993</v>
      </c>
      <c r="L84" s="1618">
        <f>0.498*1.39</f>
        <v>0.69221999999999995</v>
      </c>
      <c r="M84" s="1618">
        <f>159.59*1.39*70/100</f>
        <v>155.28107</v>
      </c>
      <c r="N84" s="1619">
        <f>(H84+K84+L84)*70/100</f>
        <v>151.64983399999997</v>
      </c>
      <c r="O84" s="1619">
        <v>33.22</v>
      </c>
      <c r="P84" s="1617"/>
      <c r="Q84" s="1617"/>
      <c r="R84" s="1618">
        <f>20.328*1.39</f>
        <v>28.255919999999996</v>
      </c>
      <c r="S84" s="1618">
        <f t="shared" ref="S84:S86" si="61">0.9*1.39</f>
        <v>1.2509999999999999</v>
      </c>
      <c r="T84" s="1554">
        <f t="shared" si="45"/>
        <v>57.551156899999988</v>
      </c>
      <c r="U84" s="1620">
        <f t="shared" si="46"/>
        <v>723.89655870000001</v>
      </c>
      <c r="V84" s="1617">
        <v>240.79890000000003</v>
      </c>
      <c r="W84" s="1617">
        <f t="shared" si="47"/>
        <v>417.52927</v>
      </c>
      <c r="X84" s="1617"/>
      <c r="Y84" s="1617">
        <v>4.5444999999999993</v>
      </c>
      <c r="Z84" s="1617">
        <v>0</v>
      </c>
      <c r="AA84" s="1617">
        <v>166.45237</v>
      </c>
      <c r="AB84" s="1617">
        <v>171.74038000000002</v>
      </c>
      <c r="AC84" s="1617">
        <v>39.78</v>
      </c>
      <c r="AD84" s="1617"/>
      <c r="AE84" s="1617"/>
      <c r="AF84" s="1617">
        <v>33.671019999999999</v>
      </c>
      <c r="AG84" s="1617">
        <v>1.341</v>
      </c>
      <c r="AH84" s="1554">
        <f t="shared" si="48"/>
        <v>65.5683887</v>
      </c>
      <c r="AI84" s="1622">
        <f t="shared" si="49"/>
        <v>80.04495780000002</v>
      </c>
      <c r="AJ84" s="1622">
        <f t="shared" si="60"/>
        <v>960.53949360000024</v>
      </c>
      <c r="AK84" s="1448">
        <f t="shared" si="42"/>
        <v>1.8615106465116285</v>
      </c>
      <c r="AL84" s="1431">
        <f t="shared" si="37"/>
        <v>112.4322060686205</v>
      </c>
    </row>
    <row r="85" spans="1:38" s="1444" customFormat="1" ht="21" hidden="1" customHeight="1">
      <c r="A85" s="1375"/>
      <c r="B85" s="1453" t="s">
        <v>2587</v>
      </c>
      <c r="C85" s="1365"/>
      <c r="D85" s="1365"/>
      <c r="E85" s="1451"/>
      <c r="F85" s="1452">
        <v>50</v>
      </c>
      <c r="G85" s="1367">
        <f t="shared" si="43"/>
        <v>798.15562199999977</v>
      </c>
      <c r="H85" s="1618">
        <f>187.29*1.39</f>
        <v>260.33309999999994</v>
      </c>
      <c r="I85" s="1367">
        <f t="shared" si="44"/>
        <v>466.69121799999988</v>
      </c>
      <c r="J85" s="1617"/>
      <c r="K85" s="1618">
        <f>3.2*1.39</f>
        <v>4.4479999999999995</v>
      </c>
      <c r="L85" s="1618">
        <f>0.498*1.39</f>
        <v>0.69221999999999995</v>
      </c>
      <c r="M85" s="1618">
        <f>198.978*1.39*70/100</f>
        <v>193.605594</v>
      </c>
      <c r="N85" s="1619">
        <f>(H85+K85+L85)*70/100</f>
        <v>185.83132399999994</v>
      </c>
      <c r="O85" s="1619">
        <v>43.65</v>
      </c>
      <c r="P85" s="1617"/>
      <c r="Q85" s="1617"/>
      <c r="R85" s="1618">
        <f>26.772*1.39</f>
        <v>37.213079999999998</v>
      </c>
      <c r="S85" s="1618">
        <f t="shared" si="61"/>
        <v>1.2509999999999999</v>
      </c>
      <c r="T85" s="1554">
        <f t="shared" si="45"/>
        <v>71.131303999999986</v>
      </c>
      <c r="U85" s="1620">
        <f t="shared" si="46"/>
        <v>887.58024154999998</v>
      </c>
      <c r="V85" s="1617">
        <v>290.89269999999999</v>
      </c>
      <c r="W85" s="1617">
        <f t="shared" si="47"/>
        <v>516.72833800000001</v>
      </c>
      <c r="X85" s="1617"/>
      <c r="Y85" s="1617">
        <v>4.7679999999999998</v>
      </c>
      <c r="Z85" s="1617">
        <v>0.81652000000000002</v>
      </c>
      <c r="AA85" s="1617">
        <v>207.534054</v>
      </c>
      <c r="AB85" s="1617">
        <v>207.534054</v>
      </c>
      <c r="AC85" s="1617">
        <v>50.96</v>
      </c>
      <c r="AD85" s="1617"/>
      <c r="AE85" s="1617"/>
      <c r="AF85" s="1617">
        <v>43.774709999999999</v>
      </c>
      <c r="AG85" s="1617">
        <v>1.341</v>
      </c>
      <c r="AH85" s="1554">
        <f t="shared" si="48"/>
        <v>79.959203549999998</v>
      </c>
      <c r="AI85" s="1622">
        <f t="shared" si="49"/>
        <v>89.424619550000216</v>
      </c>
      <c r="AJ85" s="1622">
        <f t="shared" si="60"/>
        <v>1073.0954346000026</v>
      </c>
      <c r="AK85" s="1448">
        <f t="shared" si="42"/>
        <v>1.7884923910000043</v>
      </c>
      <c r="AL85" s="1431">
        <f t="shared" si="37"/>
        <v>111.20390774494855</v>
      </c>
    </row>
    <row r="86" spans="1:38" s="1444" customFormat="1" ht="21" hidden="1" customHeight="1">
      <c r="A86" s="1375"/>
      <c r="B86" s="1453" t="s">
        <v>2588</v>
      </c>
      <c r="C86" s="1365"/>
      <c r="D86" s="1365"/>
      <c r="E86" s="1451"/>
      <c r="F86" s="1452">
        <v>46</v>
      </c>
      <c r="G86" s="1367">
        <f t="shared" si="43"/>
        <v>766.8174451499998</v>
      </c>
      <c r="H86" s="1618">
        <f>182.88*1.39</f>
        <v>254.20319999999998</v>
      </c>
      <c r="I86" s="1367">
        <f t="shared" si="44"/>
        <v>441.61000799999988</v>
      </c>
      <c r="J86" s="1617"/>
      <c r="K86" s="1618">
        <f>2.6*1.39</f>
        <v>3.6139999999999999</v>
      </c>
      <c r="L86" s="1618">
        <f>1.844*1.39</f>
        <v>2.5631599999999999</v>
      </c>
      <c r="M86" s="1618">
        <f>187.842*1.39*70/100</f>
        <v>182.77026599999996</v>
      </c>
      <c r="N86" s="1619">
        <f>(H86+K86+L86)*70/100</f>
        <v>182.26625199999995</v>
      </c>
      <c r="O86" s="1619">
        <v>27.38</v>
      </c>
      <c r="P86" s="1617"/>
      <c r="Q86" s="1617"/>
      <c r="R86" s="1618">
        <f>30.047*1.39</f>
        <v>41.765329999999999</v>
      </c>
      <c r="S86" s="1618">
        <f t="shared" si="61"/>
        <v>1.2509999999999999</v>
      </c>
      <c r="T86" s="1554">
        <f t="shared" si="45"/>
        <v>71.00423714999998</v>
      </c>
      <c r="U86" s="1620">
        <f t="shared" si="46"/>
        <v>854.47239568500015</v>
      </c>
      <c r="V86" s="1617">
        <v>280.89480000000003</v>
      </c>
      <c r="W86" s="1617">
        <f t="shared" si="47"/>
        <v>494.47244300000011</v>
      </c>
      <c r="X86" s="1617"/>
      <c r="Y86" s="1617">
        <v>3.8740000000000001</v>
      </c>
      <c r="Z86" s="1617">
        <v>2.74458</v>
      </c>
      <c r="AA86" s="1617">
        <v>195.919206</v>
      </c>
      <c r="AB86" s="1617">
        <v>201.25936600000006</v>
      </c>
      <c r="AC86" s="1617">
        <v>40.229999999999997</v>
      </c>
      <c r="AD86" s="1617"/>
      <c r="AE86" s="1617"/>
      <c r="AF86" s="1617">
        <v>49.104290999999996</v>
      </c>
      <c r="AG86" s="1617">
        <v>1.341</v>
      </c>
      <c r="AH86" s="1554">
        <f t="shared" si="48"/>
        <v>79.105152685000007</v>
      </c>
      <c r="AI86" s="1622">
        <f t="shared" si="49"/>
        <v>87.654950535000353</v>
      </c>
      <c r="AJ86" s="1622">
        <f t="shared" si="60"/>
        <v>1051.8594064200042</v>
      </c>
      <c r="AK86" s="1448">
        <f t="shared" si="42"/>
        <v>1.9055424029347903</v>
      </c>
      <c r="AL86" s="1431">
        <f t="shared" si="37"/>
        <v>111.43100630918144</v>
      </c>
    </row>
    <row r="87" spans="1:38" s="1444" customFormat="1" ht="21" hidden="1" customHeight="1">
      <c r="A87" s="1375"/>
      <c r="B87" s="764" t="s">
        <v>2589</v>
      </c>
      <c r="C87" s="1455">
        <f t="shared" ref="C87" si="62">D87+E87</f>
        <v>0</v>
      </c>
      <c r="D87" s="1455"/>
      <c r="E87" s="1455"/>
      <c r="F87" s="1456">
        <v>10</v>
      </c>
      <c r="G87" s="1624">
        <f t="shared" si="43"/>
        <v>68.616757859999993</v>
      </c>
      <c r="H87" s="1624">
        <f>37.64*1.39</f>
        <v>52.319599999999994</v>
      </c>
      <c r="I87" s="1624">
        <f t="shared" si="44"/>
        <v>3.3198759999999998</v>
      </c>
      <c r="J87" s="1625"/>
      <c r="K87" s="1624">
        <f>1.45*1.39</f>
        <v>2.0154999999999998</v>
      </c>
      <c r="L87" s="1624">
        <f>0.6384*1.39</f>
        <v>0.88737599999999994</v>
      </c>
      <c r="M87" s="1624"/>
      <c r="N87" s="1365"/>
      <c r="O87" s="1365"/>
      <c r="P87" s="1365"/>
      <c r="Q87" s="1365"/>
      <c r="R87" s="1624"/>
      <c r="S87" s="1624">
        <f>0.3*1.39</f>
        <v>0.41699999999999998</v>
      </c>
      <c r="T87" s="1624">
        <f>(H87+K87+L87+R87)*23.5/100</f>
        <v>12.97728186</v>
      </c>
      <c r="U87" s="1624">
        <f t="shared" si="46"/>
        <v>73.553215259999988</v>
      </c>
      <c r="V87" s="1624">
        <f>37.64*1.49</f>
        <v>56.083599999999997</v>
      </c>
      <c r="W87" s="1624">
        <f t="shared" si="47"/>
        <v>3.558716</v>
      </c>
      <c r="X87" s="1625"/>
      <c r="Y87" s="1624">
        <f>1.45*1.49</f>
        <v>2.1604999999999999</v>
      </c>
      <c r="Z87" s="1624">
        <f>0.6384*1.49</f>
        <v>0.95121599999999995</v>
      </c>
      <c r="AA87" s="1624"/>
      <c r="AB87" s="1365"/>
      <c r="AC87" s="1365"/>
      <c r="AD87" s="1365"/>
      <c r="AE87" s="1365"/>
      <c r="AF87" s="1624"/>
      <c r="AG87" s="1624">
        <f>0.3*1.49</f>
        <v>0.44700000000000001</v>
      </c>
      <c r="AH87" s="1624">
        <f>(V87+Y87+Z87+AF87)*23.5/100</f>
        <v>13.910899259999999</v>
      </c>
      <c r="AI87" s="1621">
        <f t="shared" si="49"/>
        <v>4.9364573999999948</v>
      </c>
      <c r="AJ87" s="1622">
        <f t="shared" si="60"/>
        <v>59.237488799999937</v>
      </c>
      <c r="AK87" s="1448">
        <f t="shared" si="42"/>
        <v>0.4936457399999995</v>
      </c>
      <c r="AL87" s="1431">
        <f t="shared" si="37"/>
        <v>107.19424460431655</v>
      </c>
    </row>
    <row r="88" spans="1:38" s="1444" customFormat="1" ht="21" hidden="1" customHeight="1">
      <c r="A88" s="1375">
        <v>2</v>
      </c>
      <c r="B88" s="764" t="s">
        <v>2590</v>
      </c>
      <c r="C88" s="1455">
        <v>118</v>
      </c>
      <c r="D88" s="1455"/>
      <c r="E88" s="1455"/>
      <c r="F88" s="1455">
        <v>113</v>
      </c>
      <c r="G88" s="1620">
        <f t="shared" si="43"/>
        <v>780.76651947999983</v>
      </c>
      <c r="H88" s="1617">
        <f>327.56*1.39</f>
        <v>455.30839999999995</v>
      </c>
      <c r="I88" s="1620">
        <f t="shared" si="44"/>
        <v>206.48199799999998</v>
      </c>
      <c r="J88" s="1617"/>
      <c r="K88" s="1617">
        <f>5.25*1.39</f>
        <v>7.2974999999999994</v>
      </c>
      <c r="L88" s="1617">
        <f>(0.996)*1.39</f>
        <v>1.3844399999999999</v>
      </c>
      <c r="M88" s="1617">
        <f>110.677*1.39</f>
        <v>153.84102999999999</v>
      </c>
      <c r="N88" s="1617"/>
      <c r="O88" s="1617"/>
      <c r="P88" s="1617"/>
      <c r="Q88" s="1617"/>
      <c r="R88" s="1617">
        <f>(30.4252)*1.39</f>
        <v>42.291027999999997</v>
      </c>
      <c r="S88" s="1617">
        <f>1.2*1.39</f>
        <v>1.6679999999999999</v>
      </c>
      <c r="T88" s="1626">
        <f>(H88+K88+L88+R88)*23.5%</f>
        <v>118.97612147999997</v>
      </c>
      <c r="U88" s="1620">
        <f t="shared" si="46"/>
        <v>836.93677267999999</v>
      </c>
      <c r="V88" s="1617">
        <f>327.56*1.49</f>
        <v>488.06439999999998</v>
      </c>
      <c r="W88" s="1617">
        <f t="shared" si="47"/>
        <v>221.33681800000005</v>
      </c>
      <c r="X88" s="1617"/>
      <c r="Y88" s="1617">
        <f>5.25*1.49</f>
        <v>7.8224999999999998</v>
      </c>
      <c r="Z88" s="1617">
        <f>(0.996)*1.49</f>
        <v>1.48404</v>
      </c>
      <c r="AA88" s="1617">
        <f>110.677*1.49</f>
        <v>164.90873000000002</v>
      </c>
      <c r="AB88" s="1617"/>
      <c r="AC88" s="1617"/>
      <c r="AD88" s="1617"/>
      <c r="AE88" s="1617"/>
      <c r="AF88" s="1617">
        <f>(30.4252)*1.49</f>
        <v>45.333548</v>
      </c>
      <c r="AG88" s="1617">
        <f>1.2*1.49</f>
        <v>1.788</v>
      </c>
      <c r="AH88" s="1626">
        <f>(V88+Y88+Z88+AF88)*23.5%</f>
        <v>127.53555467999999</v>
      </c>
      <c r="AI88" s="1621">
        <f t="shared" si="49"/>
        <v>56.170253200000161</v>
      </c>
      <c r="AJ88" s="1622">
        <f t="shared" si="60"/>
        <v>674.04303840000193</v>
      </c>
      <c r="AK88" s="1448">
        <f t="shared" si="42"/>
        <v>0.49708188672566517</v>
      </c>
      <c r="AL88" s="1431">
        <f t="shared" si="37"/>
        <v>107.19424460431657</v>
      </c>
    </row>
    <row r="89" spans="1:38" s="1460" customFormat="1" ht="21" customHeight="1">
      <c r="A89" s="1457"/>
      <c r="B89" s="1458" t="s">
        <v>2529</v>
      </c>
      <c r="C89" s="1459">
        <f>C87</f>
        <v>0</v>
      </c>
      <c r="D89" s="1459">
        <f>D87</f>
        <v>0</v>
      </c>
      <c r="E89" s="1459">
        <f>E87</f>
        <v>0</v>
      </c>
      <c r="F89" s="1459">
        <f>F87</f>
        <v>10</v>
      </c>
      <c r="G89" s="1627">
        <f>G87</f>
        <v>68.616757859999993</v>
      </c>
      <c r="H89" s="1627">
        <f t="shared" ref="H89:AJ89" si="63">H87</f>
        <v>52.319599999999994</v>
      </c>
      <c r="I89" s="1627">
        <f t="shared" si="63"/>
        <v>3.3198759999999998</v>
      </c>
      <c r="J89" s="1627">
        <f t="shared" si="63"/>
        <v>0</v>
      </c>
      <c r="K89" s="1627">
        <f t="shared" si="63"/>
        <v>2.0154999999999998</v>
      </c>
      <c r="L89" s="1627">
        <f t="shared" si="63"/>
        <v>0.88737599999999994</v>
      </c>
      <c r="M89" s="1627">
        <f t="shared" si="63"/>
        <v>0</v>
      </c>
      <c r="N89" s="1627">
        <f t="shared" si="63"/>
        <v>0</v>
      </c>
      <c r="O89" s="1627">
        <f t="shared" si="63"/>
        <v>0</v>
      </c>
      <c r="P89" s="1627">
        <f t="shared" si="63"/>
        <v>0</v>
      </c>
      <c r="Q89" s="1627">
        <f t="shared" si="63"/>
        <v>0</v>
      </c>
      <c r="R89" s="1627">
        <f t="shared" si="63"/>
        <v>0</v>
      </c>
      <c r="S89" s="1627">
        <f t="shared" si="63"/>
        <v>0.41699999999999998</v>
      </c>
      <c r="T89" s="1627">
        <f t="shared" si="63"/>
        <v>12.97728186</v>
      </c>
      <c r="U89" s="1627">
        <f t="shared" si="63"/>
        <v>73.553215259999988</v>
      </c>
      <c r="V89" s="1627">
        <f t="shared" si="63"/>
        <v>56.083599999999997</v>
      </c>
      <c r="W89" s="1627">
        <f t="shared" si="63"/>
        <v>3.558716</v>
      </c>
      <c r="X89" s="1627">
        <f t="shared" si="63"/>
        <v>0</v>
      </c>
      <c r="Y89" s="1627">
        <f t="shared" si="63"/>
        <v>2.1604999999999999</v>
      </c>
      <c r="Z89" s="1627">
        <f t="shared" si="63"/>
        <v>0.95121599999999995</v>
      </c>
      <c r="AA89" s="1627">
        <f t="shared" si="63"/>
        <v>0</v>
      </c>
      <c r="AB89" s="1627">
        <f t="shared" si="63"/>
        <v>0</v>
      </c>
      <c r="AC89" s="1627">
        <f t="shared" si="63"/>
        <v>0</v>
      </c>
      <c r="AD89" s="1627">
        <f t="shared" si="63"/>
        <v>0</v>
      </c>
      <c r="AE89" s="1627">
        <f t="shared" si="63"/>
        <v>0</v>
      </c>
      <c r="AF89" s="1627">
        <f t="shared" si="63"/>
        <v>0</v>
      </c>
      <c r="AG89" s="1627">
        <f t="shared" si="63"/>
        <v>0.44700000000000001</v>
      </c>
      <c r="AH89" s="1627">
        <f t="shared" si="63"/>
        <v>13.910899259999999</v>
      </c>
      <c r="AI89" s="1627">
        <f t="shared" si="63"/>
        <v>4.9364573999999948</v>
      </c>
      <c r="AJ89" s="1627">
        <f t="shared" si="63"/>
        <v>59.237488799999937</v>
      </c>
      <c r="AK89" s="1448">
        <f t="shared" si="42"/>
        <v>0.4936457399999995</v>
      </c>
      <c r="AL89" s="1431">
        <f t="shared" si="37"/>
        <v>107.19424460431655</v>
      </c>
    </row>
    <row r="90" spans="1:38" s="1460" customFormat="1" ht="21" customHeight="1">
      <c r="A90" s="1456"/>
      <c r="B90" s="1449" t="s">
        <v>2491</v>
      </c>
      <c r="C90" s="560">
        <f>SUM(C91:C98)</f>
        <v>152</v>
      </c>
      <c r="D90" s="560">
        <f>SUM(D91:D98)</f>
        <v>5</v>
      </c>
      <c r="E90" s="560">
        <f t="shared" ref="E90:AJ90" si="64">SUM(E91:E98)</f>
        <v>0</v>
      </c>
      <c r="F90" s="560">
        <f t="shared" si="64"/>
        <v>1171</v>
      </c>
      <c r="G90" s="1617">
        <f t="shared" si="64"/>
        <v>8043.9791925000009</v>
      </c>
      <c r="H90" s="1617">
        <f t="shared" si="64"/>
        <v>5097.9184999999998</v>
      </c>
      <c r="I90" s="1617">
        <f t="shared" si="64"/>
        <v>1631.836</v>
      </c>
      <c r="J90" s="1617">
        <f t="shared" si="64"/>
        <v>0</v>
      </c>
      <c r="K90" s="1617">
        <f t="shared" si="64"/>
        <v>156.672</v>
      </c>
      <c r="L90" s="1617">
        <f t="shared" si="64"/>
        <v>6.8279999999999994</v>
      </c>
      <c r="M90" s="1617">
        <f t="shared" si="64"/>
        <v>1099.5639999999999</v>
      </c>
      <c r="N90" s="1617">
        <f t="shared" si="64"/>
        <v>10.6</v>
      </c>
      <c r="O90" s="1617">
        <f t="shared" si="64"/>
        <v>0</v>
      </c>
      <c r="P90" s="1617">
        <f t="shared" si="64"/>
        <v>0</v>
      </c>
      <c r="Q90" s="1617">
        <f t="shared" si="64"/>
        <v>0</v>
      </c>
      <c r="R90" s="1617">
        <f t="shared" si="64"/>
        <v>331.02700000000004</v>
      </c>
      <c r="S90" s="1617">
        <f t="shared" si="64"/>
        <v>27.145</v>
      </c>
      <c r="T90" s="1617">
        <f t="shared" si="64"/>
        <v>1314.2246924999999</v>
      </c>
      <c r="U90" s="1617">
        <f t="shared" si="64"/>
        <v>8620.9966175000009</v>
      </c>
      <c r="V90" s="1617">
        <f t="shared" si="64"/>
        <v>5463.4145000000008</v>
      </c>
      <c r="W90" s="1617">
        <f t="shared" si="64"/>
        <v>1749.133</v>
      </c>
      <c r="X90" s="1617">
        <f t="shared" si="64"/>
        <v>0</v>
      </c>
      <c r="Y90" s="1617">
        <f t="shared" si="64"/>
        <v>167.79199999999997</v>
      </c>
      <c r="Z90" s="1617">
        <f t="shared" si="64"/>
        <v>7.3140000000000001</v>
      </c>
      <c r="AA90" s="1617">
        <f t="shared" si="64"/>
        <v>1178.6689999999999</v>
      </c>
      <c r="AB90" s="1617">
        <f t="shared" si="64"/>
        <v>11.37</v>
      </c>
      <c r="AC90" s="1617">
        <f t="shared" si="64"/>
        <v>0</v>
      </c>
      <c r="AD90" s="1617">
        <f t="shared" si="64"/>
        <v>0</v>
      </c>
      <c r="AE90" s="1617">
        <f t="shared" si="64"/>
        <v>0</v>
      </c>
      <c r="AF90" s="1617">
        <f t="shared" si="64"/>
        <v>354.88</v>
      </c>
      <c r="AG90" s="1617">
        <f t="shared" si="64"/>
        <v>29.107999999999997</v>
      </c>
      <c r="AH90" s="1617">
        <f t="shared" si="64"/>
        <v>1408.4491174999998</v>
      </c>
      <c r="AI90" s="1617">
        <f t="shared" si="64"/>
        <v>577.01742500000034</v>
      </c>
      <c r="AJ90" s="1617">
        <f t="shared" si="64"/>
        <v>6924.2091000000028</v>
      </c>
      <c r="AK90" s="1448">
        <f t="shared" si="42"/>
        <v>0.49275612724167406</v>
      </c>
      <c r="AL90" s="1431">
        <f t="shared" si="37"/>
        <v>107.17328341100132</v>
      </c>
    </row>
    <row r="91" spans="1:38" s="1460" customFormat="1" ht="21" hidden="1" customHeight="1">
      <c r="A91" s="1456">
        <v>3</v>
      </c>
      <c r="B91" s="764" t="s">
        <v>2591</v>
      </c>
      <c r="C91" s="1365">
        <v>0</v>
      </c>
      <c r="D91" s="1365">
        <v>0</v>
      </c>
      <c r="E91" s="1451">
        <v>0</v>
      </c>
      <c r="F91" s="1365">
        <v>1025</v>
      </c>
      <c r="G91" s="1620">
        <v>6804.21072</v>
      </c>
      <c r="H91" s="1617">
        <v>4360.335</v>
      </c>
      <c r="I91" s="1620">
        <v>1324.441</v>
      </c>
      <c r="J91" s="1617">
        <v>0</v>
      </c>
      <c r="K91" s="1617">
        <v>130.38200000000001</v>
      </c>
      <c r="L91" s="1617">
        <v>6.4779999999999998</v>
      </c>
      <c r="M91" s="1617">
        <v>921.22399999999993</v>
      </c>
      <c r="N91" s="1617">
        <v>0</v>
      </c>
      <c r="O91" s="1617">
        <v>0</v>
      </c>
      <c r="P91" s="1617">
        <v>0</v>
      </c>
      <c r="Q91" s="1617">
        <v>0</v>
      </c>
      <c r="R91" s="1617">
        <v>266.35700000000003</v>
      </c>
      <c r="S91" s="1617">
        <v>0</v>
      </c>
      <c r="T91" s="1554">
        <v>1119.43472</v>
      </c>
      <c r="U91" s="1620">
        <v>7292.1764700000003</v>
      </c>
      <c r="V91" s="1617">
        <v>4672.7759999999998</v>
      </c>
      <c r="W91" s="1617">
        <v>1419.7249999999999</v>
      </c>
      <c r="X91" s="1617">
        <v>0</v>
      </c>
      <c r="Y91" s="1617">
        <v>139.76199999999997</v>
      </c>
      <c r="Z91" s="1617">
        <v>6.944</v>
      </c>
      <c r="AA91" s="1617">
        <v>987.49899999999991</v>
      </c>
      <c r="AB91" s="1617">
        <v>0</v>
      </c>
      <c r="AC91" s="1617">
        <v>0</v>
      </c>
      <c r="AD91" s="1617">
        <v>0</v>
      </c>
      <c r="AE91" s="1617">
        <v>0</v>
      </c>
      <c r="AF91" s="1617">
        <v>285.52</v>
      </c>
      <c r="AG91" s="1617">
        <v>0</v>
      </c>
      <c r="AH91" s="1554">
        <v>1199.6754699999999</v>
      </c>
      <c r="AI91" s="1621">
        <f t="shared" ref="AI91:AI99" si="65">U91-G91</f>
        <v>487.9657500000003</v>
      </c>
      <c r="AJ91" s="1621">
        <f>AI91*12</f>
        <v>5855.5890000000036</v>
      </c>
      <c r="AK91" s="1448">
        <f t="shared" si="42"/>
        <v>0.47606414634146371</v>
      </c>
      <c r="AL91" s="1431">
        <f t="shared" si="37"/>
        <v>107.17152613404073</v>
      </c>
    </row>
    <row r="92" spans="1:38" s="1460" customFormat="1" ht="21" hidden="1" customHeight="1">
      <c r="A92" s="1456">
        <v>4</v>
      </c>
      <c r="B92" s="764" t="s">
        <v>2592</v>
      </c>
      <c r="C92" s="1365">
        <v>49</v>
      </c>
      <c r="D92" s="1365"/>
      <c r="E92" s="1451"/>
      <c r="F92" s="1365">
        <v>43</v>
      </c>
      <c r="G92" s="1620">
        <f t="shared" ref="G92:G98" si="66">H92+I92+T92</f>
        <v>441.70265000000001</v>
      </c>
      <c r="H92" s="1617">
        <v>252.83</v>
      </c>
      <c r="I92" s="1620">
        <f t="shared" ref="I92:I98" si="67">SUM(J92:S92)</f>
        <v>121.00699999999999</v>
      </c>
      <c r="J92" s="1617"/>
      <c r="K92" s="1617">
        <v>10.29</v>
      </c>
      <c r="L92" s="1617"/>
      <c r="M92" s="1617">
        <v>84.63</v>
      </c>
      <c r="N92" s="1617"/>
      <c r="O92" s="1617"/>
      <c r="P92" s="1617"/>
      <c r="Q92" s="1617"/>
      <c r="R92" s="1617">
        <v>25.67</v>
      </c>
      <c r="S92" s="1617">
        <v>0.41699999999999998</v>
      </c>
      <c r="T92" s="1554">
        <f>(H92+K92+L92+R92)*23.5%</f>
        <v>67.865650000000002</v>
      </c>
      <c r="U92" s="1620">
        <f t="shared" ref="U92:U98" si="68">V92+W92+AH92</f>
        <v>473.47659999999996</v>
      </c>
      <c r="V92" s="1617">
        <v>271.02</v>
      </c>
      <c r="W92" s="1617">
        <f t="shared" ref="W92:W98" si="69">SUM(X92:AG92)</f>
        <v>129.70999999999998</v>
      </c>
      <c r="X92" s="1617"/>
      <c r="Y92" s="1617">
        <v>11.03</v>
      </c>
      <c r="Z92" s="1617"/>
      <c r="AA92" s="1617">
        <v>90.72</v>
      </c>
      <c r="AB92" s="1617"/>
      <c r="AC92" s="1617"/>
      <c r="AD92" s="1617"/>
      <c r="AE92" s="1617"/>
      <c r="AF92" s="1617">
        <v>27.51</v>
      </c>
      <c r="AG92" s="1617">
        <v>0.45</v>
      </c>
      <c r="AH92" s="1554">
        <f>(V92+Y92+Z92+AF92)*23.5%</f>
        <v>72.746599999999987</v>
      </c>
      <c r="AI92" s="1366">
        <f t="shared" si="65"/>
        <v>31.773949999999957</v>
      </c>
      <c r="AJ92" s="1621">
        <f t="shared" ref="AJ92:AJ98" si="70">AI92*12</f>
        <v>381.28739999999948</v>
      </c>
      <c r="AK92" s="1448">
        <f t="shared" si="42"/>
        <v>0.73892906976744088</v>
      </c>
      <c r="AL92" s="1431">
        <f t="shared" si="37"/>
        <v>107.19351581884328</v>
      </c>
    </row>
    <row r="93" spans="1:38" s="1460" customFormat="1" ht="36.75" hidden="1" customHeight="1">
      <c r="A93" s="1456">
        <v>5</v>
      </c>
      <c r="B93" s="764" t="s">
        <v>2593</v>
      </c>
      <c r="C93" s="1455">
        <v>0</v>
      </c>
      <c r="D93" s="1461"/>
      <c r="E93" s="1461"/>
      <c r="F93" s="1461"/>
      <c r="G93" s="1620">
        <f t="shared" si="66"/>
        <v>0</v>
      </c>
      <c r="H93" s="1624"/>
      <c r="I93" s="1620">
        <f t="shared" si="67"/>
        <v>0</v>
      </c>
      <c r="J93" s="1624"/>
      <c r="K93" s="1624"/>
      <c r="L93" s="1624"/>
      <c r="M93" s="1624"/>
      <c r="N93" s="1624"/>
      <c r="O93" s="1624"/>
      <c r="P93" s="1617"/>
      <c r="Q93" s="1617"/>
      <c r="R93" s="1624"/>
      <c r="S93" s="1624"/>
      <c r="T93" s="1621">
        <f>(H93+K93+L93+R93)*23.5%</f>
        <v>0</v>
      </c>
      <c r="U93" s="1620">
        <f t="shared" si="68"/>
        <v>0</v>
      </c>
      <c r="V93" s="1624"/>
      <c r="W93" s="1620">
        <f t="shared" si="69"/>
        <v>0</v>
      </c>
      <c r="X93" s="1620">
        <f>(J93/1.39)*1.49</f>
        <v>0</v>
      </c>
      <c r="Y93" s="1620"/>
      <c r="Z93" s="1620"/>
      <c r="AA93" s="1620"/>
      <c r="AB93" s="1620"/>
      <c r="AC93" s="1620"/>
      <c r="AD93" s="1620"/>
      <c r="AE93" s="1620"/>
      <c r="AF93" s="1620"/>
      <c r="AG93" s="1620"/>
      <c r="AH93" s="1620">
        <f>(V93+Y93+Z93+AF93)*23.5%</f>
        <v>0</v>
      </c>
      <c r="AI93" s="1621">
        <f t="shared" si="65"/>
        <v>0</v>
      </c>
      <c r="AJ93" s="1621">
        <f t="shared" si="70"/>
        <v>0</v>
      </c>
      <c r="AK93" s="1448" t="e">
        <f t="shared" si="42"/>
        <v>#DIV/0!</v>
      </c>
      <c r="AL93" s="1431" t="e">
        <f t="shared" si="37"/>
        <v>#DIV/0!</v>
      </c>
    </row>
    <row r="94" spans="1:38" s="1460" customFormat="1" ht="21" hidden="1" customHeight="1">
      <c r="A94" s="1456">
        <v>6</v>
      </c>
      <c r="B94" s="764" t="s">
        <v>2594</v>
      </c>
      <c r="C94" s="1455">
        <v>0</v>
      </c>
      <c r="D94" s="1455"/>
      <c r="E94" s="1455"/>
      <c r="F94" s="1456"/>
      <c r="G94" s="1620">
        <f t="shared" si="66"/>
        <v>0</v>
      </c>
      <c r="H94" s="1624"/>
      <c r="I94" s="1620">
        <f t="shared" si="67"/>
        <v>0</v>
      </c>
      <c r="J94" s="1624"/>
      <c r="K94" s="1624"/>
      <c r="L94" s="1624"/>
      <c r="M94" s="1624"/>
      <c r="N94" s="1624"/>
      <c r="O94" s="1624"/>
      <c r="P94" s="1617"/>
      <c r="Q94" s="1617"/>
      <c r="R94" s="1624"/>
      <c r="S94" s="1624"/>
      <c r="T94" s="1621">
        <f>(H94+K94+L94+R94)*23.5%</f>
        <v>0</v>
      </c>
      <c r="U94" s="1620">
        <f t="shared" si="68"/>
        <v>0</v>
      </c>
      <c r="V94" s="1624"/>
      <c r="W94" s="1620">
        <f t="shared" si="69"/>
        <v>0</v>
      </c>
      <c r="X94" s="1624">
        <v>0</v>
      </c>
      <c r="Y94" s="1624"/>
      <c r="Z94" s="1624"/>
      <c r="AA94" s="1624"/>
      <c r="AB94" s="1624"/>
      <c r="AC94" s="1624"/>
      <c r="AD94" s="1617"/>
      <c r="AE94" s="1617"/>
      <c r="AF94" s="1624"/>
      <c r="AG94" s="1624"/>
      <c r="AH94" s="1621">
        <f>(V94+Y94+Z94+AF94)*23.5%</f>
        <v>0</v>
      </c>
      <c r="AI94" s="1621">
        <f t="shared" si="65"/>
        <v>0</v>
      </c>
      <c r="AJ94" s="1621">
        <f t="shared" si="70"/>
        <v>0</v>
      </c>
      <c r="AK94" s="1448" t="e">
        <f t="shared" si="42"/>
        <v>#DIV/0!</v>
      </c>
      <c r="AL94" s="1431" t="e">
        <f t="shared" si="37"/>
        <v>#DIV/0!</v>
      </c>
    </row>
    <row r="95" spans="1:38" s="1460" customFormat="1" ht="21" hidden="1" customHeight="1">
      <c r="A95" s="1456">
        <v>7</v>
      </c>
      <c r="B95" s="764" t="s">
        <v>2595</v>
      </c>
      <c r="C95" s="1365">
        <v>98</v>
      </c>
      <c r="D95" s="1365"/>
      <c r="E95" s="1451"/>
      <c r="F95" s="1365">
        <v>98</v>
      </c>
      <c r="G95" s="1620">
        <f t="shared" si="66"/>
        <v>769.2056</v>
      </c>
      <c r="H95" s="1617">
        <v>461.61</v>
      </c>
      <c r="I95" s="1620">
        <f t="shared" si="67"/>
        <v>186.10999999999999</v>
      </c>
      <c r="J95" s="1617"/>
      <c r="K95" s="1617">
        <v>16</v>
      </c>
      <c r="L95" s="1617">
        <v>0.35</v>
      </c>
      <c r="M95" s="1617">
        <v>93.71</v>
      </c>
      <c r="N95" s="1617">
        <v>10.6</v>
      </c>
      <c r="O95" s="1617"/>
      <c r="P95" s="1617"/>
      <c r="Q95" s="1617"/>
      <c r="R95" s="1617">
        <v>39</v>
      </c>
      <c r="S95" s="1617">
        <v>26.45</v>
      </c>
      <c r="T95" s="1554">
        <f>(H95+K95+L95+R95)*23.5%</f>
        <v>121.48560000000001</v>
      </c>
      <c r="U95" s="1620">
        <f t="shared" si="68"/>
        <v>824.40705000000003</v>
      </c>
      <c r="V95" s="1617">
        <v>494.81</v>
      </c>
      <c r="W95" s="1617">
        <f t="shared" si="69"/>
        <v>199.39999999999998</v>
      </c>
      <c r="X95" s="1617"/>
      <c r="Y95" s="1617">
        <v>17</v>
      </c>
      <c r="Z95" s="1617">
        <v>0.37</v>
      </c>
      <c r="AA95" s="1617">
        <v>100.45</v>
      </c>
      <c r="AB95" s="1617">
        <v>11.37</v>
      </c>
      <c r="AC95" s="1617"/>
      <c r="AD95" s="1617"/>
      <c r="AE95" s="1617"/>
      <c r="AF95" s="1617">
        <v>41.85</v>
      </c>
      <c r="AG95" s="1617">
        <v>28.36</v>
      </c>
      <c r="AH95" s="1554">
        <f>(V95+Y95+Z95+AF95)*23.5%</f>
        <v>130.19704999999999</v>
      </c>
      <c r="AI95" s="1621">
        <f t="shared" si="65"/>
        <v>55.201450000000023</v>
      </c>
      <c r="AJ95" s="1621">
        <f t="shared" si="70"/>
        <v>662.41740000000027</v>
      </c>
      <c r="AK95" s="1448">
        <f t="shared" si="42"/>
        <v>0.56328010204081658</v>
      </c>
      <c r="AL95" s="1431">
        <f t="shared" si="37"/>
        <v>107.1764233125708</v>
      </c>
    </row>
    <row r="96" spans="1:38" s="1460" customFormat="1" ht="33.75" hidden="1" customHeight="1">
      <c r="A96" s="1456">
        <v>8</v>
      </c>
      <c r="B96" s="764" t="s">
        <v>2596</v>
      </c>
      <c r="C96" s="1455">
        <v>0</v>
      </c>
      <c r="D96" s="1461"/>
      <c r="E96" s="1461"/>
      <c r="F96" s="1461"/>
      <c r="G96" s="1620">
        <f t="shared" si="66"/>
        <v>0</v>
      </c>
      <c r="H96" s="1624"/>
      <c r="I96" s="1620">
        <f t="shared" si="67"/>
        <v>0</v>
      </c>
      <c r="J96" s="1624"/>
      <c r="K96" s="1624"/>
      <c r="L96" s="1624"/>
      <c r="M96" s="1624"/>
      <c r="N96" s="1624"/>
      <c r="O96" s="1624"/>
      <c r="P96" s="1617"/>
      <c r="Q96" s="1617"/>
      <c r="R96" s="1624"/>
      <c r="S96" s="1624"/>
      <c r="T96" s="1621">
        <f>(H96+K96+L96+R96)*23.5%</f>
        <v>0</v>
      </c>
      <c r="U96" s="1620">
        <f t="shared" si="68"/>
        <v>0</v>
      </c>
      <c r="V96" s="1624"/>
      <c r="W96" s="1620">
        <f t="shared" si="69"/>
        <v>0</v>
      </c>
      <c r="X96" s="1620">
        <f>(J96/1.39)*1.49</f>
        <v>0</v>
      </c>
      <c r="Y96" s="1620"/>
      <c r="Z96" s="1620"/>
      <c r="AA96" s="1620"/>
      <c r="AB96" s="1620"/>
      <c r="AC96" s="1620"/>
      <c r="AD96" s="1620"/>
      <c r="AE96" s="1620"/>
      <c r="AF96" s="1620"/>
      <c r="AG96" s="1620"/>
      <c r="AH96" s="1620">
        <f>(V96+Y96+Z96+AF96)*23.5%</f>
        <v>0</v>
      </c>
      <c r="AI96" s="1621">
        <f t="shared" si="65"/>
        <v>0</v>
      </c>
      <c r="AJ96" s="1621">
        <f t="shared" si="70"/>
        <v>0</v>
      </c>
      <c r="AK96" s="1448" t="e">
        <f t="shared" si="42"/>
        <v>#DIV/0!</v>
      </c>
      <c r="AL96" s="1431" t="e">
        <f t="shared" si="37"/>
        <v>#DIV/0!</v>
      </c>
    </row>
    <row r="97" spans="1:38" s="1460" customFormat="1" ht="31.5" hidden="1">
      <c r="A97" s="1456">
        <v>9</v>
      </c>
      <c r="B97" s="764" t="s">
        <v>2597</v>
      </c>
      <c r="C97" s="1455">
        <f>D97+E97</f>
        <v>5</v>
      </c>
      <c r="D97" s="1455">
        <v>5</v>
      </c>
      <c r="E97" s="1455"/>
      <c r="F97" s="1455">
        <v>5</v>
      </c>
      <c r="G97" s="1614">
        <f t="shared" si="66"/>
        <v>28.860222499999992</v>
      </c>
      <c r="H97" s="1617">
        <f>16.65*1.39</f>
        <v>23.143499999999996</v>
      </c>
      <c r="I97" s="1614">
        <f t="shared" si="67"/>
        <v>0.27799999999999997</v>
      </c>
      <c r="J97" s="1617"/>
      <c r="K97" s="1617"/>
      <c r="L97" s="1617"/>
      <c r="M97" s="1617"/>
      <c r="N97" s="1617"/>
      <c r="O97" s="1617"/>
      <c r="P97" s="1617"/>
      <c r="Q97" s="1617"/>
      <c r="R97" s="1617"/>
      <c r="S97" s="1617">
        <f>0.2*1.39</f>
        <v>0.27799999999999997</v>
      </c>
      <c r="T97" s="1621">
        <f>(H97+K97+L97)*23.5%</f>
        <v>5.438722499999999</v>
      </c>
      <c r="U97" s="1614">
        <f t="shared" si="68"/>
        <v>30.936497499999994</v>
      </c>
      <c r="V97" s="1617">
        <f>16.65*1.49</f>
        <v>24.808499999999999</v>
      </c>
      <c r="W97" s="1614">
        <f t="shared" si="69"/>
        <v>0.29799999999999999</v>
      </c>
      <c r="X97" s="1617"/>
      <c r="Y97" s="1617"/>
      <c r="Z97" s="1617"/>
      <c r="AA97" s="1617"/>
      <c r="AB97" s="1617"/>
      <c r="AC97" s="1617"/>
      <c r="AD97" s="1617"/>
      <c r="AE97" s="1617"/>
      <c r="AF97" s="1617"/>
      <c r="AG97" s="1617">
        <f>0.2*1.49</f>
        <v>0.29799999999999999</v>
      </c>
      <c r="AH97" s="1621">
        <f>(V97+Y97+Z97)*23.5%</f>
        <v>5.8299974999999993</v>
      </c>
      <c r="AI97" s="1621">
        <f t="shared" si="65"/>
        <v>2.0762750000000025</v>
      </c>
      <c r="AJ97" s="1621">
        <f t="shared" si="70"/>
        <v>24.91530000000003</v>
      </c>
      <c r="AK97" s="1448">
        <f t="shared" si="42"/>
        <v>0.41525500000000048</v>
      </c>
      <c r="AL97" s="1431">
        <f t="shared" si="37"/>
        <v>107.19424460431657</v>
      </c>
    </row>
    <row r="98" spans="1:38" s="1460" customFormat="1" ht="35.25" hidden="1" customHeight="1">
      <c r="A98" s="1456">
        <v>10</v>
      </c>
      <c r="B98" s="764" t="s">
        <v>2598</v>
      </c>
      <c r="C98" s="1455"/>
      <c r="D98" s="1455"/>
      <c r="E98" s="1455"/>
      <c r="F98" s="1455"/>
      <c r="G98" s="1614">
        <f t="shared" si="66"/>
        <v>0</v>
      </c>
      <c r="H98" s="1617"/>
      <c r="I98" s="1614">
        <f t="shared" si="67"/>
        <v>0</v>
      </c>
      <c r="J98" s="1617"/>
      <c r="K98" s="1617"/>
      <c r="L98" s="1617"/>
      <c r="M98" s="1617"/>
      <c r="N98" s="1617"/>
      <c r="O98" s="1617"/>
      <c r="P98" s="1617"/>
      <c r="Q98" s="1617"/>
      <c r="R98" s="1617"/>
      <c r="S98" s="1617"/>
      <c r="T98" s="1621">
        <f>(H98+K98+L98)*23.5%</f>
        <v>0</v>
      </c>
      <c r="U98" s="1614">
        <f t="shared" si="68"/>
        <v>0</v>
      </c>
      <c r="V98" s="1617"/>
      <c r="W98" s="1614">
        <f t="shared" si="69"/>
        <v>0</v>
      </c>
      <c r="X98" s="1617"/>
      <c r="Y98" s="1617"/>
      <c r="Z98" s="1617"/>
      <c r="AA98" s="1617"/>
      <c r="AB98" s="1617"/>
      <c r="AC98" s="1617"/>
      <c r="AD98" s="1617"/>
      <c r="AE98" s="1617"/>
      <c r="AF98" s="1617"/>
      <c r="AG98" s="1617"/>
      <c r="AH98" s="1621">
        <f>(V98+Y98+Z98)*23.5%</f>
        <v>0</v>
      </c>
      <c r="AI98" s="1621">
        <f t="shared" si="65"/>
        <v>0</v>
      </c>
      <c r="AJ98" s="1621">
        <f t="shared" si="70"/>
        <v>0</v>
      </c>
      <c r="AK98" s="1448" t="e">
        <f t="shared" si="42"/>
        <v>#DIV/0!</v>
      </c>
      <c r="AL98" s="1431" t="e">
        <f t="shared" si="37"/>
        <v>#DIV/0!</v>
      </c>
    </row>
    <row r="99" spans="1:38" s="1462" customFormat="1" ht="21" customHeight="1">
      <c r="A99" s="1457"/>
      <c r="B99" s="1458" t="s">
        <v>2529</v>
      </c>
      <c r="C99" s="1459">
        <f>C91+C94</f>
        <v>0</v>
      </c>
      <c r="D99" s="1459">
        <f>D91+D94</f>
        <v>0</v>
      </c>
      <c r="E99" s="1459">
        <f>E91+E94</f>
        <v>0</v>
      </c>
      <c r="F99" s="1459">
        <f>F91+F94</f>
        <v>1025</v>
      </c>
      <c r="G99" s="1627">
        <f t="shared" ref="G99:AH99" si="71">G91+G94</f>
        <v>6804.21072</v>
      </c>
      <c r="H99" s="1627">
        <f t="shared" si="71"/>
        <v>4360.335</v>
      </c>
      <c r="I99" s="1627">
        <f t="shared" si="71"/>
        <v>1324.441</v>
      </c>
      <c r="J99" s="1627">
        <f t="shared" si="71"/>
        <v>0</v>
      </c>
      <c r="K99" s="1627">
        <f t="shared" si="71"/>
        <v>130.38200000000001</v>
      </c>
      <c r="L99" s="1627">
        <f t="shared" si="71"/>
        <v>6.4779999999999998</v>
      </c>
      <c r="M99" s="1627">
        <f t="shared" si="71"/>
        <v>921.22399999999993</v>
      </c>
      <c r="N99" s="1627">
        <f t="shared" si="71"/>
        <v>0</v>
      </c>
      <c r="O99" s="1627">
        <f t="shared" si="71"/>
        <v>0</v>
      </c>
      <c r="P99" s="1627">
        <f t="shared" si="71"/>
        <v>0</v>
      </c>
      <c r="Q99" s="1627">
        <f t="shared" si="71"/>
        <v>0</v>
      </c>
      <c r="R99" s="1627">
        <f t="shared" si="71"/>
        <v>266.35700000000003</v>
      </c>
      <c r="S99" s="1627">
        <f t="shared" si="71"/>
        <v>0</v>
      </c>
      <c r="T99" s="1627">
        <f t="shared" si="71"/>
        <v>1119.43472</v>
      </c>
      <c r="U99" s="1627">
        <f t="shared" si="71"/>
        <v>7292.1764700000003</v>
      </c>
      <c r="V99" s="1627">
        <f t="shared" si="71"/>
        <v>4672.7759999999998</v>
      </c>
      <c r="W99" s="1627">
        <f t="shared" si="71"/>
        <v>1419.7249999999999</v>
      </c>
      <c r="X99" s="1627">
        <f t="shared" si="71"/>
        <v>0</v>
      </c>
      <c r="Y99" s="1627">
        <f t="shared" si="71"/>
        <v>139.76199999999997</v>
      </c>
      <c r="Z99" s="1627">
        <f t="shared" si="71"/>
        <v>6.944</v>
      </c>
      <c r="AA99" s="1627">
        <f t="shared" si="71"/>
        <v>987.49899999999991</v>
      </c>
      <c r="AB99" s="1627">
        <f t="shared" si="71"/>
        <v>0</v>
      </c>
      <c r="AC99" s="1627">
        <f t="shared" si="71"/>
        <v>0</v>
      </c>
      <c r="AD99" s="1627">
        <f t="shared" si="71"/>
        <v>0</v>
      </c>
      <c r="AE99" s="1627">
        <f t="shared" si="71"/>
        <v>0</v>
      </c>
      <c r="AF99" s="1627">
        <f t="shared" si="71"/>
        <v>285.52</v>
      </c>
      <c r="AG99" s="1627">
        <f t="shared" si="71"/>
        <v>0</v>
      </c>
      <c r="AH99" s="1627">
        <f t="shared" si="71"/>
        <v>1199.6754699999999</v>
      </c>
      <c r="AI99" s="1628">
        <f t="shared" si="65"/>
        <v>487.9657500000003</v>
      </c>
      <c r="AJ99" s="1628">
        <f>AI99*6</f>
        <v>2927.7945000000018</v>
      </c>
      <c r="AK99" s="1448">
        <f t="shared" si="42"/>
        <v>0.47606414634146371</v>
      </c>
      <c r="AL99" s="1431">
        <f t="shared" si="37"/>
        <v>107.17152613404073</v>
      </c>
    </row>
    <row r="100" spans="1:38" s="1444" customFormat="1" ht="21" customHeight="1">
      <c r="A100" s="1445">
        <v>2</v>
      </c>
      <c r="B100" s="1446" t="s">
        <v>2237</v>
      </c>
      <c r="C100" s="1447">
        <f>C101+C146</f>
        <v>3829</v>
      </c>
      <c r="D100" s="1447">
        <f t="shared" ref="D100:AJ100" si="72">D101+D146</f>
        <v>2937</v>
      </c>
      <c r="E100" s="1447">
        <f t="shared" si="72"/>
        <v>0</v>
      </c>
      <c r="F100" s="1447">
        <f t="shared" si="72"/>
        <v>3127</v>
      </c>
      <c r="G100" s="1616">
        <f t="shared" si="72"/>
        <v>24699.015273329995</v>
      </c>
      <c r="H100" s="1616">
        <f t="shared" si="72"/>
        <v>13472.22436</v>
      </c>
      <c r="I100" s="1616">
        <f t="shared" si="72"/>
        <v>7954.8246061</v>
      </c>
      <c r="J100" s="1616">
        <f t="shared" si="72"/>
        <v>0</v>
      </c>
      <c r="K100" s="1616">
        <f t="shared" si="72"/>
        <v>282.20850000000002</v>
      </c>
      <c r="L100" s="1616">
        <f t="shared" si="72"/>
        <v>174.61319</v>
      </c>
      <c r="M100" s="1616">
        <f t="shared" si="72"/>
        <v>5838.0149470999995</v>
      </c>
      <c r="N100" s="1616">
        <f t="shared" si="72"/>
        <v>1179.165356</v>
      </c>
      <c r="O100" s="1616">
        <f t="shared" si="72"/>
        <v>100.91399999999999</v>
      </c>
      <c r="P100" s="1616">
        <f t="shared" si="72"/>
        <v>33.987862999999997</v>
      </c>
      <c r="Q100" s="1616">
        <f t="shared" si="72"/>
        <v>0</v>
      </c>
      <c r="R100" s="1616">
        <f t="shared" si="72"/>
        <v>0</v>
      </c>
      <c r="S100" s="1616">
        <f t="shared" si="72"/>
        <v>345.92075000000006</v>
      </c>
      <c r="T100" s="1616">
        <f t="shared" si="72"/>
        <v>3271.9663072299995</v>
      </c>
      <c r="U100" s="1616">
        <f t="shared" si="72"/>
        <v>26473.343998029999</v>
      </c>
      <c r="V100" s="1616">
        <f t="shared" si="72"/>
        <v>14440.916760000002</v>
      </c>
      <c r="W100" s="1616">
        <f t="shared" si="72"/>
        <v>8525.2604051000017</v>
      </c>
      <c r="X100" s="1616">
        <f t="shared" si="72"/>
        <v>0</v>
      </c>
      <c r="Y100" s="1616">
        <f t="shared" si="72"/>
        <v>302.2235</v>
      </c>
      <c r="Z100" s="1616">
        <f t="shared" si="72"/>
        <v>187.17529000000002</v>
      </c>
      <c r="AA100" s="1616">
        <f t="shared" si="72"/>
        <v>6258.1239361000007</v>
      </c>
      <c r="AB100" s="1616">
        <f t="shared" si="72"/>
        <v>1263.9973960000002</v>
      </c>
      <c r="AC100" s="1616">
        <f t="shared" si="72"/>
        <v>106.64399999999998</v>
      </c>
      <c r="AD100" s="1616">
        <f t="shared" si="72"/>
        <v>36.433032999999995</v>
      </c>
      <c r="AE100" s="1616">
        <f t="shared" si="72"/>
        <v>0</v>
      </c>
      <c r="AF100" s="1616">
        <f t="shared" si="72"/>
        <v>0</v>
      </c>
      <c r="AG100" s="1616">
        <f t="shared" si="72"/>
        <v>370.66325000000001</v>
      </c>
      <c r="AH100" s="1616">
        <f t="shared" si="72"/>
        <v>3507.1668329299996</v>
      </c>
      <c r="AI100" s="1616">
        <f t="shared" si="72"/>
        <v>1774.3287247000014</v>
      </c>
      <c r="AJ100" s="1616">
        <f t="shared" si="72"/>
        <v>21291.94469640002</v>
      </c>
      <c r="AK100" s="1448">
        <f t="shared" si="42"/>
        <v>0.5674220417972502</v>
      </c>
      <c r="AL100" s="1431">
        <f t="shared" si="37"/>
        <v>107.18380350416612</v>
      </c>
    </row>
    <row r="101" spans="1:38" s="1431" customFormat="1" ht="21" hidden="1" customHeight="1">
      <c r="A101" s="1375">
        <v>11</v>
      </c>
      <c r="B101" s="1376" t="s">
        <v>2293</v>
      </c>
      <c r="C101" s="560">
        <f t="shared" ref="C101:AJ101" si="73">SUM(C102:C110,C120:C122,C125,C131:C134,C144:C145)</f>
        <v>3829</v>
      </c>
      <c r="D101" s="560">
        <f t="shared" si="73"/>
        <v>2937</v>
      </c>
      <c r="E101" s="560">
        <f t="shared" si="73"/>
        <v>0</v>
      </c>
      <c r="F101" s="560">
        <f t="shared" si="73"/>
        <v>3072</v>
      </c>
      <c r="G101" s="1617">
        <f t="shared" si="73"/>
        <v>24374.605273329995</v>
      </c>
      <c r="H101" s="1617">
        <f t="shared" si="73"/>
        <v>13270.22436</v>
      </c>
      <c r="I101" s="1617">
        <f t="shared" si="73"/>
        <v>7880.8246061</v>
      </c>
      <c r="J101" s="1617">
        <f t="shared" si="73"/>
        <v>0</v>
      </c>
      <c r="K101" s="1617">
        <f t="shared" si="73"/>
        <v>278.20850000000002</v>
      </c>
      <c r="L101" s="1617">
        <f t="shared" si="73"/>
        <v>174.61319</v>
      </c>
      <c r="M101" s="1617">
        <f t="shared" si="73"/>
        <v>5770.0149470999995</v>
      </c>
      <c r="N101" s="1617">
        <f t="shared" si="73"/>
        <v>1179.165356</v>
      </c>
      <c r="O101" s="1617">
        <f t="shared" si="73"/>
        <v>100.91399999999999</v>
      </c>
      <c r="P101" s="1617">
        <f t="shared" si="73"/>
        <v>33.987862999999997</v>
      </c>
      <c r="Q101" s="1617">
        <f t="shared" si="73"/>
        <v>0</v>
      </c>
      <c r="R101" s="1617">
        <f t="shared" si="73"/>
        <v>0</v>
      </c>
      <c r="S101" s="1617">
        <f t="shared" si="73"/>
        <v>343.92075000000006</v>
      </c>
      <c r="T101" s="1617">
        <f t="shared" si="73"/>
        <v>3223.5563072299997</v>
      </c>
      <c r="U101" s="1617">
        <f t="shared" si="73"/>
        <v>26126.643998029998</v>
      </c>
      <c r="V101" s="1617">
        <f t="shared" si="73"/>
        <v>14224.916760000002</v>
      </c>
      <c r="W101" s="1617">
        <f t="shared" si="73"/>
        <v>8446.2604051000017</v>
      </c>
      <c r="X101" s="1617">
        <f t="shared" si="73"/>
        <v>0</v>
      </c>
      <c r="Y101" s="1617">
        <f t="shared" si="73"/>
        <v>298.2235</v>
      </c>
      <c r="Z101" s="1617">
        <f t="shared" si="73"/>
        <v>187.17529000000002</v>
      </c>
      <c r="AA101" s="1617">
        <f t="shared" si="73"/>
        <v>6185.1239361000007</v>
      </c>
      <c r="AB101" s="1617">
        <f t="shared" si="73"/>
        <v>1263.9973960000002</v>
      </c>
      <c r="AC101" s="1617">
        <f t="shared" si="73"/>
        <v>106.64399999999998</v>
      </c>
      <c r="AD101" s="1617">
        <f t="shared" si="73"/>
        <v>36.433032999999995</v>
      </c>
      <c r="AE101" s="1617">
        <f t="shared" si="73"/>
        <v>0</v>
      </c>
      <c r="AF101" s="1617">
        <f t="shared" si="73"/>
        <v>0</v>
      </c>
      <c r="AG101" s="1617">
        <f t="shared" si="73"/>
        <v>368.66325000000001</v>
      </c>
      <c r="AH101" s="1617">
        <f t="shared" si="73"/>
        <v>3455.4668329299998</v>
      </c>
      <c r="AI101" s="1617">
        <f t="shared" si="73"/>
        <v>1752.0387247000015</v>
      </c>
      <c r="AJ101" s="1617">
        <f t="shared" si="73"/>
        <v>21024.46469640002</v>
      </c>
      <c r="AK101" s="1463">
        <f t="shared" si="42"/>
        <v>0.5703251056966151</v>
      </c>
      <c r="AL101" s="1431">
        <f t="shared" si="37"/>
        <v>107.18796757959004</v>
      </c>
    </row>
    <row r="102" spans="1:38" s="1431" customFormat="1" ht="21" hidden="1" customHeight="1">
      <c r="A102" s="1375"/>
      <c r="B102" s="1453" t="s">
        <v>2599</v>
      </c>
      <c r="C102" s="1365">
        <v>12</v>
      </c>
      <c r="D102" s="1365">
        <v>14</v>
      </c>
      <c r="E102" s="1451"/>
      <c r="F102" s="1365">
        <v>12</v>
      </c>
      <c r="G102" s="1367">
        <f t="shared" ref="G102:G109" si="74">H102+I102+T102</f>
        <v>96.74226250000001</v>
      </c>
      <c r="H102" s="1577">
        <f>((45.75)*1390)/1000</f>
        <v>63.592500000000001</v>
      </c>
      <c r="I102" s="1367">
        <f t="shared" ref="I102:I109" si="75">SUM(J102:S102)</f>
        <v>18.434874999999998</v>
      </c>
      <c r="J102" s="1365"/>
      <c r="K102" s="1577">
        <f>(1.3*1390)/1000</f>
        <v>1.8069999999999999</v>
      </c>
      <c r="L102" s="1577">
        <f>(0*1390)/1000</f>
        <v>0</v>
      </c>
      <c r="M102" s="1577">
        <v>0</v>
      </c>
      <c r="N102" s="1365"/>
      <c r="O102" s="1365"/>
      <c r="P102" s="1365">
        <f>(H102+K102+L102)*25%</f>
        <v>16.349875000000001</v>
      </c>
      <c r="Q102" s="1365"/>
      <c r="R102" s="1577">
        <v>0</v>
      </c>
      <c r="S102" s="1577">
        <f>(0.2*1390)/1000</f>
        <v>0.27800000000000002</v>
      </c>
      <c r="T102" s="1366">
        <f>(H102+K102+L102+R102)*22.5%</f>
        <v>14.714887500000001</v>
      </c>
      <c r="U102" s="1367">
        <f t="shared" ref="U102:U109" si="76">V102+W102+AH102</f>
        <v>103.70213750000001</v>
      </c>
      <c r="V102" s="1367">
        <f>(H102/1.39)*1.49</f>
        <v>68.167500000000004</v>
      </c>
      <c r="W102" s="1367">
        <f t="shared" ref="W102:W109" si="77">SUM(X102:AG102)</f>
        <v>19.761125</v>
      </c>
      <c r="X102" s="1367">
        <f>(J102/1.3)*1.39</f>
        <v>0</v>
      </c>
      <c r="Y102" s="1367">
        <f>(K102/1.39)*1.49</f>
        <v>1.9370000000000001</v>
      </c>
      <c r="Z102" s="1367">
        <f>(L102/1.39)*1.49</f>
        <v>0</v>
      </c>
      <c r="AA102" s="1367">
        <f>(M102/1.3)*1.39</f>
        <v>0</v>
      </c>
      <c r="AB102" s="1367"/>
      <c r="AC102" s="1367">
        <f>(O102/1.3)*1.39</f>
        <v>0</v>
      </c>
      <c r="AD102" s="1367">
        <f>(P102/1.39)*1.49</f>
        <v>17.526125</v>
      </c>
      <c r="AE102" s="1367">
        <f t="shared" ref="AE102:AF104" si="78">(Q102/1.3)*1.39</f>
        <v>0</v>
      </c>
      <c r="AF102" s="1367">
        <f t="shared" si="78"/>
        <v>0</v>
      </c>
      <c r="AG102" s="1367">
        <f>(S102/1.39)*1.49</f>
        <v>0.29800000000000004</v>
      </c>
      <c r="AH102" s="1367">
        <f>(V102+Y102+Z102+AF102)*22.5%</f>
        <v>15.773512500000001</v>
      </c>
      <c r="AI102" s="1366">
        <f t="shared" ref="AI102:AI109" si="79">U102-G102</f>
        <v>6.9598749999999967</v>
      </c>
      <c r="AJ102" s="1366">
        <f>AI102*12</f>
        <v>83.51849999999996</v>
      </c>
      <c r="AK102" s="1463">
        <f t="shared" si="42"/>
        <v>0.57998958333333306</v>
      </c>
      <c r="AL102" s="1431">
        <f t="shared" si="37"/>
        <v>107.19424460431655</v>
      </c>
    </row>
    <row r="103" spans="1:38" s="1431" customFormat="1" ht="21" hidden="1" customHeight="1">
      <c r="A103" s="1375"/>
      <c r="B103" s="1453" t="s">
        <v>2600</v>
      </c>
      <c r="C103" s="1365">
        <v>13</v>
      </c>
      <c r="D103" s="1365">
        <v>14</v>
      </c>
      <c r="E103" s="1451"/>
      <c r="F103" s="1365">
        <v>13</v>
      </c>
      <c r="G103" s="1367">
        <f t="shared" si="74"/>
        <v>104.4811292</v>
      </c>
      <c r="H103" s="1577">
        <f>((48.16)*1390)/1000</f>
        <v>66.942399999999992</v>
      </c>
      <c r="I103" s="1367">
        <f t="shared" si="75"/>
        <v>21.664539999999999</v>
      </c>
      <c r="J103" s="1365"/>
      <c r="K103" s="1577">
        <f>(1.8*1390)/1000</f>
        <v>2.5019999999999998</v>
      </c>
      <c r="L103" s="1577">
        <f>(0.7968*1390)/1000</f>
        <v>1.1075519999999999</v>
      </c>
      <c r="M103" s="1577"/>
      <c r="N103" s="1365"/>
      <c r="O103" s="1365"/>
      <c r="P103" s="1365">
        <f>(H103+K103+L103)*25%</f>
        <v>17.637987999999996</v>
      </c>
      <c r="Q103" s="1365"/>
      <c r="R103" s="1577">
        <v>0</v>
      </c>
      <c r="S103" s="1577">
        <f>(0.3*1390)/1000</f>
        <v>0.41699999999999998</v>
      </c>
      <c r="T103" s="1366">
        <f>(H103+K103+L103+R103)*22.5%</f>
        <v>15.874189199999996</v>
      </c>
      <c r="U103" s="1367">
        <f t="shared" si="76"/>
        <v>111.9977572</v>
      </c>
      <c r="V103" s="1367">
        <f>(H103/1.39)*1.49</f>
        <v>71.758399999999995</v>
      </c>
      <c r="W103" s="1367">
        <f t="shared" si="77"/>
        <v>23.223139999999997</v>
      </c>
      <c r="X103" s="1367">
        <f>(J103/1.3)*1.39</f>
        <v>0</v>
      </c>
      <c r="Y103" s="1367">
        <f>(K103/1.39)*1.49</f>
        <v>2.6819999999999999</v>
      </c>
      <c r="Z103" s="1367">
        <f>(L103/1.39)*1.49</f>
        <v>1.1872319999999998</v>
      </c>
      <c r="AA103" s="1367">
        <f>(M103/1.3)*1.39</f>
        <v>0</v>
      </c>
      <c r="AB103" s="1367">
        <f>(N103/1.3)*1.39</f>
        <v>0</v>
      </c>
      <c r="AC103" s="1367">
        <f>(O103/1.3)*1.39</f>
        <v>0</v>
      </c>
      <c r="AD103" s="1367">
        <f>(P103/1.39)*1.49</f>
        <v>18.906907999999998</v>
      </c>
      <c r="AE103" s="1367">
        <f t="shared" si="78"/>
        <v>0</v>
      </c>
      <c r="AF103" s="1367">
        <f t="shared" si="78"/>
        <v>0</v>
      </c>
      <c r="AG103" s="1367">
        <f>(S103/1.39)*1.49</f>
        <v>0.44700000000000001</v>
      </c>
      <c r="AH103" s="1367">
        <f>(V103+Y103+Z103+AF103)*22.5%</f>
        <v>17.0162172</v>
      </c>
      <c r="AI103" s="1366">
        <f t="shared" si="79"/>
        <v>7.5166279999999972</v>
      </c>
      <c r="AJ103" s="1366">
        <f>AI103*12</f>
        <v>90.199535999999966</v>
      </c>
      <c r="AK103" s="1463">
        <f t="shared" si="42"/>
        <v>0.57820215384615359</v>
      </c>
      <c r="AL103" s="1431">
        <f t="shared" si="37"/>
        <v>107.19424460431655</v>
      </c>
    </row>
    <row r="104" spans="1:38" s="1431" customFormat="1" ht="21" hidden="1" customHeight="1">
      <c r="A104" s="1375"/>
      <c r="B104" s="1453" t="s">
        <v>2601</v>
      </c>
      <c r="C104" s="1365">
        <v>128</v>
      </c>
      <c r="D104" s="1365">
        <v>114</v>
      </c>
      <c r="E104" s="1451"/>
      <c r="F104" s="1365">
        <v>110</v>
      </c>
      <c r="G104" s="1367">
        <f t="shared" si="74"/>
        <v>880.24595885999997</v>
      </c>
      <c r="H104" s="1577">
        <f>(384.022*1390)/1000</f>
        <v>533.79057999999998</v>
      </c>
      <c r="I104" s="1367">
        <f t="shared" si="75"/>
        <v>216.8875658</v>
      </c>
      <c r="J104" s="1365"/>
      <c r="K104" s="1577">
        <f>(9.4*1390)/1000</f>
        <v>13.066000000000001</v>
      </c>
      <c r="L104" s="1577">
        <f>(3.2344*1390)/1000</f>
        <v>4.4958159999999996</v>
      </c>
      <c r="M104" s="1577">
        <f>((136.39982)*1390)/1000</f>
        <v>189.59574980000002</v>
      </c>
      <c r="N104" s="1365"/>
      <c r="O104" s="1365"/>
      <c r="P104" s="1365"/>
      <c r="Q104" s="1365"/>
      <c r="R104" s="1577">
        <v>0</v>
      </c>
      <c r="S104" s="1577">
        <f>(7*1390)/1000</f>
        <v>9.73</v>
      </c>
      <c r="T104" s="1366">
        <f>(H104+K104+L104+R104)*23.5%</f>
        <v>129.56781305999999</v>
      </c>
      <c r="U104" s="1367">
        <f t="shared" si="76"/>
        <v>943.57300626000006</v>
      </c>
      <c r="V104" s="1367">
        <f>(H104/1.39)*1.49</f>
        <v>572.19277999999997</v>
      </c>
      <c r="W104" s="1367">
        <f t="shared" si="77"/>
        <v>232.49098780000006</v>
      </c>
      <c r="X104" s="1367">
        <f>(J104/1.3)*1.39</f>
        <v>0</v>
      </c>
      <c r="Y104" s="1367">
        <f>(K104/1.39)*1.49</f>
        <v>14.006</v>
      </c>
      <c r="Z104" s="1367">
        <f>(L104/1.39*1.49)</f>
        <v>4.8192560000000002</v>
      </c>
      <c r="AA104" s="1367">
        <f>(M104/1.39)*1.49</f>
        <v>203.23573180000005</v>
      </c>
      <c r="AB104" s="1367">
        <f>(N104/1.3)*1.39</f>
        <v>0</v>
      </c>
      <c r="AC104" s="1367">
        <f>(O104/1.3)*1.39</f>
        <v>0</v>
      </c>
      <c r="AD104" s="1367">
        <f>(P104/1.3)*1.39</f>
        <v>0</v>
      </c>
      <c r="AE104" s="1367">
        <f t="shared" si="78"/>
        <v>0</v>
      </c>
      <c r="AF104" s="1367">
        <f t="shared" si="78"/>
        <v>0</v>
      </c>
      <c r="AG104" s="1367">
        <f>(S104/1.39)*1.49</f>
        <v>10.430000000000001</v>
      </c>
      <c r="AH104" s="1367">
        <f>(V104+Y104+Z104+AF104)*23.5%</f>
        <v>138.88923845999997</v>
      </c>
      <c r="AI104" s="1366">
        <f t="shared" si="79"/>
        <v>63.327047400000083</v>
      </c>
      <c r="AJ104" s="1366">
        <f t="shared" ref="AJ104:AJ109" si="80">AI104*12</f>
        <v>759.924568800001</v>
      </c>
      <c r="AK104" s="1463">
        <f t="shared" si="42"/>
        <v>0.57570043090909162</v>
      </c>
      <c r="AL104" s="1431">
        <f t="shared" si="37"/>
        <v>107.19424460431655</v>
      </c>
    </row>
    <row r="105" spans="1:38" s="1431" customFormat="1" ht="21" hidden="1" customHeight="1">
      <c r="A105" s="1375"/>
      <c r="B105" s="1453" t="s">
        <v>2602</v>
      </c>
      <c r="C105" s="1455">
        <f t="shared" ref="C105:C108" si="81">D105+E105</f>
        <v>0</v>
      </c>
      <c r="D105" s="1455"/>
      <c r="E105" s="1455"/>
      <c r="F105" s="1455"/>
      <c r="G105" s="1614">
        <f t="shared" si="74"/>
        <v>0</v>
      </c>
      <c r="H105" s="1617"/>
      <c r="I105" s="1614">
        <f t="shared" si="75"/>
        <v>0</v>
      </c>
      <c r="J105" s="1617"/>
      <c r="K105" s="1617"/>
      <c r="L105" s="1617"/>
      <c r="M105" s="1617"/>
      <c r="N105" s="1617"/>
      <c r="O105" s="1617"/>
      <c r="P105" s="1617"/>
      <c r="Q105" s="1617"/>
      <c r="R105" s="1617"/>
      <c r="S105" s="1617"/>
      <c r="T105" s="1621"/>
      <c r="U105" s="1614">
        <f t="shared" si="76"/>
        <v>0</v>
      </c>
      <c r="V105" s="1617"/>
      <c r="W105" s="1614">
        <f t="shared" si="77"/>
        <v>0</v>
      </c>
      <c r="X105" s="1617"/>
      <c r="Y105" s="1617"/>
      <c r="Z105" s="1617"/>
      <c r="AA105" s="1617"/>
      <c r="AB105" s="1617"/>
      <c r="AC105" s="1617"/>
      <c r="AD105" s="1617"/>
      <c r="AE105" s="1617"/>
      <c r="AF105" s="1617"/>
      <c r="AG105" s="1617"/>
      <c r="AH105" s="1621"/>
      <c r="AI105" s="1621">
        <f t="shared" si="79"/>
        <v>0</v>
      </c>
      <c r="AJ105" s="1366">
        <f t="shared" si="80"/>
        <v>0</v>
      </c>
      <c r="AK105" s="1463" t="e">
        <f t="shared" si="42"/>
        <v>#DIV/0!</v>
      </c>
      <c r="AL105" s="1431" t="e">
        <f t="shared" si="37"/>
        <v>#DIV/0!</v>
      </c>
    </row>
    <row r="106" spans="1:38" s="1431" customFormat="1" ht="21" hidden="1" customHeight="1">
      <c r="A106" s="1375"/>
      <c r="B106" s="1453" t="s">
        <v>2603</v>
      </c>
      <c r="C106" s="1455">
        <f t="shared" si="81"/>
        <v>0</v>
      </c>
      <c r="D106" s="1455"/>
      <c r="E106" s="1455"/>
      <c r="F106" s="1455"/>
      <c r="G106" s="1367">
        <f t="shared" si="74"/>
        <v>0</v>
      </c>
      <c r="H106" s="1577"/>
      <c r="I106" s="1367">
        <f t="shared" si="75"/>
        <v>0</v>
      </c>
      <c r="J106" s="1365"/>
      <c r="K106" s="1577"/>
      <c r="L106" s="1577"/>
      <c r="M106" s="1577"/>
      <c r="N106" s="1365"/>
      <c r="O106" s="1365"/>
      <c r="P106" s="1365"/>
      <c r="Q106" s="1365"/>
      <c r="R106" s="1577"/>
      <c r="S106" s="1577"/>
      <c r="T106" s="1366">
        <f>(H106+K106+L106+R106)*23.5%</f>
        <v>0</v>
      </c>
      <c r="U106" s="1367">
        <f t="shared" si="76"/>
        <v>0</v>
      </c>
      <c r="V106" s="1367">
        <f>(H106/1.39)*1.49</f>
        <v>0</v>
      </c>
      <c r="W106" s="1367">
        <f t="shared" si="77"/>
        <v>0</v>
      </c>
      <c r="X106" s="1367">
        <f>(J106/1.3)*1.39</f>
        <v>0</v>
      </c>
      <c r="Y106" s="1367">
        <f>(K106/1.39)*1.49</f>
        <v>0</v>
      </c>
      <c r="Z106" s="1367">
        <f>(L106/1.39)*1.49</f>
        <v>0</v>
      </c>
      <c r="AA106" s="1367">
        <f>(M106/1.39)*1.49</f>
        <v>0</v>
      </c>
      <c r="AB106" s="1367">
        <f>(N106/1.3)*1.39</f>
        <v>0</v>
      </c>
      <c r="AC106" s="1367">
        <f>(O106/1.3)*1.39</f>
        <v>0</v>
      </c>
      <c r="AD106" s="1367">
        <f>(P106/1.3)*1.39</f>
        <v>0</v>
      </c>
      <c r="AE106" s="1367">
        <f>(Q106/1.3)*1.39</f>
        <v>0</v>
      </c>
      <c r="AF106" s="1367">
        <f>(R106/1.3)*1.39</f>
        <v>0</v>
      </c>
      <c r="AG106" s="1367">
        <f>(S106/1.39)*1.49</f>
        <v>0</v>
      </c>
      <c r="AH106" s="1367">
        <f>(V106+Y106+Z106+AF106)*23.5%</f>
        <v>0</v>
      </c>
      <c r="AI106" s="1366">
        <f t="shared" si="79"/>
        <v>0</v>
      </c>
      <c r="AJ106" s="1366">
        <f t="shared" si="80"/>
        <v>0</v>
      </c>
      <c r="AK106" s="1463" t="e">
        <f t="shared" si="42"/>
        <v>#DIV/0!</v>
      </c>
      <c r="AL106" s="1431" t="e">
        <f t="shared" si="37"/>
        <v>#DIV/0!</v>
      </c>
    </row>
    <row r="107" spans="1:38" s="1431" customFormat="1" ht="21" hidden="1" customHeight="1">
      <c r="A107" s="1375"/>
      <c r="B107" s="1453" t="s">
        <v>2604</v>
      </c>
      <c r="C107" s="1455">
        <f t="shared" si="81"/>
        <v>0</v>
      </c>
      <c r="D107" s="1455"/>
      <c r="E107" s="1455"/>
      <c r="F107" s="1455"/>
      <c r="G107" s="1614">
        <f t="shared" si="74"/>
        <v>0</v>
      </c>
      <c r="H107" s="1617"/>
      <c r="I107" s="1614">
        <f t="shared" si="75"/>
        <v>0</v>
      </c>
      <c r="J107" s="1617"/>
      <c r="K107" s="1617"/>
      <c r="L107" s="1617"/>
      <c r="M107" s="1617"/>
      <c r="N107" s="1617"/>
      <c r="O107" s="1617"/>
      <c r="P107" s="1617"/>
      <c r="Q107" s="1617"/>
      <c r="R107" s="1617"/>
      <c r="S107" s="1617"/>
      <c r="T107" s="1621"/>
      <c r="U107" s="1614">
        <f t="shared" si="76"/>
        <v>0</v>
      </c>
      <c r="V107" s="1617"/>
      <c r="W107" s="1614">
        <f t="shared" si="77"/>
        <v>0</v>
      </c>
      <c r="X107" s="1617"/>
      <c r="Y107" s="1617"/>
      <c r="Z107" s="1617"/>
      <c r="AA107" s="1617"/>
      <c r="AB107" s="1617"/>
      <c r="AC107" s="1617"/>
      <c r="AD107" s="1617"/>
      <c r="AE107" s="1617"/>
      <c r="AF107" s="1617"/>
      <c r="AG107" s="1617"/>
      <c r="AH107" s="1621"/>
      <c r="AI107" s="1621">
        <f t="shared" si="79"/>
        <v>0</v>
      </c>
      <c r="AJ107" s="1366">
        <f t="shared" si="80"/>
        <v>0</v>
      </c>
      <c r="AK107" s="1463" t="e">
        <f t="shared" si="42"/>
        <v>#DIV/0!</v>
      </c>
      <c r="AL107" s="1431" t="e">
        <f t="shared" ref="AL107:AL170" si="82">U107/G107*100</f>
        <v>#DIV/0!</v>
      </c>
    </row>
    <row r="108" spans="1:38" s="1431" customFormat="1" ht="21" hidden="1" customHeight="1">
      <c r="A108" s="1375"/>
      <c r="B108" s="1453" t="s">
        <v>2605</v>
      </c>
      <c r="C108" s="1455">
        <f t="shared" si="81"/>
        <v>0</v>
      </c>
      <c r="D108" s="1455"/>
      <c r="E108" s="1455"/>
      <c r="F108" s="1455"/>
      <c r="G108" s="1614">
        <f t="shared" si="74"/>
        <v>0</v>
      </c>
      <c r="H108" s="1617"/>
      <c r="I108" s="1614">
        <f t="shared" si="75"/>
        <v>0</v>
      </c>
      <c r="J108" s="1617"/>
      <c r="K108" s="1617"/>
      <c r="L108" s="1617"/>
      <c r="M108" s="1617"/>
      <c r="N108" s="1617"/>
      <c r="O108" s="1617"/>
      <c r="P108" s="1617"/>
      <c r="Q108" s="1617"/>
      <c r="R108" s="1617"/>
      <c r="S108" s="1617"/>
      <c r="T108" s="1621"/>
      <c r="U108" s="1614">
        <f t="shared" si="76"/>
        <v>0</v>
      </c>
      <c r="V108" s="1617"/>
      <c r="W108" s="1614">
        <f t="shared" si="77"/>
        <v>0</v>
      </c>
      <c r="X108" s="1617"/>
      <c r="Y108" s="1617"/>
      <c r="Z108" s="1617"/>
      <c r="AA108" s="1617"/>
      <c r="AB108" s="1617"/>
      <c r="AC108" s="1617"/>
      <c r="AD108" s="1617"/>
      <c r="AE108" s="1617"/>
      <c r="AF108" s="1617"/>
      <c r="AG108" s="1617"/>
      <c r="AH108" s="1621"/>
      <c r="AI108" s="1621">
        <f t="shared" si="79"/>
        <v>0</v>
      </c>
      <c r="AJ108" s="1366">
        <f t="shared" si="80"/>
        <v>0</v>
      </c>
      <c r="AK108" s="1463" t="e">
        <f t="shared" si="42"/>
        <v>#DIV/0!</v>
      </c>
      <c r="AL108" s="1431" t="e">
        <f t="shared" si="82"/>
        <v>#DIV/0!</v>
      </c>
    </row>
    <row r="109" spans="1:38" s="1431" customFormat="1" ht="21" hidden="1" customHeight="1">
      <c r="A109" s="1375"/>
      <c r="B109" s="1453" t="s">
        <v>2606</v>
      </c>
      <c r="C109" s="1365">
        <v>12</v>
      </c>
      <c r="D109" s="1365">
        <v>9</v>
      </c>
      <c r="E109" s="1451"/>
      <c r="F109" s="1365">
        <v>9</v>
      </c>
      <c r="G109" s="1367">
        <f t="shared" si="74"/>
        <v>94.624598890000001</v>
      </c>
      <c r="H109" s="1577">
        <f>(34.35*1390)/1000</f>
        <v>47.746499999999997</v>
      </c>
      <c r="I109" s="1367">
        <f t="shared" si="75"/>
        <v>34.917939800000006</v>
      </c>
      <c r="J109" s="1365"/>
      <c r="K109" s="1577">
        <f>(0.6*1390)/1000</f>
        <v>0.83399999999999996</v>
      </c>
      <c r="L109" s="1577">
        <f>(1.6646*1390)/1000</f>
        <v>2.3137940000000001</v>
      </c>
      <c r="M109" s="1577">
        <f>(20.35622*1390)/1000</f>
        <v>28.295145800000004</v>
      </c>
      <c r="N109" s="1365"/>
      <c r="O109" s="1365"/>
      <c r="P109" s="1365"/>
      <c r="Q109" s="1365"/>
      <c r="R109" s="1577">
        <v>0</v>
      </c>
      <c r="S109" s="1577">
        <f>((0.9+1.6)*1390)/1000</f>
        <v>3.4750000000000001</v>
      </c>
      <c r="T109" s="1366">
        <f>(H109+K109+L109+R109)*23.5%</f>
        <v>11.960159089999999</v>
      </c>
      <c r="U109" s="1367">
        <f t="shared" si="76"/>
        <v>101.43212399000002</v>
      </c>
      <c r="V109" s="1367">
        <f>(H109/1.39)*1.49</f>
        <v>51.1815</v>
      </c>
      <c r="W109" s="1367">
        <f t="shared" si="77"/>
        <v>37.430021800000013</v>
      </c>
      <c r="X109" s="1367">
        <f>(J109/1.3)*1.39</f>
        <v>0</v>
      </c>
      <c r="Y109" s="1367">
        <f>(K109/1.39)*1.49</f>
        <v>0.89400000000000002</v>
      </c>
      <c r="Z109" s="1367">
        <f>(L109/1.39)*1.49</f>
        <v>2.4802540000000004</v>
      </c>
      <c r="AA109" s="1367">
        <f>(M109/1.39)*1.49</f>
        <v>30.330767800000007</v>
      </c>
      <c r="AB109" s="1367">
        <f>(N109/1.3)*1.39</f>
        <v>0</v>
      </c>
      <c r="AC109" s="1367">
        <f>(O109/1.3)*1.39</f>
        <v>0</v>
      </c>
      <c r="AD109" s="1367"/>
      <c r="AE109" s="1367">
        <f>(Q109/1.3)*1.39</f>
        <v>0</v>
      </c>
      <c r="AF109" s="1367">
        <f>(R109/1.3)*1.39</f>
        <v>0</v>
      </c>
      <c r="AG109" s="1367">
        <f>(S109/1.39)*1.49</f>
        <v>3.7250000000000005</v>
      </c>
      <c r="AH109" s="1367">
        <f>(V109+Y109+Z109+AF109)*23.5%</f>
        <v>12.820602189999999</v>
      </c>
      <c r="AI109" s="1366">
        <f t="shared" si="79"/>
        <v>6.8075251000000208</v>
      </c>
      <c r="AJ109" s="1366">
        <f t="shared" si="80"/>
        <v>81.690301200000249</v>
      </c>
      <c r="AK109" s="1463">
        <f t="shared" si="42"/>
        <v>0.75639167777778005</v>
      </c>
      <c r="AL109" s="1431">
        <f t="shared" si="82"/>
        <v>107.19424460431657</v>
      </c>
    </row>
    <row r="110" spans="1:38" s="1431" customFormat="1" ht="21" hidden="1" customHeight="1">
      <c r="A110" s="1375"/>
      <c r="B110" s="764" t="s">
        <v>2607</v>
      </c>
      <c r="C110" s="560">
        <f>SUM(C111:C119)</f>
        <v>1742</v>
      </c>
      <c r="D110" s="560">
        <f t="shared" ref="D110:AJ110" si="83">SUM(D111:D119)</f>
        <v>864</v>
      </c>
      <c r="E110" s="560">
        <f t="shared" si="83"/>
        <v>0</v>
      </c>
      <c r="F110" s="560">
        <f t="shared" si="83"/>
        <v>954</v>
      </c>
      <c r="G110" s="1617">
        <f t="shared" si="83"/>
        <v>6986.8784291599995</v>
      </c>
      <c r="H110" s="1617">
        <f t="shared" si="83"/>
        <v>4099.7938800000002</v>
      </c>
      <c r="I110" s="1617">
        <f t="shared" si="83"/>
        <v>1886.5103908000001</v>
      </c>
      <c r="J110" s="1617">
        <f t="shared" si="83"/>
        <v>0</v>
      </c>
      <c r="K110" s="1617">
        <f t="shared" si="83"/>
        <v>101.19200000000001</v>
      </c>
      <c r="L110" s="1617">
        <f t="shared" si="83"/>
        <v>56.776496000000009</v>
      </c>
      <c r="M110" s="1617">
        <f t="shared" si="83"/>
        <v>1518.0134677999999</v>
      </c>
      <c r="N110" s="1617">
        <f t="shared" si="83"/>
        <v>123.715977</v>
      </c>
      <c r="O110" s="1617">
        <f t="shared" si="83"/>
        <v>0</v>
      </c>
      <c r="P110" s="1617">
        <f t="shared" si="83"/>
        <v>0</v>
      </c>
      <c r="Q110" s="1617">
        <f t="shared" si="83"/>
        <v>0</v>
      </c>
      <c r="R110" s="1617">
        <f t="shared" si="83"/>
        <v>0</v>
      </c>
      <c r="S110" s="1617">
        <f t="shared" si="83"/>
        <v>86.812449999999998</v>
      </c>
      <c r="T110" s="1617">
        <f t="shared" si="83"/>
        <v>1000.57415836</v>
      </c>
      <c r="U110" s="1617">
        <f t="shared" si="83"/>
        <v>7489.5315535599984</v>
      </c>
      <c r="V110" s="1617">
        <f t="shared" si="83"/>
        <v>4394.7430800000002</v>
      </c>
      <c r="W110" s="1617">
        <f t="shared" si="83"/>
        <v>2022.2305627999999</v>
      </c>
      <c r="X110" s="1617">
        <f t="shared" si="83"/>
        <v>0</v>
      </c>
      <c r="Y110" s="1617">
        <f t="shared" si="83"/>
        <v>108.47200000000001</v>
      </c>
      <c r="Z110" s="1617">
        <f t="shared" si="83"/>
        <v>60.861136000000002</v>
      </c>
      <c r="AA110" s="1617">
        <f t="shared" si="83"/>
        <v>1627.2230698000001</v>
      </c>
      <c r="AB110" s="1617">
        <f t="shared" si="83"/>
        <v>132.61640700000001</v>
      </c>
      <c r="AC110" s="1617">
        <f t="shared" si="83"/>
        <v>0</v>
      </c>
      <c r="AD110" s="1617">
        <f t="shared" si="83"/>
        <v>0</v>
      </c>
      <c r="AE110" s="1617">
        <f t="shared" si="83"/>
        <v>0</v>
      </c>
      <c r="AF110" s="1617">
        <f t="shared" si="83"/>
        <v>0</v>
      </c>
      <c r="AG110" s="1617">
        <f t="shared" si="83"/>
        <v>93.057950000000005</v>
      </c>
      <c r="AH110" s="1617">
        <f t="shared" si="83"/>
        <v>1072.5579107599999</v>
      </c>
      <c r="AI110" s="1617">
        <f t="shared" si="83"/>
        <v>502.65312439999985</v>
      </c>
      <c r="AJ110" s="1617">
        <f t="shared" si="83"/>
        <v>6031.8374927999976</v>
      </c>
      <c r="AK110" s="1463">
        <f t="shared" si="42"/>
        <v>0.52689006750524092</v>
      </c>
      <c r="AL110" s="1431">
        <f t="shared" si="82"/>
        <v>107.19424460431652</v>
      </c>
    </row>
    <row r="111" spans="1:38" s="1431" customFormat="1" ht="21" hidden="1" customHeight="1">
      <c r="A111" s="1375"/>
      <c r="B111" s="1376" t="s">
        <v>2608</v>
      </c>
      <c r="C111" s="1365">
        <v>186</v>
      </c>
      <c r="D111" s="1365">
        <v>134</v>
      </c>
      <c r="E111" s="1451"/>
      <c r="F111" s="1365">
        <f>136</f>
        <v>136</v>
      </c>
      <c r="G111" s="1367">
        <f t="shared" ref="G111:G121" si="84">H111+I111+T111</f>
        <v>925.95727298500003</v>
      </c>
      <c r="H111" s="1577">
        <f>((396.34)*1390)/1000</f>
        <v>550.9126</v>
      </c>
      <c r="I111" s="1367">
        <f t="shared" ref="I111:I121" si="85">SUM(J111:S111)</f>
        <v>239.98897660000003</v>
      </c>
      <c r="J111" s="1365"/>
      <c r="K111" s="1577">
        <f>((9.5)*1390)/1000</f>
        <v>13.205</v>
      </c>
      <c r="L111" s="1577">
        <f>((7.6169)*1390)/1000</f>
        <v>10.587491</v>
      </c>
      <c r="M111" s="1577">
        <f>((146.63704)*1390)/1000</f>
        <v>203.82548560000001</v>
      </c>
      <c r="N111" s="1365"/>
      <c r="O111" s="1365"/>
      <c r="P111" s="1365"/>
      <c r="Q111" s="1365">
        <f t="shared" ref="Q111:Q119" si="86">(J111/1.39)*1.49</f>
        <v>0</v>
      </c>
      <c r="R111" s="1577">
        <v>0</v>
      </c>
      <c r="S111" s="1577">
        <f>(8.9*1390)/1000</f>
        <v>12.371</v>
      </c>
      <c r="T111" s="1366">
        <f t="shared" ref="T111:T119" si="87">(H111+K111+L111+R111)*23.5%</f>
        <v>135.055696385</v>
      </c>
      <c r="U111" s="1367">
        <f t="shared" ref="U111:U121" si="88">V111+W111+AH111</f>
        <v>992.57290413500004</v>
      </c>
      <c r="V111" s="1367">
        <f t="shared" ref="V111:V119" si="89">(H111/1.39)*1.49</f>
        <v>590.54660000000001</v>
      </c>
      <c r="W111" s="1367">
        <f t="shared" ref="W111:W121" si="90">SUM(X111:AG111)</f>
        <v>257.25437060000002</v>
      </c>
      <c r="X111" s="1367">
        <f t="shared" ref="X111:X119" si="91">(J111/1.3)*1.39</f>
        <v>0</v>
      </c>
      <c r="Y111" s="1367">
        <f t="shared" ref="Y111:AA119" si="92">(K111/1.39)*1.49</f>
        <v>14.154999999999999</v>
      </c>
      <c r="Z111" s="1367">
        <f t="shared" si="92"/>
        <v>11.349181</v>
      </c>
      <c r="AA111" s="1367">
        <f t="shared" si="92"/>
        <v>218.48918960000003</v>
      </c>
      <c r="AB111" s="1367">
        <f t="shared" ref="AB111:AF119" si="93">(N111/1.3)*1.39</f>
        <v>0</v>
      </c>
      <c r="AC111" s="1367">
        <f t="shared" si="93"/>
        <v>0</v>
      </c>
      <c r="AD111" s="1367">
        <f t="shared" si="93"/>
        <v>0</v>
      </c>
      <c r="AE111" s="1367">
        <f t="shared" si="93"/>
        <v>0</v>
      </c>
      <c r="AF111" s="1367">
        <f t="shared" si="93"/>
        <v>0</v>
      </c>
      <c r="AG111" s="1367">
        <f t="shared" ref="AG111:AG119" si="94">(S111/1.39)*1.49</f>
        <v>13.261000000000001</v>
      </c>
      <c r="AH111" s="1367">
        <f t="shared" ref="AH111:AH119" si="95">(V111+Y111+Z111+AF111)*23.5%</f>
        <v>144.77193353499999</v>
      </c>
      <c r="AI111" s="1366">
        <f t="shared" ref="AI111:AI121" si="96">U111-G111</f>
        <v>66.615631150000013</v>
      </c>
      <c r="AJ111" s="1366">
        <f t="shared" ref="AJ111:AJ121" si="97">AI111*12</f>
        <v>799.38757380000015</v>
      </c>
      <c r="AK111" s="1463"/>
      <c r="AL111" s="1431">
        <f t="shared" si="82"/>
        <v>107.19424460431655</v>
      </c>
    </row>
    <row r="112" spans="1:38" s="1431" customFormat="1" ht="21" hidden="1" customHeight="1">
      <c r="A112" s="1375"/>
      <c r="B112" s="1376" t="s">
        <v>2609</v>
      </c>
      <c r="C112" s="1365">
        <v>350</v>
      </c>
      <c r="D112" s="1365">
        <v>187</v>
      </c>
      <c r="E112" s="1451"/>
      <c r="F112" s="1365">
        <f>221</f>
        <v>221</v>
      </c>
      <c r="G112" s="1367">
        <f t="shared" si="84"/>
        <v>1511.81628763</v>
      </c>
      <c r="H112" s="1577">
        <f>(648.008*1390)/1000</f>
        <v>900.73112000000003</v>
      </c>
      <c r="I112" s="1367">
        <f t="shared" si="85"/>
        <v>392.81038599999999</v>
      </c>
      <c r="J112" s="1365"/>
      <c r="K112" s="1577">
        <f>((14.6)*1390)/1000</f>
        <v>20.294</v>
      </c>
      <c r="L112" s="1577">
        <f>((5.6142)*1390)/1000</f>
        <v>7.8037380000000001</v>
      </c>
      <c r="M112" s="1577">
        <f>(246.9832)*1390/1000</f>
        <v>343.306648</v>
      </c>
      <c r="N112" s="1577"/>
      <c r="O112" s="1577"/>
      <c r="P112" s="1365"/>
      <c r="Q112" s="1365">
        <f t="shared" si="86"/>
        <v>0</v>
      </c>
      <c r="R112" s="1577">
        <v>0</v>
      </c>
      <c r="S112" s="1577">
        <f>(15.4*1390)/1000</f>
        <v>21.405999999999999</v>
      </c>
      <c r="T112" s="1366">
        <f t="shared" si="87"/>
        <v>218.27478162999998</v>
      </c>
      <c r="U112" s="1367">
        <f t="shared" si="88"/>
        <v>1620.5800493299998</v>
      </c>
      <c r="V112" s="1367">
        <f t="shared" si="89"/>
        <v>965.53192000000001</v>
      </c>
      <c r="W112" s="1367">
        <f t="shared" si="90"/>
        <v>421.07012600000007</v>
      </c>
      <c r="X112" s="1367">
        <f t="shared" si="91"/>
        <v>0</v>
      </c>
      <c r="Y112" s="1367">
        <f t="shared" si="92"/>
        <v>21.754000000000001</v>
      </c>
      <c r="Z112" s="1367">
        <f t="shared" si="92"/>
        <v>8.365158000000001</v>
      </c>
      <c r="AA112" s="1367">
        <f t="shared" si="92"/>
        <v>368.00496800000002</v>
      </c>
      <c r="AB112" s="1367">
        <f t="shared" si="93"/>
        <v>0</v>
      </c>
      <c r="AC112" s="1367">
        <f t="shared" si="93"/>
        <v>0</v>
      </c>
      <c r="AD112" s="1367">
        <f t="shared" si="93"/>
        <v>0</v>
      </c>
      <c r="AE112" s="1367">
        <f t="shared" si="93"/>
        <v>0</v>
      </c>
      <c r="AF112" s="1367">
        <f t="shared" si="93"/>
        <v>0</v>
      </c>
      <c r="AG112" s="1367">
        <f t="shared" si="94"/>
        <v>22.946000000000002</v>
      </c>
      <c r="AH112" s="1367">
        <f t="shared" si="95"/>
        <v>233.97800332999998</v>
      </c>
      <c r="AI112" s="1366">
        <f t="shared" si="96"/>
        <v>108.7637616999998</v>
      </c>
      <c r="AJ112" s="1366">
        <f t="shared" si="97"/>
        <v>1305.1651403999977</v>
      </c>
      <c r="AK112" s="1463"/>
      <c r="AL112" s="1431">
        <f t="shared" si="82"/>
        <v>107.19424460431652</v>
      </c>
    </row>
    <row r="113" spans="1:38" s="1431" customFormat="1" ht="21" hidden="1" customHeight="1">
      <c r="A113" s="1375"/>
      <c r="B113" s="1376" t="s">
        <v>2610</v>
      </c>
      <c r="C113" s="1365">
        <v>278</v>
      </c>
      <c r="D113" s="1365">
        <v>160</v>
      </c>
      <c r="E113" s="1451"/>
      <c r="F113" s="1365">
        <f>177</f>
        <v>177</v>
      </c>
      <c r="G113" s="1367">
        <f t="shared" si="84"/>
        <v>1293.197324625</v>
      </c>
      <c r="H113" s="1577">
        <f>(561.64*1390)/1000</f>
        <v>780.67959999999994</v>
      </c>
      <c r="I113" s="1367">
        <f t="shared" si="85"/>
        <v>322.02116100000001</v>
      </c>
      <c r="J113" s="1365"/>
      <c r="K113" s="1577">
        <f>(14.2*1390)/1000</f>
        <v>19.738</v>
      </c>
      <c r="L113" s="1577">
        <f>(7.3425*1390)/1000</f>
        <v>10.206075</v>
      </c>
      <c r="M113" s="1577">
        <f>(203.1274*1390)/1000</f>
        <v>282.34708599999999</v>
      </c>
      <c r="N113" s="1365"/>
      <c r="O113" s="1365"/>
      <c r="P113" s="1365"/>
      <c r="Q113" s="1365">
        <f t="shared" si="86"/>
        <v>0</v>
      </c>
      <c r="R113" s="1577">
        <v>0</v>
      </c>
      <c r="S113" s="1577">
        <f>(7*1390)/1000</f>
        <v>9.73</v>
      </c>
      <c r="T113" s="1366">
        <f t="shared" si="87"/>
        <v>190.49656362499999</v>
      </c>
      <c r="U113" s="1367">
        <f t="shared" si="88"/>
        <v>1386.2331033749999</v>
      </c>
      <c r="V113" s="1367">
        <f t="shared" si="89"/>
        <v>836.84359999999992</v>
      </c>
      <c r="W113" s="1367">
        <f t="shared" si="90"/>
        <v>345.188151</v>
      </c>
      <c r="X113" s="1367">
        <f t="shared" si="91"/>
        <v>0</v>
      </c>
      <c r="Y113" s="1367">
        <f t="shared" si="92"/>
        <v>21.158000000000001</v>
      </c>
      <c r="Z113" s="1367">
        <f t="shared" si="92"/>
        <v>10.940325</v>
      </c>
      <c r="AA113" s="1367">
        <f t="shared" si="92"/>
        <v>302.65982600000001</v>
      </c>
      <c r="AB113" s="1367">
        <f t="shared" si="93"/>
        <v>0</v>
      </c>
      <c r="AC113" s="1367">
        <f t="shared" si="93"/>
        <v>0</v>
      </c>
      <c r="AD113" s="1367">
        <f t="shared" si="93"/>
        <v>0</v>
      </c>
      <c r="AE113" s="1367">
        <f t="shared" si="93"/>
        <v>0</v>
      </c>
      <c r="AF113" s="1367">
        <f t="shared" si="93"/>
        <v>0</v>
      </c>
      <c r="AG113" s="1367">
        <f t="shared" si="94"/>
        <v>10.430000000000001</v>
      </c>
      <c r="AH113" s="1367">
        <f t="shared" si="95"/>
        <v>204.20135237499997</v>
      </c>
      <c r="AI113" s="1366">
        <f t="shared" si="96"/>
        <v>93.035778749999963</v>
      </c>
      <c r="AJ113" s="1366">
        <f t="shared" si="97"/>
        <v>1116.4293449999996</v>
      </c>
      <c r="AK113" s="1463"/>
      <c r="AL113" s="1431">
        <f t="shared" si="82"/>
        <v>107.19424460431655</v>
      </c>
    </row>
    <row r="114" spans="1:38" s="1431" customFormat="1" ht="21" hidden="1" customHeight="1">
      <c r="A114" s="1375"/>
      <c r="B114" s="1376" t="s">
        <v>2611</v>
      </c>
      <c r="C114" s="1464">
        <v>215</v>
      </c>
      <c r="D114" s="1365">
        <v>113</v>
      </c>
      <c r="E114" s="1451"/>
      <c r="F114" s="1365">
        <v>114</v>
      </c>
      <c r="G114" s="1367">
        <f t="shared" si="84"/>
        <v>829.55135642999994</v>
      </c>
      <c r="H114" s="1577">
        <f>(353.627*1390)/1000</f>
        <v>491.54153000000002</v>
      </c>
      <c r="I114" s="1367">
        <f t="shared" si="85"/>
        <v>217.96784599999998</v>
      </c>
      <c r="J114" s="1365"/>
      <c r="K114" s="1577">
        <f>(8.2*1390)/1000</f>
        <v>11.397999999999998</v>
      </c>
      <c r="L114" s="1577">
        <f>(5.6672*1390)/1000</f>
        <v>7.877408</v>
      </c>
      <c r="M114" s="1577">
        <f>(132.3892*1390)/1000</f>
        <v>184.02098799999999</v>
      </c>
      <c r="N114" s="1365">
        <f t="shared" ref="N114:O116" si="98">0*1300</f>
        <v>0</v>
      </c>
      <c r="O114" s="1365">
        <f t="shared" si="98"/>
        <v>0</v>
      </c>
      <c r="P114" s="1365"/>
      <c r="Q114" s="1365">
        <f t="shared" si="86"/>
        <v>0</v>
      </c>
      <c r="R114" s="1577">
        <v>0</v>
      </c>
      <c r="S114" s="1577">
        <f>(10.555*1390)/1000</f>
        <v>14.671449999999998</v>
      </c>
      <c r="T114" s="1366">
        <f t="shared" si="87"/>
        <v>120.04198043000001</v>
      </c>
      <c r="U114" s="1367">
        <f t="shared" si="88"/>
        <v>889.23131013</v>
      </c>
      <c r="V114" s="1367">
        <f t="shared" si="89"/>
        <v>526.9042300000001</v>
      </c>
      <c r="W114" s="1367">
        <f t="shared" si="90"/>
        <v>233.64898599999995</v>
      </c>
      <c r="X114" s="1367">
        <f t="shared" si="91"/>
        <v>0</v>
      </c>
      <c r="Y114" s="1367">
        <f t="shared" si="92"/>
        <v>12.217999999999998</v>
      </c>
      <c r="Z114" s="1367">
        <f t="shared" si="92"/>
        <v>8.444128000000001</v>
      </c>
      <c r="AA114" s="1367">
        <f t="shared" si="92"/>
        <v>197.25990799999997</v>
      </c>
      <c r="AB114" s="1367">
        <f t="shared" si="93"/>
        <v>0</v>
      </c>
      <c r="AC114" s="1367">
        <f t="shared" si="93"/>
        <v>0</v>
      </c>
      <c r="AD114" s="1367">
        <f t="shared" si="93"/>
        <v>0</v>
      </c>
      <c r="AE114" s="1367">
        <f t="shared" si="93"/>
        <v>0</v>
      </c>
      <c r="AF114" s="1367">
        <f t="shared" si="93"/>
        <v>0</v>
      </c>
      <c r="AG114" s="1367">
        <f t="shared" si="94"/>
        <v>15.726949999999999</v>
      </c>
      <c r="AH114" s="1367">
        <f t="shared" si="95"/>
        <v>128.67809413000001</v>
      </c>
      <c r="AI114" s="1366">
        <f t="shared" si="96"/>
        <v>59.679953700000056</v>
      </c>
      <c r="AJ114" s="1366">
        <f t="shared" si="97"/>
        <v>716.15944440000067</v>
      </c>
      <c r="AK114" s="1463"/>
      <c r="AL114" s="1431">
        <f t="shared" si="82"/>
        <v>107.19424460431655</v>
      </c>
    </row>
    <row r="115" spans="1:38" s="1431" customFormat="1" ht="21" hidden="1" customHeight="1">
      <c r="A115" s="1375"/>
      <c r="B115" s="1376" t="s">
        <v>2612</v>
      </c>
      <c r="C115" s="1365">
        <v>127</v>
      </c>
      <c r="D115" s="1365">
        <v>41</v>
      </c>
      <c r="E115" s="1451"/>
      <c r="F115" s="1365">
        <v>44</v>
      </c>
      <c r="G115" s="1367">
        <f t="shared" si="84"/>
        <v>341.6568987</v>
      </c>
      <c r="H115" s="1577">
        <f>(148.97*1390)/1000</f>
        <v>207.06829999999999</v>
      </c>
      <c r="I115" s="1367">
        <f t="shared" si="85"/>
        <v>84.522953200000003</v>
      </c>
      <c r="J115" s="1365"/>
      <c r="K115" s="1577">
        <f>(3.2*1390)/1000</f>
        <v>4.4480000000000004</v>
      </c>
      <c r="L115" s="1577">
        <f>(1.1*1390)/1000</f>
        <v>1.5290000000000001</v>
      </c>
      <c r="M115" s="1577">
        <f>(53.50788*1390)/1000</f>
        <v>74.375953199999998</v>
      </c>
      <c r="N115" s="1365">
        <f t="shared" si="98"/>
        <v>0</v>
      </c>
      <c r="O115" s="1365">
        <f t="shared" si="98"/>
        <v>0</v>
      </c>
      <c r="P115" s="1365"/>
      <c r="Q115" s="1365">
        <f t="shared" si="86"/>
        <v>0</v>
      </c>
      <c r="R115" s="1577">
        <v>0</v>
      </c>
      <c r="S115" s="1577">
        <f>(3*1390)/1000</f>
        <v>4.17</v>
      </c>
      <c r="T115" s="1366">
        <f t="shared" si="87"/>
        <v>50.065645499999995</v>
      </c>
      <c r="U115" s="1367">
        <f t="shared" si="88"/>
        <v>366.2365317</v>
      </c>
      <c r="V115" s="1367">
        <f t="shared" si="89"/>
        <v>221.96529999999998</v>
      </c>
      <c r="W115" s="1367">
        <f t="shared" si="90"/>
        <v>90.603741200000002</v>
      </c>
      <c r="X115" s="1367">
        <f t="shared" si="91"/>
        <v>0</v>
      </c>
      <c r="Y115" s="1367">
        <f t="shared" si="92"/>
        <v>4.7680000000000007</v>
      </c>
      <c r="Z115" s="1367">
        <f t="shared" si="92"/>
        <v>1.639</v>
      </c>
      <c r="AA115" s="1367">
        <f t="shared" si="92"/>
        <v>79.726741200000006</v>
      </c>
      <c r="AB115" s="1367">
        <f t="shared" si="93"/>
        <v>0</v>
      </c>
      <c r="AC115" s="1367">
        <f t="shared" si="93"/>
        <v>0</v>
      </c>
      <c r="AD115" s="1367">
        <f t="shared" si="93"/>
        <v>0</v>
      </c>
      <c r="AE115" s="1367">
        <f t="shared" si="93"/>
        <v>0</v>
      </c>
      <c r="AF115" s="1367">
        <f t="shared" si="93"/>
        <v>0</v>
      </c>
      <c r="AG115" s="1367">
        <f t="shared" si="94"/>
        <v>4.47</v>
      </c>
      <c r="AH115" s="1367">
        <f t="shared" si="95"/>
        <v>53.667490499999992</v>
      </c>
      <c r="AI115" s="1366">
        <f t="shared" si="96"/>
        <v>24.579633000000001</v>
      </c>
      <c r="AJ115" s="1366">
        <f t="shared" si="97"/>
        <v>294.95559600000001</v>
      </c>
      <c r="AK115" s="1463"/>
      <c r="AL115" s="1431">
        <f t="shared" si="82"/>
        <v>107.19424460431655</v>
      </c>
    </row>
    <row r="116" spans="1:38" s="1431" customFormat="1" ht="21" hidden="1" customHeight="1">
      <c r="A116" s="1375"/>
      <c r="B116" s="1376" t="s">
        <v>2613</v>
      </c>
      <c r="C116" s="1365">
        <v>225</v>
      </c>
      <c r="D116" s="1365">
        <v>133</v>
      </c>
      <c r="E116" s="1451"/>
      <c r="F116" s="1365">
        <v>151</v>
      </c>
      <c r="G116" s="1367">
        <f t="shared" si="84"/>
        <v>1103.4229674700002</v>
      </c>
      <c r="H116" s="1577">
        <f>(479.82*1390)/1000</f>
        <v>666.9498000000001</v>
      </c>
      <c r="I116" s="1367">
        <f t="shared" si="85"/>
        <v>273.77670740000002</v>
      </c>
      <c r="J116" s="1365"/>
      <c r="K116" s="1577">
        <f>(11.1*1390)/1000</f>
        <v>15.429</v>
      </c>
      <c r="L116" s="1577">
        <f>(7.1558*1390)/1000</f>
        <v>9.9465620000000001</v>
      </c>
      <c r="M116" s="1577">
        <f>(166.60586*1390)/1000</f>
        <v>231.5821454</v>
      </c>
      <c r="N116" s="1365">
        <f t="shared" si="98"/>
        <v>0</v>
      </c>
      <c r="O116" s="1365">
        <f t="shared" si="98"/>
        <v>0</v>
      </c>
      <c r="P116" s="1365"/>
      <c r="Q116" s="1365">
        <f t="shared" si="86"/>
        <v>0</v>
      </c>
      <c r="R116" s="1577">
        <v>0</v>
      </c>
      <c r="S116" s="1577">
        <f>(12.1*1390)/1000</f>
        <v>16.818999999999999</v>
      </c>
      <c r="T116" s="1366">
        <f t="shared" si="87"/>
        <v>162.69646007</v>
      </c>
      <c r="U116" s="1367">
        <f t="shared" si="88"/>
        <v>1182.8059147700001</v>
      </c>
      <c r="V116" s="1367">
        <f t="shared" si="89"/>
        <v>714.93180000000018</v>
      </c>
      <c r="W116" s="1367">
        <f t="shared" si="90"/>
        <v>293.47287339999997</v>
      </c>
      <c r="X116" s="1367">
        <f t="shared" si="91"/>
        <v>0</v>
      </c>
      <c r="Y116" s="1367">
        <f t="shared" si="92"/>
        <v>16.539000000000001</v>
      </c>
      <c r="Z116" s="1367">
        <f t="shared" si="92"/>
        <v>10.662141999999999</v>
      </c>
      <c r="AA116" s="1367">
        <f t="shared" si="92"/>
        <v>248.2427314</v>
      </c>
      <c r="AB116" s="1367">
        <f t="shared" si="93"/>
        <v>0</v>
      </c>
      <c r="AC116" s="1367">
        <f t="shared" si="93"/>
        <v>0</v>
      </c>
      <c r="AD116" s="1367">
        <f t="shared" si="93"/>
        <v>0</v>
      </c>
      <c r="AE116" s="1367">
        <f t="shared" si="93"/>
        <v>0</v>
      </c>
      <c r="AF116" s="1367">
        <f t="shared" si="93"/>
        <v>0</v>
      </c>
      <c r="AG116" s="1367">
        <f t="shared" si="94"/>
        <v>18.029</v>
      </c>
      <c r="AH116" s="1367">
        <f t="shared" si="95"/>
        <v>174.40124137000004</v>
      </c>
      <c r="AI116" s="1366">
        <f t="shared" si="96"/>
        <v>79.382947299999842</v>
      </c>
      <c r="AJ116" s="1366">
        <f t="shared" si="97"/>
        <v>952.5953675999981</v>
      </c>
      <c r="AK116" s="1463"/>
      <c r="AL116" s="1431">
        <f t="shared" si="82"/>
        <v>107.19424460431652</v>
      </c>
    </row>
    <row r="117" spans="1:38" s="1431" customFormat="1" ht="21" hidden="1" customHeight="1">
      <c r="A117" s="1375"/>
      <c r="B117" s="1376" t="s">
        <v>2614</v>
      </c>
      <c r="C117" s="1365">
        <v>136</v>
      </c>
      <c r="D117" s="1365">
        <v>30</v>
      </c>
      <c r="E117" s="1451"/>
      <c r="F117" s="1365">
        <v>36</v>
      </c>
      <c r="G117" s="1367">
        <f t="shared" si="84"/>
        <v>425.73992384999997</v>
      </c>
      <c r="H117" s="1577">
        <f>(118.697*1390)/1000</f>
        <v>164.98883000000001</v>
      </c>
      <c r="I117" s="1367">
        <f t="shared" si="85"/>
        <v>220.504874</v>
      </c>
      <c r="J117" s="1365"/>
      <c r="K117" s="1577">
        <f>(3.7*1390)/1000</f>
        <v>5.1429999999999998</v>
      </c>
      <c r="L117" s="1577">
        <f>(0.812*1390)/1000</f>
        <v>1.1286800000000001</v>
      </c>
      <c r="M117" s="1577">
        <f>(63.8203*1390)/1000</f>
        <v>88.710217</v>
      </c>
      <c r="N117" s="1577">
        <f>(89.0043*1390)/1000</f>
        <v>123.715977</v>
      </c>
      <c r="O117" s="1577">
        <f>(0*1300)/1000</f>
        <v>0</v>
      </c>
      <c r="P117" s="1365"/>
      <c r="Q117" s="1365">
        <f t="shared" si="86"/>
        <v>0</v>
      </c>
      <c r="R117" s="1577">
        <v>0</v>
      </c>
      <c r="S117" s="1577">
        <f>(1.3*1390)/1000</f>
        <v>1.8069999999999999</v>
      </c>
      <c r="T117" s="1366">
        <f t="shared" si="87"/>
        <v>40.246219850000003</v>
      </c>
      <c r="U117" s="1367">
        <f t="shared" si="88"/>
        <v>456.36869535000005</v>
      </c>
      <c r="V117" s="1367">
        <f t="shared" si="89"/>
        <v>176.85853000000003</v>
      </c>
      <c r="W117" s="1367">
        <f t="shared" si="90"/>
        <v>236.36853400000001</v>
      </c>
      <c r="X117" s="1367">
        <f t="shared" si="91"/>
        <v>0</v>
      </c>
      <c r="Y117" s="1367">
        <f t="shared" si="92"/>
        <v>5.5129999999999999</v>
      </c>
      <c r="Z117" s="1367">
        <f t="shared" si="92"/>
        <v>1.2098800000000003</v>
      </c>
      <c r="AA117" s="1367">
        <f t="shared" si="92"/>
        <v>95.092247</v>
      </c>
      <c r="AB117" s="1367">
        <f>(N117/1.39)*1.49</f>
        <v>132.61640700000001</v>
      </c>
      <c r="AC117" s="1367">
        <f t="shared" si="93"/>
        <v>0</v>
      </c>
      <c r="AD117" s="1367">
        <f t="shared" si="93"/>
        <v>0</v>
      </c>
      <c r="AE117" s="1367">
        <f t="shared" si="93"/>
        <v>0</v>
      </c>
      <c r="AF117" s="1367">
        <f t="shared" si="93"/>
        <v>0</v>
      </c>
      <c r="AG117" s="1367">
        <f t="shared" si="94"/>
        <v>1.9370000000000001</v>
      </c>
      <c r="AH117" s="1367">
        <f t="shared" si="95"/>
        <v>43.141631350000004</v>
      </c>
      <c r="AI117" s="1366">
        <f t="shared" si="96"/>
        <v>30.628771500000084</v>
      </c>
      <c r="AJ117" s="1366">
        <f t="shared" si="97"/>
        <v>367.54525800000101</v>
      </c>
      <c r="AK117" s="1463"/>
      <c r="AL117" s="1431">
        <f t="shared" si="82"/>
        <v>107.19424460431657</v>
      </c>
    </row>
    <row r="118" spans="1:38" s="1431" customFormat="1" ht="21" hidden="1" customHeight="1">
      <c r="A118" s="1375"/>
      <c r="B118" s="1376" t="s">
        <v>2615</v>
      </c>
      <c r="C118" s="1365">
        <v>120</v>
      </c>
      <c r="D118" s="1365">
        <v>25</v>
      </c>
      <c r="E118" s="1451"/>
      <c r="F118" s="1365">
        <v>33</v>
      </c>
      <c r="G118" s="1367">
        <f t="shared" si="84"/>
        <v>224.07781895999997</v>
      </c>
      <c r="H118" s="1577">
        <f>(99.01*1390)/1000</f>
        <v>137.62389999999999</v>
      </c>
      <c r="I118" s="1367">
        <f t="shared" si="85"/>
        <v>52.422737999999995</v>
      </c>
      <c r="J118" s="1365"/>
      <c r="K118" s="1577">
        <f>(3.7*1390)/1000</f>
        <v>5.1429999999999998</v>
      </c>
      <c r="L118" s="1577">
        <f>(1.4724*1390)/1000</f>
        <v>2.0466359999999999</v>
      </c>
      <c r="M118" s="1577">
        <f>(30.4418*1390)/1000</f>
        <v>42.314101999999998</v>
      </c>
      <c r="N118" s="1577">
        <f>(0*1300)/1000</f>
        <v>0</v>
      </c>
      <c r="O118" s="1577">
        <f>(0*1300)/1000</f>
        <v>0</v>
      </c>
      <c r="P118" s="1365"/>
      <c r="Q118" s="1365">
        <f t="shared" si="86"/>
        <v>0</v>
      </c>
      <c r="R118" s="1577">
        <v>0</v>
      </c>
      <c r="S118" s="1577">
        <f>(2.1*1390)/1000</f>
        <v>2.919</v>
      </c>
      <c r="T118" s="1366">
        <f t="shared" si="87"/>
        <v>34.03118096</v>
      </c>
      <c r="U118" s="1367">
        <f t="shared" si="88"/>
        <v>240.19852536000002</v>
      </c>
      <c r="V118" s="1367">
        <f t="shared" si="89"/>
        <v>147.5249</v>
      </c>
      <c r="W118" s="1367">
        <f t="shared" si="90"/>
        <v>56.194158000000002</v>
      </c>
      <c r="X118" s="1367">
        <f t="shared" si="91"/>
        <v>0</v>
      </c>
      <c r="Y118" s="1367">
        <f t="shared" si="92"/>
        <v>5.5129999999999999</v>
      </c>
      <c r="Z118" s="1367">
        <f t="shared" si="92"/>
        <v>2.1938759999999999</v>
      </c>
      <c r="AA118" s="1367">
        <f t="shared" si="92"/>
        <v>45.358282000000003</v>
      </c>
      <c r="AB118" s="1367">
        <f>(N118/1.3)*1.39</f>
        <v>0</v>
      </c>
      <c r="AC118" s="1367">
        <f t="shared" si="93"/>
        <v>0</v>
      </c>
      <c r="AD118" s="1367">
        <f t="shared" si="93"/>
        <v>0</v>
      </c>
      <c r="AE118" s="1367">
        <f t="shared" si="93"/>
        <v>0</v>
      </c>
      <c r="AF118" s="1367">
        <f t="shared" si="93"/>
        <v>0</v>
      </c>
      <c r="AG118" s="1367">
        <f t="shared" si="94"/>
        <v>3.129</v>
      </c>
      <c r="AH118" s="1367">
        <f t="shared" si="95"/>
        <v>36.479467359999994</v>
      </c>
      <c r="AI118" s="1366">
        <f t="shared" si="96"/>
        <v>16.120706400000046</v>
      </c>
      <c r="AJ118" s="1366">
        <f t="shared" si="97"/>
        <v>193.44847680000055</v>
      </c>
      <c r="AK118" s="1463"/>
      <c r="AL118" s="1431">
        <f t="shared" si="82"/>
        <v>107.19424460431657</v>
      </c>
    </row>
    <row r="119" spans="1:38" s="1431" customFormat="1" ht="21" hidden="1" customHeight="1">
      <c r="A119" s="1375"/>
      <c r="B119" s="1376" t="s">
        <v>2616</v>
      </c>
      <c r="C119" s="1365">
        <v>105</v>
      </c>
      <c r="D119" s="1365">
        <v>41</v>
      </c>
      <c r="E119" s="1451"/>
      <c r="F119" s="1365">
        <v>42</v>
      </c>
      <c r="G119" s="1367">
        <f t="shared" si="84"/>
        <v>331.45857851</v>
      </c>
      <c r="H119" s="1577">
        <f>(143.38*1390)/1000</f>
        <v>199.29819999999998</v>
      </c>
      <c r="I119" s="1367">
        <f t="shared" si="85"/>
        <v>82.494748599999994</v>
      </c>
      <c r="J119" s="1365"/>
      <c r="K119" s="1577">
        <f>(4.6*1390)/1000</f>
        <v>6.3939999999999992</v>
      </c>
      <c r="L119" s="1577">
        <f>(4.0654*1390)/1000</f>
        <v>5.6509060000000009</v>
      </c>
      <c r="M119" s="1577">
        <f>(48.58334*1390)/1000</f>
        <v>67.5308426</v>
      </c>
      <c r="N119" s="1577">
        <f>(0*1300)/1000</f>
        <v>0</v>
      </c>
      <c r="O119" s="1577">
        <f>(0*1300)/1000</f>
        <v>0</v>
      </c>
      <c r="P119" s="1365"/>
      <c r="Q119" s="1365">
        <f t="shared" si="86"/>
        <v>0</v>
      </c>
      <c r="R119" s="1577">
        <v>0</v>
      </c>
      <c r="S119" s="1577">
        <f>(2.1*1390)/1000</f>
        <v>2.919</v>
      </c>
      <c r="T119" s="1366">
        <f t="shared" si="87"/>
        <v>49.665629909999993</v>
      </c>
      <c r="U119" s="1367">
        <f t="shared" si="88"/>
        <v>355.30451941000001</v>
      </c>
      <c r="V119" s="1367">
        <f t="shared" si="89"/>
        <v>213.6362</v>
      </c>
      <c r="W119" s="1367">
        <f t="shared" si="90"/>
        <v>88.429622600000002</v>
      </c>
      <c r="X119" s="1367">
        <f t="shared" si="91"/>
        <v>0</v>
      </c>
      <c r="Y119" s="1367">
        <f t="shared" si="92"/>
        <v>6.8539999999999992</v>
      </c>
      <c r="Z119" s="1367">
        <f t="shared" si="92"/>
        <v>6.0574460000000014</v>
      </c>
      <c r="AA119" s="1367">
        <f t="shared" si="92"/>
        <v>72.389176599999999</v>
      </c>
      <c r="AB119" s="1367">
        <f>(N119/1.3)*1.39</f>
        <v>0</v>
      </c>
      <c r="AC119" s="1367">
        <f t="shared" si="93"/>
        <v>0</v>
      </c>
      <c r="AD119" s="1367">
        <f t="shared" si="93"/>
        <v>0</v>
      </c>
      <c r="AE119" s="1367">
        <f t="shared" si="93"/>
        <v>0</v>
      </c>
      <c r="AF119" s="1367">
        <f t="shared" si="93"/>
        <v>0</v>
      </c>
      <c r="AG119" s="1367">
        <f t="shared" si="94"/>
        <v>3.129</v>
      </c>
      <c r="AH119" s="1367">
        <f t="shared" si="95"/>
        <v>53.23869681</v>
      </c>
      <c r="AI119" s="1366">
        <f t="shared" si="96"/>
        <v>23.845940900000016</v>
      </c>
      <c r="AJ119" s="1366">
        <f t="shared" si="97"/>
        <v>286.1512908000002</v>
      </c>
      <c r="AK119" s="1463"/>
      <c r="AL119" s="1431">
        <f t="shared" si="82"/>
        <v>107.19424460431655</v>
      </c>
    </row>
    <row r="120" spans="1:38" s="1431" customFormat="1" ht="21" hidden="1" customHeight="1">
      <c r="A120" s="1375"/>
      <c r="B120" s="1453" t="s">
        <v>2617</v>
      </c>
      <c r="C120" s="1455">
        <f t="shared" ref="C120:C121" si="99">D120+E120</f>
        <v>0</v>
      </c>
      <c r="D120" s="1455"/>
      <c r="E120" s="1455"/>
      <c r="F120" s="1455"/>
      <c r="G120" s="1614">
        <f t="shared" si="84"/>
        <v>0</v>
      </c>
      <c r="H120" s="1617"/>
      <c r="I120" s="1614">
        <f t="shared" si="85"/>
        <v>0</v>
      </c>
      <c r="J120" s="1617"/>
      <c r="K120" s="1617"/>
      <c r="L120" s="1617"/>
      <c r="M120" s="1617"/>
      <c r="N120" s="1617"/>
      <c r="O120" s="1617"/>
      <c r="P120" s="1617"/>
      <c r="Q120" s="1617"/>
      <c r="R120" s="1617"/>
      <c r="S120" s="1617"/>
      <c r="T120" s="1621"/>
      <c r="U120" s="1614">
        <f t="shared" si="88"/>
        <v>0</v>
      </c>
      <c r="V120" s="1617"/>
      <c r="W120" s="1614">
        <f t="shared" si="90"/>
        <v>0</v>
      </c>
      <c r="X120" s="1617"/>
      <c r="Y120" s="1617"/>
      <c r="Z120" s="1617"/>
      <c r="AA120" s="1617"/>
      <c r="AB120" s="1617"/>
      <c r="AC120" s="1617"/>
      <c r="AD120" s="1617"/>
      <c r="AE120" s="1617"/>
      <c r="AF120" s="1617"/>
      <c r="AG120" s="1617"/>
      <c r="AH120" s="1621"/>
      <c r="AI120" s="1621">
        <f t="shared" si="96"/>
        <v>0</v>
      </c>
      <c r="AJ120" s="1366">
        <f t="shared" si="97"/>
        <v>0</v>
      </c>
      <c r="AK120" s="1463" t="e">
        <f t="shared" ref="AK120:AK134" si="100">AI120/F120</f>
        <v>#DIV/0!</v>
      </c>
      <c r="AL120" s="1431" t="e">
        <f t="shared" si="82"/>
        <v>#DIV/0!</v>
      </c>
    </row>
    <row r="121" spans="1:38" s="1431" customFormat="1" ht="21" hidden="1" customHeight="1">
      <c r="A121" s="1375"/>
      <c r="B121" s="764" t="s">
        <v>2618</v>
      </c>
      <c r="C121" s="1455">
        <f t="shared" si="99"/>
        <v>510</v>
      </c>
      <c r="D121" s="1365">
        <v>510</v>
      </c>
      <c r="E121" s="1451"/>
      <c r="F121" s="1365">
        <v>600</v>
      </c>
      <c r="G121" s="1367">
        <f t="shared" si="84"/>
        <v>4452.6224727999997</v>
      </c>
      <c r="H121" s="1577">
        <f>(1832.303*1390)/1000</f>
        <v>2546.9011700000001</v>
      </c>
      <c r="I121" s="1367">
        <f t="shared" si="85"/>
        <v>1288.0744970000001</v>
      </c>
      <c r="J121" s="1365"/>
      <c r="K121" s="1577">
        <f>(36.3*1390)/1000</f>
        <v>50.456999999999994</v>
      </c>
      <c r="L121" s="1577">
        <f>(22.249*1390)/1000</f>
        <v>30.926109999999998</v>
      </c>
      <c r="M121" s="1577">
        <f>(797.5533*1390)/1000</f>
        <v>1108.5990870000001</v>
      </c>
      <c r="N121" s="1365">
        <f t="shared" ref="N121:O121" si="101">0*1300</f>
        <v>0</v>
      </c>
      <c r="O121" s="1365">
        <f t="shared" si="101"/>
        <v>0</v>
      </c>
      <c r="P121" s="1365"/>
      <c r="Q121" s="1365">
        <f>(J121/1.39)*1.49</f>
        <v>0</v>
      </c>
      <c r="R121" s="1577">
        <v>0</v>
      </c>
      <c r="S121" s="1577">
        <f>(70.57*1390)/1000</f>
        <v>98.092299999999994</v>
      </c>
      <c r="T121" s="1366">
        <f>(H121+K121+L121+R121)*23.5%</f>
        <v>617.64680579999992</v>
      </c>
      <c r="U121" s="1367">
        <f t="shared" si="88"/>
        <v>4772.9550248000005</v>
      </c>
      <c r="V121" s="1367">
        <f>(H121/1.39)*1.49</f>
        <v>2730.1314700000003</v>
      </c>
      <c r="W121" s="1367">
        <f t="shared" si="90"/>
        <v>1380.7417270000003</v>
      </c>
      <c r="X121" s="1366"/>
      <c r="Y121" s="1367">
        <f>(K121/1.39)*1.49</f>
        <v>54.086999999999996</v>
      </c>
      <c r="Z121" s="1367">
        <f>(L121/1.39)*1.49</f>
        <v>33.151009999999999</v>
      </c>
      <c r="AA121" s="1367">
        <f>(M121/1.39)*1.49</f>
        <v>1188.3544170000002</v>
      </c>
      <c r="AB121" s="1367">
        <f>(N121/1.3)*1.39</f>
        <v>0</v>
      </c>
      <c r="AC121" s="1367">
        <f>(O121/1.3)*1.39</f>
        <v>0</v>
      </c>
      <c r="AD121" s="1367">
        <f>(P121/1.3)*1.39</f>
        <v>0</v>
      </c>
      <c r="AE121" s="1367">
        <f>(Q121/1.3)*1.39</f>
        <v>0</v>
      </c>
      <c r="AF121" s="1367">
        <f>(R121/1.3)*1.39</f>
        <v>0</v>
      </c>
      <c r="AG121" s="1367">
        <f>(S121/1.39)*1.49</f>
        <v>105.14930000000001</v>
      </c>
      <c r="AH121" s="1367">
        <f>(V121+Y121+Z121+AF121)*23.5%</f>
        <v>662.08182780000004</v>
      </c>
      <c r="AI121" s="1366">
        <f t="shared" si="96"/>
        <v>320.33255200000076</v>
      </c>
      <c r="AJ121" s="1366">
        <f t="shared" si="97"/>
        <v>3843.9906240000091</v>
      </c>
      <c r="AK121" s="1463">
        <f t="shared" si="100"/>
        <v>0.53388758666666791</v>
      </c>
      <c r="AL121" s="1431">
        <f t="shared" si="82"/>
        <v>107.19424460431657</v>
      </c>
    </row>
    <row r="122" spans="1:38" s="1431" customFormat="1" ht="21" hidden="1" customHeight="1">
      <c r="A122" s="1375"/>
      <c r="B122" s="764" t="s">
        <v>2619</v>
      </c>
      <c r="C122" s="1455">
        <f>C123+C124</f>
        <v>317</v>
      </c>
      <c r="D122" s="1455">
        <f>D123+D124</f>
        <v>317</v>
      </c>
      <c r="E122" s="1455">
        <f>E123+E124</f>
        <v>0</v>
      </c>
      <c r="F122" s="1455">
        <f t="shared" ref="F122:AJ122" si="102">F123+F124</f>
        <v>317</v>
      </c>
      <c r="G122" s="1617">
        <f t="shared" si="102"/>
        <v>2304.0085389999999</v>
      </c>
      <c r="H122" s="1617">
        <f t="shared" si="102"/>
        <v>1362.1444000000001</v>
      </c>
      <c r="I122" s="1617">
        <f t="shared" si="102"/>
        <v>610.62143999999989</v>
      </c>
      <c r="J122" s="1617">
        <f t="shared" si="102"/>
        <v>0</v>
      </c>
      <c r="K122" s="1617">
        <f t="shared" si="102"/>
        <v>37.113</v>
      </c>
      <c r="L122" s="1617">
        <f t="shared" si="102"/>
        <v>10.286000000000001</v>
      </c>
      <c r="M122" s="1617">
        <f t="shared" si="102"/>
        <v>510.40243999999996</v>
      </c>
      <c r="N122" s="1617">
        <f t="shared" si="102"/>
        <v>0</v>
      </c>
      <c r="O122" s="1617">
        <f t="shared" si="102"/>
        <v>0</v>
      </c>
      <c r="P122" s="1617">
        <f t="shared" si="102"/>
        <v>0</v>
      </c>
      <c r="Q122" s="1617">
        <f t="shared" si="102"/>
        <v>0</v>
      </c>
      <c r="R122" s="1617">
        <f t="shared" si="102"/>
        <v>0</v>
      </c>
      <c r="S122" s="1617">
        <f t="shared" si="102"/>
        <v>52.82</v>
      </c>
      <c r="T122" s="1617">
        <f t="shared" si="102"/>
        <v>331.24269900000002</v>
      </c>
      <c r="U122" s="1617">
        <f t="shared" si="102"/>
        <v>2469.7645490000004</v>
      </c>
      <c r="V122" s="1617">
        <f t="shared" si="102"/>
        <v>1460.1404000000002</v>
      </c>
      <c r="W122" s="1617">
        <f t="shared" si="102"/>
        <v>654.55104000000006</v>
      </c>
      <c r="X122" s="1617">
        <f t="shared" si="102"/>
        <v>0</v>
      </c>
      <c r="Y122" s="1617">
        <f t="shared" si="102"/>
        <v>39.783000000000001</v>
      </c>
      <c r="Z122" s="1617">
        <f t="shared" si="102"/>
        <v>11.026000000000002</v>
      </c>
      <c r="AA122" s="1617">
        <f t="shared" si="102"/>
        <v>547.12203999999997</v>
      </c>
      <c r="AB122" s="1617">
        <f t="shared" si="102"/>
        <v>0</v>
      </c>
      <c r="AC122" s="1617">
        <f t="shared" si="102"/>
        <v>0</v>
      </c>
      <c r="AD122" s="1617">
        <f t="shared" si="102"/>
        <v>0</v>
      </c>
      <c r="AE122" s="1617">
        <f t="shared" si="102"/>
        <v>0</v>
      </c>
      <c r="AF122" s="1617">
        <f t="shared" si="102"/>
        <v>0</v>
      </c>
      <c r="AG122" s="1617">
        <f t="shared" si="102"/>
        <v>56.620000000000005</v>
      </c>
      <c r="AH122" s="1617">
        <f t="shared" si="102"/>
        <v>355.07310899999999</v>
      </c>
      <c r="AI122" s="1617">
        <f t="shared" si="102"/>
        <v>165.75601000000029</v>
      </c>
      <c r="AJ122" s="1617">
        <f t="shared" si="102"/>
        <v>1989.0721200000035</v>
      </c>
      <c r="AK122" s="1463">
        <f t="shared" si="100"/>
        <v>0.52288962145110496</v>
      </c>
      <c r="AL122" s="1431">
        <f t="shared" si="82"/>
        <v>107.19424460431657</v>
      </c>
    </row>
    <row r="123" spans="1:38" s="1431" customFormat="1" ht="21" hidden="1" customHeight="1">
      <c r="A123" s="1375"/>
      <c r="B123" s="764" t="s">
        <v>2620</v>
      </c>
      <c r="C123" s="1365">
        <f>D123+E123</f>
        <v>150</v>
      </c>
      <c r="D123" s="1365">
        <v>150</v>
      </c>
      <c r="E123" s="1451"/>
      <c r="F123" s="1365">
        <v>150</v>
      </c>
      <c r="G123" s="1367">
        <f>H123+I123+T123</f>
        <v>1099.7510698000001</v>
      </c>
      <c r="H123" s="1577">
        <f>(462.07*1390)/1000</f>
        <v>642.27730000000008</v>
      </c>
      <c r="I123" s="1367">
        <f>SUM(J123:S123)</f>
        <v>301.18089099999997</v>
      </c>
      <c r="J123" s="1365"/>
      <c r="K123" s="1577">
        <f>(13.2*1390)/1000</f>
        <v>18.347999999999999</v>
      </c>
      <c r="L123" s="1577">
        <f>(3.202*1390)/1000</f>
        <v>4.45078</v>
      </c>
      <c r="M123" s="1577">
        <f>(177.1749*1390)/1000</f>
        <v>246.273111</v>
      </c>
      <c r="N123" s="1365"/>
      <c r="O123" s="1365"/>
      <c r="P123" s="1365"/>
      <c r="Q123" s="1365"/>
      <c r="R123" s="1577">
        <v>0</v>
      </c>
      <c r="S123" s="1577">
        <f>(23.1*1390)/1000</f>
        <v>32.109000000000002</v>
      </c>
      <c r="T123" s="1366">
        <f>(H123+K123+L123+R123)*23.5%</f>
        <v>156.29287880000001</v>
      </c>
      <c r="U123" s="1367">
        <f>V123+W123+AH123</f>
        <v>1178.8698518000003</v>
      </c>
      <c r="V123" s="1367">
        <f>(H123/1.39)*1.49</f>
        <v>688.48430000000019</v>
      </c>
      <c r="W123" s="1367">
        <f>SUM(X123:AG123)</f>
        <v>322.84858100000002</v>
      </c>
      <c r="X123" s="1367">
        <f>(J123/1.3)*1.39</f>
        <v>0</v>
      </c>
      <c r="Y123" s="1367">
        <f t="shared" ref="Y123:AA124" si="103">(K123/1.39)*1.49</f>
        <v>19.668000000000003</v>
      </c>
      <c r="Z123" s="1367">
        <f t="shared" si="103"/>
        <v>4.7709800000000007</v>
      </c>
      <c r="AA123" s="1367">
        <f t="shared" si="103"/>
        <v>263.99060100000003</v>
      </c>
      <c r="AB123" s="1367">
        <f t="shared" ref="AB123:AF124" si="104">(N123/1.3)*1.39</f>
        <v>0</v>
      </c>
      <c r="AC123" s="1367">
        <f t="shared" si="104"/>
        <v>0</v>
      </c>
      <c r="AD123" s="1367">
        <f t="shared" si="104"/>
        <v>0</v>
      </c>
      <c r="AE123" s="1367">
        <f t="shared" si="104"/>
        <v>0</v>
      </c>
      <c r="AF123" s="1367">
        <f t="shared" si="104"/>
        <v>0</v>
      </c>
      <c r="AG123" s="1367">
        <f>(S123/1.39)*1.49</f>
        <v>34.419000000000004</v>
      </c>
      <c r="AH123" s="1367">
        <f>(V123+Y123+Z123+AF123)*23.5%</f>
        <v>167.53697080000003</v>
      </c>
      <c r="AI123" s="1366">
        <f>U123-G123</f>
        <v>79.118782000000238</v>
      </c>
      <c r="AJ123" s="1366">
        <f t="shared" ref="AJ123:AJ124" si="105">AI123*12</f>
        <v>949.42538400000285</v>
      </c>
      <c r="AK123" s="1463">
        <f t="shared" si="100"/>
        <v>0.52745854666666825</v>
      </c>
      <c r="AL123" s="1431">
        <f t="shared" si="82"/>
        <v>107.19424460431657</v>
      </c>
    </row>
    <row r="124" spans="1:38" s="1431" customFormat="1" ht="21" hidden="1" customHeight="1">
      <c r="A124" s="1375"/>
      <c r="B124" s="764" t="s">
        <v>2621</v>
      </c>
      <c r="C124" s="1365">
        <f>D124+E124</f>
        <v>167</v>
      </c>
      <c r="D124" s="1365">
        <v>167</v>
      </c>
      <c r="E124" s="1451"/>
      <c r="F124" s="1365">
        <v>167</v>
      </c>
      <c r="G124" s="1367">
        <f>H124+I124+T124</f>
        <v>1204.2574691999998</v>
      </c>
      <c r="H124" s="1577">
        <f>(517.89*1390)/1000</f>
        <v>719.86709999999994</v>
      </c>
      <c r="I124" s="1367">
        <f>SUM(J124:S124)</f>
        <v>309.44054899999998</v>
      </c>
      <c r="J124" s="1365"/>
      <c r="K124" s="1577">
        <f>(13.5*1390)/1000</f>
        <v>18.765000000000001</v>
      </c>
      <c r="L124" s="1577">
        <f>(4.198*1390)/1000</f>
        <v>5.8352200000000005</v>
      </c>
      <c r="M124" s="1577">
        <f>(190.0211*1390)/1000</f>
        <v>264.12932899999998</v>
      </c>
      <c r="N124" s="1365"/>
      <c r="O124" s="1365"/>
      <c r="P124" s="1365"/>
      <c r="Q124" s="1365">
        <f>(J124/1.39)*1.49</f>
        <v>0</v>
      </c>
      <c r="R124" s="1577">
        <v>0</v>
      </c>
      <c r="S124" s="1577">
        <f>(14.9*1390)/1000</f>
        <v>20.710999999999999</v>
      </c>
      <c r="T124" s="1366">
        <f>(H124+K124+L124+R124)*23.5%</f>
        <v>174.94982019999998</v>
      </c>
      <c r="U124" s="1367">
        <f>V124+W124+AH124</f>
        <v>1290.8946971999999</v>
      </c>
      <c r="V124" s="1367">
        <f>(H124/1.39)*1.49</f>
        <v>771.65609999999992</v>
      </c>
      <c r="W124" s="1367">
        <f>SUM(X124:AG124)</f>
        <v>331.70245900000003</v>
      </c>
      <c r="X124" s="1367">
        <f>(J124/1.3)*1.39</f>
        <v>0</v>
      </c>
      <c r="Y124" s="1367">
        <f t="shared" si="103"/>
        <v>20.115000000000002</v>
      </c>
      <c r="Z124" s="1367">
        <f t="shared" si="103"/>
        <v>6.2550200000000009</v>
      </c>
      <c r="AA124" s="1367">
        <f t="shared" si="103"/>
        <v>283.131439</v>
      </c>
      <c r="AB124" s="1367">
        <f t="shared" si="104"/>
        <v>0</v>
      </c>
      <c r="AC124" s="1367">
        <f t="shared" si="104"/>
        <v>0</v>
      </c>
      <c r="AD124" s="1367">
        <f t="shared" si="104"/>
        <v>0</v>
      </c>
      <c r="AE124" s="1367">
        <f t="shared" si="104"/>
        <v>0</v>
      </c>
      <c r="AF124" s="1367">
        <f t="shared" si="104"/>
        <v>0</v>
      </c>
      <c r="AG124" s="1367">
        <f>(S124/1.39)*1.49</f>
        <v>22.201000000000001</v>
      </c>
      <c r="AH124" s="1367">
        <f>(V124+Y124+Z124+AF124)*23.5%</f>
        <v>187.53613819999995</v>
      </c>
      <c r="AI124" s="1366">
        <f>U124-G124</f>
        <v>86.63722800000005</v>
      </c>
      <c r="AJ124" s="1366">
        <f t="shared" si="105"/>
        <v>1039.6467360000006</v>
      </c>
      <c r="AK124" s="1463">
        <f t="shared" si="100"/>
        <v>0.51878579640718592</v>
      </c>
      <c r="AL124" s="1431">
        <f t="shared" si="82"/>
        <v>107.19424460431655</v>
      </c>
    </row>
    <row r="125" spans="1:38" s="1431" customFormat="1" ht="21" hidden="1" customHeight="1">
      <c r="A125" s="1375"/>
      <c r="B125" s="764" t="s">
        <v>2622</v>
      </c>
      <c r="C125" s="1455">
        <f t="shared" ref="C125" si="106">D125+E125</f>
        <v>0</v>
      </c>
      <c r="D125" s="1455"/>
      <c r="E125" s="1455"/>
      <c r="F125" s="1455">
        <f t="shared" ref="F125:AJ125" si="107">F126+F127+F128+F129+F130</f>
        <v>0</v>
      </c>
      <c r="G125" s="1617">
        <f t="shared" si="107"/>
        <v>0</v>
      </c>
      <c r="H125" s="1617">
        <f t="shared" si="107"/>
        <v>0</v>
      </c>
      <c r="I125" s="1617">
        <f t="shared" si="107"/>
        <v>0</v>
      </c>
      <c r="J125" s="1617">
        <f t="shared" si="107"/>
        <v>0</v>
      </c>
      <c r="K125" s="1617">
        <f t="shared" si="107"/>
        <v>0</v>
      </c>
      <c r="L125" s="1617">
        <f t="shared" si="107"/>
        <v>0</v>
      </c>
      <c r="M125" s="1617">
        <f t="shared" si="107"/>
        <v>0</v>
      </c>
      <c r="N125" s="1617">
        <f t="shared" si="107"/>
        <v>0</v>
      </c>
      <c r="O125" s="1617">
        <f t="shared" si="107"/>
        <v>0</v>
      </c>
      <c r="P125" s="1617">
        <f t="shared" si="107"/>
        <v>0</v>
      </c>
      <c r="Q125" s="1617">
        <f t="shared" si="107"/>
        <v>0</v>
      </c>
      <c r="R125" s="1617">
        <f t="shared" si="107"/>
        <v>0</v>
      </c>
      <c r="S125" s="1617">
        <f t="shared" si="107"/>
        <v>0</v>
      </c>
      <c r="T125" s="1617">
        <f t="shared" si="107"/>
        <v>0</v>
      </c>
      <c r="U125" s="1617">
        <f t="shared" si="107"/>
        <v>0</v>
      </c>
      <c r="V125" s="1617">
        <f t="shared" si="107"/>
        <v>0</v>
      </c>
      <c r="W125" s="1617">
        <f t="shared" si="107"/>
        <v>0</v>
      </c>
      <c r="X125" s="1617">
        <f t="shared" si="107"/>
        <v>0</v>
      </c>
      <c r="Y125" s="1617">
        <f t="shared" si="107"/>
        <v>0</v>
      </c>
      <c r="Z125" s="1617">
        <f t="shared" si="107"/>
        <v>0</v>
      </c>
      <c r="AA125" s="1617">
        <f t="shared" si="107"/>
        <v>0</v>
      </c>
      <c r="AB125" s="1617">
        <f t="shared" si="107"/>
        <v>0</v>
      </c>
      <c r="AC125" s="1617">
        <f t="shared" si="107"/>
        <v>0</v>
      </c>
      <c r="AD125" s="1617">
        <f t="shared" si="107"/>
        <v>0</v>
      </c>
      <c r="AE125" s="1617">
        <f t="shared" si="107"/>
        <v>0</v>
      </c>
      <c r="AF125" s="1617">
        <f t="shared" si="107"/>
        <v>0</v>
      </c>
      <c r="AG125" s="1617">
        <f t="shared" si="107"/>
        <v>0</v>
      </c>
      <c r="AH125" s="1617">
        <f t="shared" si="107"/>
        <v>0</v>
      </c>
      <c r="AI125" s="1617">
        <f t="shared" si="107"/>
        <v>0</v>
      </c>
      <c r="AJ125" s="1617">
        <f t="shared" si="107"/>
        <v>0</v>
      </c>
      <c r="AK125" s="1463" t="e">
        <f t="shared" si="100"/>
        <v>#DIV/0!</v>
      </c>
      <c r="AL125" s="1431" t="e">
        <f t="shared" si="82"/>
        <v>#DIV/0!</v>
      </c>
    </row>
    <row r="126" spans="1:38" s="1431" customFormat="1" ht="21" hidden="1" customHeight="1">
      <c r="A126" s="1375"/>
      <c r="B126" s="764" t="s">
        <v>2623</v>
      </c>
      <c r="C126" s="1455">
        <f>D126+E126</f>
        <v>0</v>
      </c>
      <c r="D126" s="1455"/>
      <c r="E126" s="1455"/>
      <c r="F126" s="1455"/>
      <c r="G126" s="1614">
        <f t="shared" ref="G126:G133" si="108">H126+I126+T126</f>
        <v>0</v>
      </c>
      <c r="H126" s="1617"/>
      <c r="I126" s="1614">
        <f t="shared" ref="I126:I133" si="109">SUM(J126:S126)</f>
        <v>0</v>
      </c>
      <c r="J126" s="1617"/>
      <c r="K126" s="1617"/>
      <c r="L126" s="1617"/>
      <c r="M126" s="1617"/>
      <c r="N126" s="1617"/>
      <c r="O126" s="1617"/>
      <c r="P126" s="1617"/>
      <c r="Q126" s="1617"/>
      <c r="R126" s="1617"/>
      <c r="S126" s="1617"/>
      <c r="T126" s="1621"/>
      <c r="U126" s="1614">
        <f t="shared" ref="U126:U133" si="110">V126+W126+AH126</f>
        <v>0</v>
      </c>
      <c r="V126" s="1617"/>
      <c r="W126" s="1614">
        <f t="shared" ref="W126:W133" si="111">SUM(X126:AG126)</f>
        <v>0</v>
      </c>
      <c r="X126" s="1617"/>
      <c r="Y126" s="1617"/>
      <c r="Z126" s="1617"/>
      <c r="AA126" s="1617"/>
      <c r="AB126" s="1617"/>
      <c r="AC126" s="1617"/>
      <c r="AD126" s="1617"/>
      <c r="AE126" s="1617"/>
      <c r="AF126" s="1617"/>
      <c r="AG126" s="1617"/>
      <c r="AH126" s="1621"/>
      <c r="AI126" s="1621">
        <f t="shared" ref="AI126:AI133" si="112">U126-G126</f>
        <v>0</v>
      </c>
      <c r="AJ126" s="1366">
        <f t="shared" ref="AJ126:AJ133" si="113">AI126*12</f>
        <v>0</v>
      </c>
      <c r="AK126" s="1463" t="e">
        <f t="shared" si="100"/>
        <v>#DIV/0!</v>
      </c>
      <c r="AL126" s="1431" t="e">
        <f t="shared" si="82"/>
        <v>#DIV/0!</v>
      </c>
    </row>
    <row r="127" spans="1:38" s="1431" customFormat="1" ht="21" hidden="1" customHeight="1">
      <c r="A127" s="1375"/>
      <c r="B127" s="764" t="s">
        <v>2624</v>
      </c>
      <c r="C127" s="1455">
        <f t="shared" ref="C127:C130" si="114">D127+E127</f>
        <v>0</v>
      </c>
      <c r="D127" s="1455"/>
      <c r="E127" s="1455"/>
      <c r="F127" s="1455"/>
      <c r="G127" s="1614">
        <f t="shared" si="108"/>
        <v>0</v>
      </c>
      <c r="H127" s="1617"/>
      <c r="I127" s="1614">
        <f t="shared" si="109"/>
        <v>0</v>
      </c>
      <c r="J127" s="1617"/>
      <c r="K127" s="1617"/>
      <c r="L127" s="1617"/>
      <c r="M127" s="1617"/>
      <c r="N127" s="1617"/>
      <c r="O127" s="1617"/>
      <c r="P127" s="1617"/>
      <c r="Q127" s="1617"/>
      <c r="R127" s="1617"/>
      <c r="S127" s="1617"/>
      <c r="T127" s="1621"/>
      <c r="U127" s="1614">
        <f t="shared" si="110"/>
        <v>0</v>
      </c>
      <c r="V127" s="1617"/>
      <c r="W127" s="1614">
        <f t="shared" si="111"/>
        <v>0</v>
      </c>
      <c r="X127" s="1617"/>
      <c r="Y127" s="1617"/>
      <c r="Z127" s="1617"/>
      <c r="AA127" s="1617"/>
      <c r="AB127" s="1617"/>
      <c r="AC127" s="1617"/>
      <c r="AD127" s="1617"/>
      <c r="AE127" s="1617"/>
      <c r="AF127" s="1617"/>
      <c r="AG127" s="1617"/>
      <c r="AH127" s="1621"/>
      <c r="AI127" s="1621">
        <f t="shared" si="112"/>
        <v>0</v>
      </c>
      <c r="AJ127" s="1366">
        <f t="shared" si="113"/>
        <v>0</v>
      </c>
      <c r="AK127" s="1463" t="e">
        <f t="shared" si="100"/>
        <v>#DIV/0!</v>
      </c>
      <c r="AL127" s="1431" t="e">
        <f t="shared" si="82"/>
        <v>#DIV/0!</v>
      </c>
    </row>
    <row r="128" spans="1:38" s="1431" customFormat="1" ht="21" hidden="1" customHeight="1">
      <c r="A128" s="1375"/>
      <c r="B128" s="764" t="s">
        <v>2625</v>
      </c>
      <c r="C128" s="1455">
        <f t="shared" si="114"/>
        <v>0</v>
      </c>
      <c r="D128" s="1455"/>
      <c r="E128" s="1455"/>
      <c r="F128" s="1455"/>
      <c r="G128" s="1614">
        <f t="shared" si="108"/>
        <v>0</v>
      </c>
      <c r="H128" s="1617"/>
      <c r="I128" s="1614">
        <f t="shared" si="109"/>
        <v>0</v>
      </c>
      <c r="J128" s="1617"/>
      <c r="K128" s="1617"/>
      <c r="L128" s="1617"/>
      <c r="M128" s="1617"/>
      <c r="N128" s="1617"/>
      <c r="O128" s="1617"/>
      <c r="P128" s="1617"/>
      <c r="Q128" s="1617"/>
      <c r="R128" s="1617"/>
      <c r="S128" s="1617"/>
      <c r="T128" s="1621"/>
      <c r="U128" s="1614">
        <f t="shared" si="110"/>
        <v>0</v>
      </c>
      <c r="V128" s="1617"/>
      <c r="W128" s="1614">
        <f t="shared" si="111"/>
        <v>0</v>
      </c>
      <c r="X128" s="1617"/>
      <c r="Y128" s="1617"/>
      <c r="Z128" s="1617"/>
      <c r="AA128" s="1617"/>
      <c r="AB128" s="1617"/>
      <c r="AC128" s="1617"/>
      <c r="AD128" s="1617"/>
      <c r="AE128" s="1617"/>
      <c r="AF128" s="1617"/>
      <c r="AG128" s="1617"/>
      <c r="AH128" s="1621"/>
      <c r="AI128" s="1621">
        <f t="shared" si="112"/>
        <v>0</v>
      </c>
      <c r="AJ128" s="1366">
        <f t="shared" si="113"/>
        <v>0</v>
      </c>
      <c r="AK128" s="1463" t="e">
        <f t="shared" si="100"/>
        <v>#DIV/0!</v>
      </c>
      <c r="AL128" s="1431" t="e">
        <f t="shared" si="82"/>
        <v>#DIV/0!</v>
      </c>
    </row>
    <row r="129" spans="1:38" s="1431" customFormat="1" ht="21" hidden="1" customHeight="1">
      <c r="A129" s="1375"/>
      <c r="B129" s="764" t="s">
        <v>2626</v>
      </c>
      <c r="C129" s="1455">
        <f t="shared" si="114"/>
        <v>0</v>
      </c>
      <c r="D129" s="1455"/>
      <c r="E129" s="1455"/>
      <c r="F129" s="1455"/>
      <c r="G129" s="1614">
        <f t="shared" si="108"/>
        <v>0</v>
      </c>
      <c r="H129" s="1617"/>
      <c r="I129" s="1614">
        <f t="shared" si="109"/>
        <v>0</v>
      </c>
      <c r="J129" s="1617"/>
      <c r="K129" s="1617"/>
      <c r="L129" s="1617"/>
      <c r="M129" s="1617"/>
      <c r="N129" s="1617"/>
      <c r="O129" s="1617"/>
      <c r="P129" s="1617"/>
      <c r="Q129" s="1617"/>
      <c r="R129" s="1617"/>
      <c r="S129" s="1617"/>
      <c r="T129" s="1621"/>
      <c r="U129" s="1614">
        <f t="shared" si="110"/>
        <v>0</v>
      </c>
      <c r="V129" s="1617"/>
      <c r="W129" s="1614">
        <f t="shared" si="111"/>
        <v>0</v>
      </c>
      <c r="X129" s="1617"/>
      <c r="Y129" s="1617"/>
      <c r="Z129" s="1617"/>
      <c r="AA129" s="1617"/>
      <c r="AB129" s="1617"/>
      <c r="AC129" s="1617"/>
      <c r="AD129" s="1617"/>
      <c r="AE129" s="1617"/>
      <c r="AF129" s="1617"/>
      <c r="AG129" s="1617"/>
      <c r="AH129" s="1621"/>
      <c r="AI129" s="1621">
        <f t="shared" si="112"/>
        <v>0</v>
      </c>
      <c r="AJ129" s="1366">
        <f t="shared" si="113"/>
        <v>0</v>
      </c>
      <c r="AK129" s="1463" t="e">
        <f t="shared" si="100"/>
        <v>#DIV/0!</v>
      </c>
      <c r="AL129" s="1431" t="e">
        <f t="shared" si="82"/>
        <v>#DIV/0!</v>
      </c>
    </row>
    <row r="130" spans="1:38" s="1431" customFormat="1" ht="33" hidden="1" customHeight="1">
      <c r="A130" s="1375"/>
      <c r="B130" s="764" t="s">
        <v>2627</v>
      </c>
      <c r="C130" s="1455">
        <f t="shared" si="114"/>
        <v>0</v>
      </c>
      <c r="D130" s="1455"/>
      <c r="E130" s="1455"/>
      <c r="F130" s="1455"/>
      <c r="G130" s="1614">
        <f t="shared" si="108"/>
        <v>0</v>
      </c>
      <c r="H130" s="1617"/>
      <c r="I130" s="1614">
        <f t="shared" si="109"/>
        <v>0</v>
      </c>
      <c r="J130" s="1617"/>
      <c r="K130" s="1617"/>
      <c r="L130" s="1617"/>
      <c r="M130" s="1617"/>
      <c r="N130" s="1617"/>
      <c r="O130" s="1617"/>
      <c r="P130" s="1617"/>
      <c r="Q130" s="1617"/>
      <c r="R130" s="1617"/>
      <c r="S130" s="1617"/>
      <c r="T130" s="1621"/>
      <c r="U130" s="1614">
        <f t="shared" si="110"/>
        <v>0</v>
      </c>
      <c r="V130" s="1617"/>
      <c r="W130" s="1614">
        <f t="shared" si="111"/>
        <v>0</v>
      </c>
      <c r="X130" s="1617"/>
      <c r="Y130" s="1617"/>
      <c r="Z130" s="1617"/>
      <c r="AA130" s="1617"/>
      <c r="AB130" s="1617"/>
      <c r="AC130" s="1617"/>
      <c r="AD130" s="1617"/>
      <c r="AE130" s="1617"/>
      <c r="AF130" s="1617"/>
      <c r="AG130" s="1617"/>
      <c r="AH130" s="1621"/>
      <c r="AI130" s="1621">
        <f t="shared" si="112"/>
        <v>0</v>
      </c>
      <c r="AJ130" s="1366">
        <f t="shared" si="113"/>
        <v>0</v>
      </c>
      <c r="AK130" s="1463" t="e">
        <f t="shared" si="100"/>
        <v>#DIV/0!</v>
      </c>
      <c r="AL130" s="1431" t="e">
        <f t="shared" si="82"/>
        <v>#DIV/0!</v>
      </c>
    </row>
    <row r="131" spans="1:38" s="1431" customFormat="1" ht="21" hidden="1" customHeight="1">
      <c r="A131" s="1375"/>
      <c r="B131" s="1453" t="s">
        <v>2628</v>
      </c>
      <c r="C131" s="1365">
        <f>D131+E131</f>
        <v>80</v>
      </c>
      <c r="D131" s="1365">
        <v>80</v>
      </c>
      <c r="E131" s="1451"/>
      <c r="F131" s="1365">
        <v>82</v>
      </c>
      <c r="G131" s="1367">
        <f t="shared" si="108"/>
        <v>861.73343846</v>
      </c>
      <c r="H131" s="1577">
        <f>(246.57*1390)/1000</f>
        <v>342.73230000000001</v>
      </c>
      <c r="I131" s="1367">
        <f t="shared" si="109"/>
        <v>436.9674334</v>
      </c>
      <c r="J131" s="1365"/>
      <c r="K131" s="1577">
        <f>(2.4*1390)/1000</f>
        <v>3.3359999999999999</v>
      </c>
      <c r="L131" s="1577">
        <f>(2.1664*1390)/1000</f>
        <v>3.0112959999999998</v>
      </c>
      <c r="M131" s="1577">
        <f>(126.88106*1390)/1000</f>
        <v>176.36467339999999</v>
      </c>
      <c r="N131" s="1577">
        <f>(179.3176*1390)/1000</f>
        <v>249.251464</v>
      </c>
      <c r="O131" s="1365"/>
      <c r="P131" s="1365"/>
      <c r="Q131" s="1365"/>
      <c r="R131" s="1577">
        <v>0</v>
      </c>
      <c r="S131" s="1577">
        <f>(3.6*1390)/1000</f>
        <v>5.0039999999999996</v>
      </c>
      <c r="T131" s="1366">
        <f>(H131+K131+L131+R131)*23.5%</f>
        <v>82.033705060000003</v>
      </c>
      <c r="U131" s="1367">
        <f t="shared" si="110"/>
        <v>923.7286498599999</v>
      </c>
      <c r="V131" s="1367">
        <f>(H131/1.39)*1.49</f>
        <v>367.38930000000005</v>
      </c>
      <c r="W131" s="1367">
        <f t="shared" si="111"/>
        <v>468.40393939999996</v>
      </c>
      <c r="X131" s="1367">
        <f>(J131/1.3)*1.39</f>
        <v>0</v>
      </c>
      <c r="Y131" s="1367">
        <f t="shared" ref="Y131:AB132" si="115">(K131/1.39)*1.49</f>
        <v>3.5760000000000001</v>
      </c>
      <c r="Z131" s="1367">
        <f t="shared" si="115"/>
        <v>3.2279359999999997</v>
      </c>
      <c r="AA131" s="1367">
        <f t="shared" si="115"/>
        <v>189.05277940000002</v>
      </c>
      <c r="AB131" s="1367">
        <f t="shared" si="115"/>
        <v>267.183224</v>
      </c>
      <c r="AC131" s="1367">
        <f t="shared" ref="AC131:AF133" si="116">(O131/1.3)*1.39</f>
        <v>0</v>
      </c>
      <c r="AD131" s="1367">
        <f t="shared" si="116"/>
        <v>0</v>
      </c>
      <c r="AE131" s="1367">
        <f t="shared" si="116"/>
        <v>0</v>
      </c>
      <c r="AF131" s="1367">
        <f t="shared" si="116"/>
        <v>0</v>
      </c>
      <c r="AG131" s="1367">
        <f>(S131/1.39)*1.49</f>
        <v>5.3639999999999999</v>
      </c>
      <c r="AH131" s="1367">
        <f>(V131+Y131+Z131+AF131)*23.5%</f>
        <v>87.935410460000014</v>
      </c>
      <c r="AI131" s="1366">
        <f t="shared" si="112"/>
        <v>61.995211399999903</v>
      </c>
      <c r="AJ131" s="1366">
        <f t="shared" si="113"/>
        <v>743.94253679999883</v>
      </c>
      <c r="AK131" s="1463">
        <f t="shared" si="100"/>
        <v>0.75603916341463295</v>
      </c>
      <c r="AL131" s="1431">
        <f t="shared" si="82"/>
        <v>107.19424460431655</v>
      </c>
    </row>
    <row r="132" spans="1:38" s="1431" customFormat="1" ht="21" hidden="1" customHeight="1">
      <c r="A132" s="1375"/>
      <c r="B132" s="1453" t="s">
        <v>2629</v>
      </c>
      <c r="C132" s="1365">
        <f t="shared" ref="C132:C133" si="117">D132+E132</f>
        <v>232</v>
      </c>
      <c r="D132" s="1365">
        <v>232</v>
      </c>
      <c r="E132" s="1451"/>
      <c r="F132" s="1365">
        <v>231</v>
      </c>
      <c r="G132" s="1367">
        <f t="shared" si="108"/>
        <v>2447.3319810999997</v>
      </c>
      <c r="H132" s="1577">
        <f>(705.317*1390)/1000</f>
        <v>980.39062999999999</v>
      </c>
      <c r="I132" s="1367">
        <f t="shared" si="109"/>
        <v>1229.383832</v>
      </c>
      <c r="J132" s="1365"/>
      <c r="K132" s="1577">
        <f>(15.8*1390)/1000</f>
        <v>21.962</v>
      </c>
      <c r="L132" s="1577">
        <f>(6.137*1390)/1000</f>
        <v>8.5304300000000008</v>
      </c>
      <c r="M132" s="1577">
        <f>(388.712*1390)/1000</f>
        <v>540.30967999999996</v>
      </c>
      <c r="N132" s="1577">
        <f>(455.4998*1390)/1000</f>
        <v>633.144722</v>
      </c>
      <c r="O132" s="1365"/>
      <c r="P132" s="1365"/>
      <c r="Q132" s="1365">
        <f>(J132/1.39)*1.49</f>
        <v>0</v>
      </c>
      <c r="R132" s="1577">
        <v>0</v>
      </c>
      <c r="S132" s="1577">
        <f>(18.3*1390)/1000</f>
        <v>25.437000000000001</v>
      </c>
      <c r="T132" s="1366">
        <f>(H132+K132+L132+R132)*23.5%</f>
        <v>237.55751909999998</v>
      </c>
      <c r="U132" s="1367">
        <f t="shared" si="110"/>
        <v>2623.3990301000003</v>
      </c>
      <c r="V132" s="1367">
        <f>(H132/1.39)*1.49</f>
        <v>1050.9223300000001</v>
      </c>
      <c r="W132" s="1367">
        <f t="shared" si="111"/>
        <v>1317.8287120000002</v>
      </c>
      <c r="X132" s="1367">
        <f>(J132/1.3)*1.39</f>
        <v>0</v>
      </c>
      <c r="Y132" s="1367">
        <f t="shared" si="115"/>
        <v>23.542000000000002</v>
      </c>
      <c r="Z132" s="1367">
        <f t="shared" si="115"/>
        <v>9.1441300000000023</v>
      </c>
      <c r="AA132" s="1367">
        <f t="shared" si="115"/>
        <v>579.18088</v>
      </c>
      <c r="AB132" s="1367">
        <f t="shared" si="115"/>
        <v>678.69470200000012</v>
      </c>
      <c r="AC132" s="1367">
        <f t="shared" si="116"/>
        <v>0</v>
      </c>
      <c r="AD132" s="1367">
        <f t="shared" si="116"/>
        <v>0</v>
      </c>
      <c r="AE132" s="1367">
        <f t="shared" si="116"/>
        <v>0</v>
      </c>
      <c r="AF132" s="1367">
        <f t="shared" si="116"/>
        <v>0</v>
      </c>
      <c r="AG132" s="1367">
        <f>(S132/1.39)*1.49</f>
        <v>27.266999999999999</v>
      </c>
      <c r="AH132" s="1367">
        <f>(V132+Y132+Z132+AF132)*23.5%</f>
        <v>254.64798809999996</v>
      </c>
      <c r="AI132" s="1366">
        <f t="shared" si="112"/>
        <v>176.06704900000068</v>
      </c>
      <c r="AJ132" s="1366">
        <f t="shared" si="113"/>
        <v>2112.8045880000082</v>
      </c>
      <c r="AK132" s="1463">
        <f t="shared" si="100"/>
        <v>0.76219501731602024</v>
      </c>
      <c r="AL132" s="1431">
        <f t="shared" si="82"/>
        <v>107.19424460431657</v>
      </c>
    </row>
    <row r="133" spans="1:38" s="1431" customFormat="1" ht="21" hidden="1" customHeight="1">
      <c r="A133" s="1375"/>
      <c r="B133" s="1453" t="s">
        <v>2630</v>
      </c>
      <c r="C133" s="1365">
        <f t="shared" si="117"/>
        <v>85</v>
      </c>
      <c r="D133" s="1365">
        <v>85</v>
      </c>
      <c r="E133" s="1451"/>
      <c r="F133" s="1365">
        <v>92</v>
      </c>
      <c r="G133" s="1367">
        <f t="shared" si="108"/>
        <v>703.82485285000007</v>
      </c>
      <c r="H133" s="1577">
        <f>(269.815*1390)/1000</f>
        <v>375.04284999999999</v>
      </c>
      <c r="I133" s="1367">
        <f t="shared" si="109"/>
        <v>237.76783999999998</v>
      </c>
      <c r="J133" s="1365"/>
      <c r="K133" s="1577">
        <f>(8.1*1390)/1000</f>
        <v>11.259</v>
      </c>
      <c r="L133" s="1577">
        <f>(0.714*1390)/1000</f>
        <v>0.9924599999999999</v>
      </c>
      <c r="M133" s="1577">
        <f>(138.742*1390)/1000</f>
        <v>192.85137999999998</v>
      </c>
      <c r="N133" s="1365"/>
      <c r="O133" s="1365"/>
      <c r="P133" s="1365"/>
      <c r="Q133" s="1365">
        <f>(J133/1.39)*1.49</f>
        <v>0</v>
      </c>
      <c r="R133" s="1577">
        <v>0</v>
      </c>
      <c r="S133" s="1577">
        <f>(23.5*1390)/1000</f>
        <v>32.664999999999999</v>
      </c>
      <c r="T133" s="1366">
        <f>(H133+K133+L133+R133)*23.5%</f>
        <v>91.014162849999991</v>
      </c>
      <c r="U133" s="1367">
        <f t="shared" si="110"/>
        <v>754.45973434999996</v>
      </c>
      <c r="V133" s="1367">
        <f>(H133/1.39)*1.49</f>
        <v>402.02434999999997</v>
      </c>
      <c r="W133" s="1367">
        <f t="shared" si="111"/>
        <v>254.87343999999996</v>
      </c>
      <c r="X133" s="1367">
        <f>(J133/1.3)*1.39</f>
        <v>0</v>
      </c>
      <c r="Y133" s="1367">
        <f>(K133/1.39)*1.49</f>
        <v>12.069000000000003</v>
      </c>
      <c r="Z133" s="1367">
        <f>(L133/1.39)*1.49</f>
        <v>1.06386</v>
      </c>
      <c r="AA133" s="1367">
        <f>(M133/1.39)*1.49</f>
        <v>206.72557999999998</v>
      </c>
      <c r="AB133" s="1367">
        <f>(N133/1.3)*1.39</f>
        <v>0</v>
      </c>
      <c r="AC133" s="1367">
        <f t="shared" si="116"/>
        <v>0</v>
      </c>
      <c r="AD133" s="1367">
        <f t="shared" si="116"/>
        <v>0</v>
      </c>
      <c r="AE133" s="1367">
        <f t="shared" si="116"/>
        <v>0</v>
      </c>
      <c r="AF133" s="1367">
        <f t="shared" si="116"/>
        <v>0</v>
      </c>
      <c r="AG133" s="1367">
        <f>(S133/1.39)*1.49</f>
        <v>35.015000000000001</v>
      </c>
      <c r="AH133" s="1367">
        <f>(V133+Y133+Z133+AF133)*23.5%</f>
        <v>97.56194434999999</v>
      </c>
      <c r="AI133" s="1366">
        <f t="shared" si="112"/>
        <v>50.634881499999892</v>
      </c>
      <c r="AJ133" s="1366">
        <f t="shared" si="113"/>
        <v>607.61857799999871</v>
      </c>
      <c r="AK133" s="1463">
        <f t="shared" si="100"/>
        <v>0.55037914673912924</v>
      </c>
      <c r="AL133" s="1431">
        <f t="shared" si="82"/>
        <v>107.19424460431652</v>
      </c>
    </row>
    <row r="134" spans="1:38" s="1431" customFormat="1" ht="21" hidden="1" customHeight="1">
      <c r="A134" s="1375"/>
      <c r="B134" s="1453" t="s">
        <v>2631</v>
      </c>
      <c r="C134" s="560">
        <f t="shared" ref="C134:AJ134" si="118">SUM(C135:C143)</f>
        <v>689</v>
      </c>
      <c r="D134" s="560">
        <f t="shared" si="118"/>
        <v>689</v>
      </c>
      <c r="E134" s="560">
        <f t="shared" si="118"/>
        <v>0</v>
      </c>
      <c r="F134" s="560">
        <f t="shared" si="118"/>
        <v>640</v>
      </c>
      <c r="G134" s="1617">
        <f t="shared" si="118"/>
        <v>5366.7371827799998</v>
      </c>
      <c r="H134" s="1617">
        <f t="shared" si="118"/>
        <v>2807.43165</v>
      </c>
      <c r="I134" s="1617">
        <f t="shared" si="118"/>
        <v>1878.6155383</v>
      </c>
      <c r="J134" s="1617">
        <f t="shared" si="118"/>
        <v>0</v>
      </c>
      <c r="K134" s="1617">
        <f t="shared" si="118"/>
        <v>34.471999999999994</v>
      </c>
      <c r="L134" s="1617">
        <f t="shared" si="118"/>
        <v>54.649518</v>
      </c>
      <c r="M134" s="1617">
        <f t="shared" si="118"/>
        <v>1486.8928272999999</v>
      </c>
      <c r="N134" s="1617">
        <f t="shared" si="118"/>
        <v>173.05319300000002</v>
      </c>
      <c r="O134" s="1617">
        <f t="shared" si="118"/>
        <v>100.91399999999999</v>
      </c>
      <c r="P134" s="1617">
        <f t="shared" si="118"/>
        <v>0</v>
      </c>
      <c r="Q134" s="1617">
        <f t="shared" si="118"/>
        <v>0</v>
      </c>
      <c r="R134" s="1617">
        <f t="shared" si="118"/>
        <v>0</v>
      </c>
      <c r="S134" s="1617">
        <f t="shared" si="118"/>
        <v>28.634000000000004</v>
      </c>
      <c r="T134" s="1617">
        <f t="shared" si="118"/>
        <v>680.68999447999988</v>
      </c>
      <c r="U134" s="1617">
        <f t="shared" si="118"/>
        <v>5751.3033829799997</v>
      </c>
      <c r="V134" s="1617">
        <f t="shared" si="118"/>
        <v>3009.40515</v>
      </c>
      <c r="W134" s="1617">
        <f t="shared" si="118"/>
        <v>2012.2377353000002</v>
      </c>
      <c r="X134" s="1617">
        <f t="shared" si="118"/>
        <v>0</v>
      </c>
      <c r="Y134" s="1617">
        <f t="shared" si="118"/>
        <v>36.952000000000005</v>
      </c>
      <c r="Z134" s="1617">
        <f t="shared" si="118"/>
        <v>58.581137999999996</v>
      </c>
      <c r="AA134" s="1617">
        <f t="shared" si="118"/>
        <v>1593.8635343000001</v>
      </c>
      <c r="AB134" s="1617">
        <f t="shared" si="118"/>
        <v>185.50306300000003</v>
      </c>
      <c r="AC134" s="1617">
        <f t="shared" si="118"/>
        <v>106.64399999999998</v>
      </c>
      <c r="AD134" s="1617">
        <f t="shared" si="118"/>
        <v>0</v>
      </c>
      <c r="AE134" s="1617">
        <f t="shared" si="118"/>
        <v>0</v>
      </c>
      <c r="AF134" s="1617">
        <f t="shared" si="118"/>
        <v>0</v>
      </c>
      <c r="AG134" s="1617">
        <f t="shared" si="118"/>
        <v>30.693999999999999</v>
      </c>
      <c r="AH134" s="1617">
        <f t="shared" si="118"/>
        <v>729.66049768000005</v>
      </c>
      <c r="AI134" s="1617">
        <f t="shared" si="118"/>
        <v>384.5662002000002</v>
      </c>
      <c r="AJ134" s="1617">
        <f t="shared" si="118"/>
        <v>4614.7944024000017</v>
      </c>
      <c r="AK134" s="1463">
        <f t="shared" si="100"/>
        <v>0.60088468781250026</v>
      </c>
      <c r="AL134" s="1431">
        <f t="shared" si="82"/>
        <v>107.16573566214385</v>
      </c>
    </row>
    <row r="135" spans="1:38" s="1431" customFormat="1" ht="21" hidden="1" customHeight="1">
      <c r="A135" s="1375"/>
      <c r="B135" s="1376" t="s">
        <v>2632</v>
      </c>
      <c r="C135" s="1365">
        <f>D135+E135</f>
        <v>33</v>
      </c>
      <c r="D135" s="1365">
        <v>33</v>
      </c>
      <c r="E135" s="1451"/>
      <c r="F135" s="1365">
        <v>28</v>
      </c>
      <c r="G135" s="1367">
        <f t="shared" ref="G135:G146" si="119">H135+I135+T135</f>
        <v>204.237120895</v>
      </c>
      <c r="H135" s="1577">
        <f>(84.24*1390)/1000</f>
        <v>117.0936</v>
      </c>
      <c r="I135" s="1367">
        <f t="shared" ref="I135:I146" si="120">SUM(J135:S135)</f>
        <v>58.632104300000009</v>
      </c>
      <c r="J135" s="1365"/>
      <c r="K135" s="1577">
        <f>(1*1390)/1000</f>
        <v>1.39</v>
      </c>
      <c r="L135" s="1577">
        <f>(2.0443*1390)/1000</f>
        <v>2.8415769999999996</v>
      </c>
      <c r="M135" s="1577">
        <f>(38.53707*1390)/1000</f>
        <v>53.566527300000004</v>
      </c>
      <c r="N135" s="1577">
        <f>(0*1300)/1000</f>
        <v>0</v>
      </c>
      <c r="O135" s="1577">
        <f>(0*1300)/1000</f>
        <v>0</v>
      </c>
      <c r="P135" s="1365"/>
      <c r="Q135" s="1365">
        <f t="shared" ref="Q135:Q144" si="121">(J135/1.39)*1.49</f>
        <v>0</v>
      </c>
      <c r="R135" s="1577">
        <v>0</v>
      </c>
      <c r="S135" s="1577">
        <f>(0.6*1390)/1000</f>
        <v>0.83399999999999996</v>
      </c>
      <c r="T135" s="1366">
        <f t="shared" ref="T135:T146" si="122">(H135+K135+L135+R135)*23.5%</f>
        <v>28.511416594999996</v>
      </c>
      <c r="U135" s="1367">
        <f t="shared" ref="U135:U146" si="123">V135+W135+AH135</f>
        <v>218.93043894499999</v>
      </c>
      <c r="V135" s="1367">
        <f t="shared" ref="V135:V144" si="124">(H135/1.39)*1.49</f>
        <v>125.51760000000002</v>
      </c>
      <c r="W135" s="1367">
        <f t="shared" ref="W135:W146" si="125">SUM(X135:AG135)</f>
        <v>62.850241300000008</v>
      </c>
      <c r="X135" s="1367">
        <f t="shared" ref="X135:X145" si="126">(J135/1.3)*1.39</f>
        <v>0</v>
      </c>
      <c r="Y135" s="1367">
        <f t="shared" ref="Y135:AC144" si="127">(K135/1.39)*1.49</f>
        <v>1.49</v>
      </c>
      <c r="Z135" s="1367">
        <f t="shared" si="127"/>
        <v>3.0460069999999995</v>
      </c>
      <c r="AA135" s="1367">
        <f t="shared" si="127"/>
        <v>57.420234300000011</v>
      </c>
      <c r="AB135" s="1367">
        <f>(N135/1.3)*1.39</f>
        <v>0</v>
      </c>
      <c r="AC135" s="1367">
        <f>(O135/1.3)*1.39</f>
        <v>0</v>
      </c>
      <c r="AD135" s="1367">
        <f>(P135/1.3)*1.39</f>
        <v>0</v>
      </c>
      <c r="AE135" s="1367">
        <f>(Q135/1.3)*1.39</f>
        <v>0</v>
      </c>
      <c r="AF135" s="1367">
        <f>(R135/1.3)*1.39</f>
        <v>0</v>
      </c>
      <c r="AG135" s="1367">
        <f t="shared" ref="AG135:AG144" si="128">(S135/1.39)*1.49</f>
        <v>0.89400000000000002</v>
      </c>
      <c r="AH135" s="1367">
        <f t="shared" ref="AH135:AH146" si="129">(V135+Y135+Z135+AF135)*23.5%</f>
        <v>30.562597644999997</v>
      </c>
      <c r="AI135" s="1366">
        <f t="shared" ref="AI135:AI146" si="130">U135-G135</f>
        <v>14.693318049999988</v>
      </c>
      <c r="AJ135" s="1366">
        <f t="shared" ref="AJ135:AJ146" si="131">AI135*12</f>
        <v>176.31981659999985</v>
      </c>
      <c r="AK135" s="1463"/>
      <c r="AL135" s="1431">
        <f t="shared" si="82"/>
        <v>107.19424460431655</v>
      </c>
    </row>
    <row r="136" spans="1:38" s="1431" customFormat="1" ht="21" hidden="1" customHeight="1">
      <c r="A136" s="1375"/>
      <c r="B136" s="1376" t="s">
        <v>2633</v>
      </c>
      <c r="C136" s="1365">
        <f t="shared" ref="C136:C146" si="132">D136+E136</f>
        <v>111</v>
      </c>
      <c r="D136" s="1365">
        <v>111</v>
      </c>
      <c r="E136" s="1451"/>
      <c r="F136" s="1365">
        <v>112</v>
      </c>
      <c r="G136" s="1367">
        <f t="shared" si="119"/>
        <v>1013.361619735</v>
      </c>
      <c r="H136" s="1577">
        <f>(364.385*1390)/1000</f>
        <v>506.49514999999997</v>
      </c>
      <c r="I136" s="1367">
        <f t="shared" si="120"/>
        <v>383.41370800000004</v>
      </c>
      <c r="J136" s="1365"/>
      <c r="K136" s="1577">
        <f>(5.6*1390)/1000</f>
        <v>7.7839999999999989</v>
      </c>
      <c r="L136" s="1577">
        <f>(7.9509*1390)/1000</f>
        <v>11.051750999999999</v>
      </c>
      <c r="M136" s="1577">
        <f>(217.3963*1390)/1000</f>
        <v>302.180857</v>
      </c>
      <c r="N136" s="1577">
        <f>(18.69*1390)/1000</f>
        <v>25.979100000000003</v>
      </c>
      <c r="O136" s="1577">
        <f>(23.2*1390)/1000</f>
        <v>32.247999999999998</v>
      </c>
      <c r="P136" s="1365"/>
      <c r="Q136" s="1365">
        <f t="shared" si="121"/>
        <v>0</v>
      </c>
      <c r="R136" s="1577">
        <v>0</v>
      </c>
      <c r="S136" s="1577">
        <f>(3*1390)/1000</f>
        <v>4.17</v>
      </c>
      <c r="T136" s="1366">
        <f t="shared" si="122"/>
        <v>123.45276173499998</v>
      </c>
      <c r="U136" s="1367">
        <f t="shared" si="123"/>
        <v>1086.2653333849998</v>
      </c>
      <c r="V136" s="1367">
        <f t="shared" si="124"/>
        <v>542.93364999999994</v>
      </c>
      <c r="W136" s="1367">
        <f t="shared" si="125"/>
        <v>410.99742800000001</v>
      </c>
      <c r="X136" s="1367">
        <f t="shared" si="126"/>
        <v>0</v>
      </c>
      <c r="Y136" s="1367">
        <f t="shared" si="127"/>
        <v>8.3439999999999994</v>
      </c>
      <c r="Z136" s="1367">
        <f t="shared" si="127"/>
        <v>11.846841</v>
      </c>
      <c r="AA136" s="1367">
        <f t="shared" si="127"/>
        <v>323.92048700000004</v>
      </c>
      <c r="AB136" s="1367">
        <f t="shared" si="127"/>
        <v>27.848100000000006</v>
      </c>
      <c r="AC136" s="1367">
        <f t="shared" si="127"/>
        <v>34.567999999999998</v>
      </c>
      <c r="AD136" s="1367">
        <f t="shared" ref="AD136:AF145" si="133">(P136/1.3)*1.39</f>
        <v>0</v>
      </c>
      <c r="AE136" s="1367">
        <f t="shared" si="133"/>
        <v>0</v>
      </c>
      <c r="AF136" s="1367">
        <f t="shared" si="133"/>
        <v>0</v>
      </c>
      <c r="AG136" s="1367">
        <f t="shared" si="128"/>
        <v>4.47</v>
      </c>
      <c r="AH136" s="1367">
        <f t="shared" si="129"/>
        <v>132.33425538500001</v>
      </c>
      <c r="AI136" s="1366">
        <f t="shared" si="130"/>
        <v>72.903713649999872</v>
      </c>
      <c r="AJ136" s="1366">
        <f t="shared" si="131"/>
        <v>874.84456379999847</v>
      </c>
      <c r="AK136" s="1463"/>
      <c r="AL136" s="1431">
        <f t="shared" si="82"/>
        <v>107.19424460431652</v>
      </c>
    </row>
    <row r="137" spans="1:38" s="1431" customFormat="1" ht="21" hidden="1" customHeight="1">
      <c r="A137" s="1375"/>
      <c r="B137" s="1376" t="s">
        <v>2634</v>
      </c>
      <c r="C137" s="1365">
        <f t="shared" si="132"/>
        <v>120</v>
      </c>
      <c r="D137" s="1365">
        <v>120</v>
      </c>
      <c r="E137" s="1451"/>
      <c r="F137" s="1365">
        <v>92</v>
      </c>
      <c r="G137" s="1367">
        <f t="shared" si="119"/>
        <v>732.93831249999994</v>
      </c>
      <c r="H137" s="1577">
        <f>(288.17*1390)/1000</f>
        <v>400.55630000000002</v>
      </c>
      <c r="I137" s="1367">
        <f t="shared" si="120"/>
        <v>234.97171599999999</v>
      </c>
      <c r="J137" s="1365"/>
      <c r="K137" s="1577">
        <f>(3.95*1390)/1000</f>
        <v>5.4904999999999999</v>
      </c>
      <c r="L137" s="1577">
        <f>(6.09*1390)/1000</f>
        <v>8.4650999999999996</v>
      </c>
      <c r="M137" s="1577">
        <f>(132.3996*1390)/1000</f>
        <v>184.03544399999998</v>
      </c>
      <c r="N137" s="1577">
        <f>(23.4048*1390)/1000</f>
        <v>32.532672000000005</v>
      </c>
      <c r="O137" s="1577">
        <f>(2*1390)/1000</f>
        <v>2.78</v>
      </c>
      <c r="P137" s="1365"/>
      <c r="Q137" s="1365">
        <f t="shared" si="121"/>
        <v>0</v>
      </c>
      <c r="R137" s="1577">
        <v>0</v>
      </c>
      <c r="S137" s="1577">
        <f>(1.2*1390)/1000</f>
        <v>1.6679999999999999</v>
      </c>
      <c r="T137" s="1366">
        <f t="shared" si="122"/>
        <v>97.410296500000001</v>
      </c>
      <c r="U137" s="1367">
        <f t="shared" si="123"/>
        <v>785.66768750000006</v>
      </c>
      <c r="V137" s="1367">
        <f t="shared" si="124"/>
        <v>429.37330000000003</v>
      </c>
      <c r="W137" s="1367">
        <f t="shared" si="125"/>
        <v>251.87615599999998</v>
      </c>
      <c r="X137" s="1367">
        <f t="shared" si="126"/>
        <v>0</v>
      </c>
      <c r="Y137" s="1367">
        <f t="shared" si="127"/>
        <v>5.8855000000000004</v>
      </c>
      <c r="Z137" s="1367">
        <f t="shared" si="127"/>
        <v>9.0740999999999996</v>
      </c>
      <c r="AA137" s="1367">
        <f t="shared" si="127"/>
        <v>197.27540399999998</v>
      </c>
      <c r="AB137" s="1367">
        <f t="shared" si="127"/>
        <v>34.873152000000005</v>
      </c>
      <c r="AC137" s="1367">
        <f t="shared" si="127"/>
        <v>2.98</v>
      </c>
      <c r="AD137" s="1367">
        <f t="shared" si="133"/>
        <v>0</v>
      </c>
      <c r="AE137" s="1367">
        <f t="shared" si="133"/>
        <v>0</v>
      </c>
      <c r="AF137" s="1367">
        <f t="shared" si="133"/>
        <v>0</v>
      </c>
      <c r="AG137" s="1367">
        <f t="shared" si="128"/>
        <v>1.788</v>
      </c>
      <c r="AH137" s="1367">
        <f t="shared" si="129"/>
        <v>104.41823149999999</v>
      </c>
      <c r="AI137" s="1366">
        <f t="shared" si="130"/>
        <v>52.729375000000118</v>
      </c>
      <c r="AJ137" s="1366">
        <f t="shared" si="131"/>
        <v>632.75250000000142</v>
      </c>
      <c r="AK137" s="1463"/>
      <c r="AL137" s="1431">
        <f t="shared" si="82"/>
        <v>107.19424460431657</v>
      </c>
    </row>
    <row r="138" spans="1:38" s="1431" customFormat="1" ht="21" hidden="1" customHeight="1">
      <c r="A138" s="1375"/>
      <c r="B138" s="1376" t="s">
        <v>2635</v>
      </c>
      <c r="C138" s="1365">
        <f t="shared" si="132"/>
        <v>87</v>
      </c>
      <c r="D138" s="1365">
        <v>87</v>
      </c>
      <c r="E138" s="1451"/>
      <c r="F138" s="1365">
        <v>83</v>
      </c>
      <c r="G138" s="1367">
        <f t="shared" si="119"/>
        <v>707.98817946000008</v>
      </c>
      <c r="H138" s="1577">
        <f>(261.91*1390)/1000</f>
        <v>364.05490000000003</v>
      </c>
      <c r="I138" s="1367">
        <f t="shared" si="120"/>
        <v>255.45281000000006</v>
      </c>
      <c r="J138" s="1365"/>
      <c r="K138" s="1577">
        <f>(2.55*1390)/1000</f>
        <v>3.5444999999999998</v>
      </c>
      <c r="L138" s="1577">
        <f>(6.4124*1390)/1000</f>
        <v>8.9132359999999995</v>
      </c>
      <c r="M138" s="1577">
        <f>(149.02*1390)/1000</f>
        <v>207.13780000000003</v>
      </c>
      <c r="N138" s="1577">
        <f>(4.5966*1390)/1000</f>
        <v>6.3892739999999995</v>
      </c>
      <c r="O138" s="1577">
        <f>(17.4*1390)/1000</f>
        <v>24.185999999999996</v>
      </c>
      <c r="P138" s="1365"/>
      <c r="Q138" s="1365">
        <f t="shared" si="121"/>
        <v>0</v>
      </c>
      <c r="R138" s="1577">
        <v>0</v>
      </c>
      <c r="S138" s="1577">
        <f>(3.8*1390)/1000</f>
        <v>5.282</v>
      </c>
      <c r="T138" s="1366">
        <f t="shared" si="122"/>
        <v>88.480469460000009</v>
      </c>
      <c r="U138" s="1367">
        <f t="shared" si="123"/>
        <v>758.92258086000015</v>
      </c>
      <c r="V138" s="1367">
        <f t="shared" si="124"/>
        <v>390.24590000000006</v>
      </c>
      <c r="W138" s="1367">
        <f t="shared" si="125"/>
        <v>273.83071000000001</v>
      </c>
      <c r="X138" s="1367">
        <f t="shared" si="126"/>
        <v>0</v>
      </c>
      <c r="Y138" s="1367">
        <f t="shared" si="127"/>
        <v>3.7994999999999997</v>
      </c>
      <c r="Z138" s="1367">
        <f t="shared" si="127"/>
        <v>9.5544759999999993</v>
      </c>
      <c r="AA138" s="1367">
        <f t="shared" si="127"/>
        <v>222.03980000000004</v>
      </c>
      <c r="AB138" s="1367">
        <f t="shared" si="127"/>
        <v>6.848933999999999</v>
      </c>
      <c r="AC138" s="1367">
        <f t="shared" si="127"/>
        <v>25.925999999999998</v>
      </c>
      <c r="AD138" s="1367">
        <f t="shared" si="133"/>
        <v>0</v>
      </c>
      <c r="AE138" s="1367">
        <f t="shared" si="133"/>
        <v>0</v>
      </c>
      <c r="AF138" s="1367">
        <f t="shared" si="133"/>
        <v>0</v>
      </c>
      <c r="AG138" s="1367">
        <f t="shared" si="128"/>
        <v>5.6619999999999999</v>
      </c>
      <c r="AH138" s="1367">
        <f t="shared" si="129"/>
        <v>94.845970860000023</v>
      </c>
      <c r="AI138" s="1366">
        <f t="shared" si="130"/>
        <v>50.93440140000007</v>
      </c>
      <c r="AJ138" s="1366">
        <f t="shared" si="131"/>
        <v>611.21281680000084</v>
      </c>
      <c r="AK138" s="1463"/>
      <c r="AL138" s="1431">
        <f t="shared" si="82"/>
        <v>107.19424460431655</v>
      </c>
    </row>
    <row r="139" spans="1:38" s="1431" customFormat="1" ht="21" hidden="1" customHeight="1">
      <c r="A139" s="1375"/>
      <c r="B139" s="1376" t="s">
        <v>2636</v>
      </c>
      <c r="C139" s="1365">
        <f t="shared" si="132"/>
        <v>71</v>
      </c>
      <c r="D139" s="1365">
        <v>71</v>
      </c>
      <c r="E139" s="1451"/>
      <c r="F139" s="1365">
        <v>66</v>
      </c>
      <c r="G139" s="1367">
        <f t="shared" si="119"/>
        <v>509.89910571000001</v>
      </c>
      <c r="H139" s="1577">
        <f>(209.01*1390)/1000</f>
        <v>290.52389999999997</v>
      </c>
      <c r="I139" s="1367">
        <f t="shared" si="120"/>
        <v>149.36842700000003</v>
      </c>
      <c r="J139" s="1365"/>
      <c r="K139" s="1577">
        <f>(2.1*1390)/1000</f>
        <v>2.919</v>
      </c>
      <c r="L139" s="1577">
        <f>(3.2074*1390)/1000</f>
        <v>4.4582860000000002</v>
      </c>
      <c r="M139" s="1577">
        <f>(92.7459*1390)/1000</f>
        <v>128.91680100000002</v>
      </c>
      <c r="N139" s="1629">
        <f>(6.006*1390)/1000</f>
        <v>8.3483400000000003</v>
      </c>
      <c r="O139" s="1629">
        <f>(1.5*1390)/1000</f>
        <v>2.085</v>
      </c>
      <c r="P139" s="1365"/>
      <c r="Q139" s="1365">
        <f t="shared" si="121"/>
        <v>0</v>
      </c>
      <c r="R139" s="1577">
        <v>0</v>
      </c>
      <c r="S139" s="1577">
        <f>(1.9*1390)/1000</f>
        <v>2.641</v>
      </c>
      <c r="T139" s="1366">
        <f t="shared" si="122"/>
        <v>70.006778709999978</v>
      </c>
      <c r="U139" s="1367">
        <f t="shared" si="123"/>
        <v>546.58249461000003</v>
      </c>
      <c r="V139" s="1367">
        <f t="shared" si="124"/>
        <v>311.42489999999998</v>
      </c>
      <c r="W139" s="1367">
        <f t="shared" si="125"/>
        <v>160.11435700000004</v>
      </c>
      <c r="X139" s="1367">
        <f t="shared" si="126"/>
        <v>0</v>
      </c>
      <c r="Y139" s="1367">
        <f t="shared" si="127"/>
        <v>3.129</v>
      </c>
      <c r="Z139" s="1367">
        <f t="shared" si="127"/>
        <v>4.779026</v>
      </c>
      <c r="AA139" s="1367">
        <f t="shared" si="127"/>
        <v>138.19139100000004</v>
      </c>
      <c r="AB139" s="1367">
        <f t="shared" si="127"/>
        <v>8.9489400000000003</v>
      </c>
      <c r="AC139" s="1367">
        <f t="shared" si="127"/>
        <v>2.2349999999999999</v>
      </c>
      <c r="AD139" s="1367">
        <f t="shared" si="133"/>
        <v>0</v>
      </c>
      <c r="AE139" s="1367">
        <f t="shared" si="133"/>
        <v>0</v>
      </c>
      <c r="AF139" s="1367">
        <f t="shared" si="133"/>
        <v>0</v>
      </c>
      <c r="AG139" s="1367">
        <f t="shared" si="128"/>
        <v>2.831</v>
      </c>
      <c r="AH139" s="1367">
        <f t="shared" si="129"/>
        <v>75.043237609999991</v>
      </c>
      <c r="AI139" s="1366">
        <f t="shared" si="130"/>
        <v>36.683388900000011</v>
      </c>
      <c r="AJ139" s="1366">
        <f t="shared" si="131"/>
        <v>440.20066680000014</v>
      </c>
      <c r="AK139" s="1463"/>
      <c r="AL139" s="1431">
        <f t="shared" si="82"/>
        <v>107.19424460431655</v>
      </c>
    </row>
    <row r="140" spans="1:38" s="1431" customFormat="1" ht="21" hidden="1" customHeight="1">
      <c r="A140" s="1375"/>
      <c r="B140" s="1376" t="s">
        <v>2637</v>
      </c>
      <c r="C140" s="1365">
        <f t="shared" si="132"/>
        <v>69</v>
      </c>
      <c r="D140" s="1365">
        <v>69</v>
      </c>
      <c r="E140" s="1451"/>
      <c r="F140" s="1365">
        <v>66</v>
      </c>
      <c r="G140" s="1367">
        <f t="shared" si="119"/>
        <v>527.28146436999998</v>
      </c>
      <c r="H140" s="1577">
        <f>(202*1390)/1000</f>
        <v>280.77999999999997</v>
      </c>
      <c r="I140" s="1367">
        <f t="shared" si="120"/>
        <v>179.048958</v>
      </c>
      <c r="J140" s="1365"/>
      <c r="K140" s="1577">
        <f>(1.9*1390)/1000</f>
        <v>2.641</v>
      </c>
      <c r="L140" s="1577">
        <f>(2.5978*1390)/1000</f>
        <v>3.6109420000000001</v>
      </c>
      <c r="M140" s="1577">
        <f>(100.3064*1390)/1000</f>
        <v>139.42589599999999</v>
      </c>
      <c r="N140" s="1577">
        <f>(16.408*1390)/1000</f>
        <v>22.807120000000001</v>
      </c>
      <c r="O140" s="1577">
        <f>(3*1390)/1000</f>
        <v>4.17</v>
      </c>
      <c r="P140" s="1365"/>
      <c r="Q140" s="1365">
        <f t="shared" si="121"/>
        <v>0</v>
      </c>
      <c r="R140" s="1577">
        <v>0</v>
      </c>
      <c r="S140" s="1577">
        <f>(4.6*1390)/1000</f>
        <v>6.3939999999999992</v>
      </c>
      <c r="T140" s="1366">
        <f t="shared" si="122"/>
        <v>67.452506369999995</v>
      </c>
      <c r="U140" s="1367">
        <f t="shared" si="123"/>
        <v>565.21538267000005</v>
      </c>
      <c r="V140" s="1367">
        <f t="shared" si="124"/>
        <v>300.98</v>
      </c>
      <c r="W140" s="1367">
        <f t="shared" si="125"/>
        <v>191.93017800000001</v>
      </c>
      <c r="X140" s="1367">
        <f t="shared" si="126"/>
        <v>0</v>
      </c>
      <c r="Y140" s="1367">
        <f t="shared" si="127"/>
        <v>2.831</v>
      </c>
      <c r="Z140" s="1367">
        <f t="shared" si="127"/>
        <v>3.8707220000000007</v>
      </c>
      <c r="AA140" s="1367">
        <f t="shared" si="127"/>
        <v>149.456536</v>
      </c>
      <c r="AB140" s="1367">
        <f t="shared" si="127"/>
        <v>24.447920000000003</v>
      </c>
      <c r="AC140" s="1367">
        <f t="shared" si="127"/>
        <v>4.47</v>
      </c>
      <c r="AD140" s="1367">
        <f t="shared" si="133"/>
        <v>0</v>
      </c>
      <c r="AE140" s="1367">
        <f t="shared" si="133"/>
        <v>0</v>
      </c>
      <c r="AF140" s="1367">
        <f t="shared" si="133"/>
        <v>0</v>
      </c>
      <c r="AG140" s="1367">
        <f t="shared" si="128"/>
        <v>6.8539999999999992</v>
      </c>
      <c r="AH140" s="1367">
        <f t="shared" si="129"/>
        <v>72.305204670000009</v>
      </c>
      <c r="AI140" s="1366">
        <f t="shared" si="130"/>
        <v>37.933918300000073</v>
      </c>
      <c r="AJ140" s="1366">
        <f t="shared" si="131"/>
        <v>455.20701960000088</v>
      </c>
      <c r="AK140" s="1463"/>
      <c r="AL140" s="1431">
        <f t="shared" si="82"/>
        <v>107.19424460431657</v>
      </c>
    </row>
    <row r="141" spans="1:38" s="1431" customFormat="1" ht="21" hidden="1" customHeight="1">
      <c r="A141" s="1375"/>
      <c r="B141" s="1376" t="s">
        <v>2638</v>
      </c>
      <c r="C141" s="1365">
        <f t="shared" si="132"/>
        <v>93</v>
      </c>
      <c r="D141" s="1365">
        <v>93</v>
      </c>
      <c r="E141" s="1451"/>
      <c r="F141" s="1365">
        <v>92</v>
      </c>
      <c r="G141" s="1367">
        <f t="shared" si="119"/>
        <v>864.56294052999999</v>
      </c>
      <c r="H141" s="1577">
        <f>(301.75*1390)/1000</f>
        <v>419.4325</v>
      </c>
      <c r="I141" s="1367">
        <f t="shared" si="120"/>
        <v>343.67027199999995</v>
      </c>
      <c r="J141" s="1365"/>
      <c r="K141" s="1577">
        <f>(3.25*1390)/1000</f>
        <v>4.5175000000000001</v>
      </c>
      <c r="L141" s="1577">
        <f>(5.6082*1390)/1000</f>
        <v>7.7953980000000005</v>
      </c>
      <c r="M141" s="1577">
        <f>(178.2893*1390)/1000</f>
        <v>247.82212699999999</v>
      </c>
      <c r="N141" s="1577">
        <f>(43.2973*1390)/1000</f>
        <v>60.183247000000001</v>
      </c>
      <c r="O141" s="1577">
        <f>(15.3*1390)/1000</f>
        <v>21.266999999999999</v>
      </c>
      <c r="P141" s="1365"/>
      <c r="Q141" s="1365">
        <f t="shared" si="121"/>
        <v>0</v>
      </c>
      <c r="R141" s="1577">
        <v>0</v>
      </c>
      <c r="S141" s="1577">
        <f>(1.5*1390)/1000</f>
        <v>2.085</v>
      </c>
      <c r="T141" s="1366">
        <f t="shared" si="122"/>
        <v>101.46016852999999</v>
      </c>
      <c r="U141" s="1367">
        <f t="shared" si="123"/>
        <v>925.23171322999997</v>
      </c>
      <c r="V141" s="1367">
        <f t="shared" si="124"/>
        <v>449.60750000000002</v>
      </c>
      <c r="W141" s="1367">
        <f t="shared" si="125"/>
        <v>366.86475200000001</v>
      </c>
      <c r="X141" s="1367">
        <f t="shared" si="126"/>
        <v>0</v>
      </c>
      <c r="Y141" s="1367">
        <f t="shared" si="127"/>
        <v>4.8425000000000002</v>
      </c>
      <c r="Z141" s="1367">
        <f t="shared" si="127"/>
        <v>8.3562180000000019</v>
      </c>
      <c r="AA141" s="1367">
        <f t="shared" si="127"/>
        <v>265.65105699999998</v>
      </c>
      <c r="AB141" s="1367">
        <f>(N141/1.39)*1.49</f>
        <v>64.512977000000006</v>
      </c>
      <c r="AC141" s="1367">
        <f>(O141/1.39)*1.39</f>
        <v>21.266999999999999</v>
      </c>
      <c r="AD141" s="1367">
        <f t="shared" si="133"/>
        <v>0</v>
      </c>
      <c r="AE141" s="1367">
        <f t="shared" si="133"/>
        <v>0</v>
      </c>
      <c r="AF141" s="1367">
        <f t="shared" si="133"/>
        <v>0</v>
      </c>
      <c r="AG141" s="1367">
        <f t="shared" si="128"/>
        <v>2.2349999999999999</v>
      </c>
      <c r="AH141" s="1367">
        <f t="shared" si="129"/>
        <v>108.75946123</v>
      </c>
      <c r="AI141" s="1366">
        <f t="shared" si="130"/>
        <v>60.668772699999977</v>
      </c>
      <c r="AJ141" s="1366">
        <f t="shared" si="131"/>
        <v>728.02527239999972</v>
      </c>
      <c r="AK141" s="1463"/>
      <c r="AL141" s="1431">
        <f t="shared" si="82"/>
        <v>107.01727657477527</v>
      </c>
    </row>
    <row r="142" spans="1:38" s="1431" customFormat="1" ht="21" hidden="1" customHeight="1">
      <c r="A142" s="1375"/>
      <c r="B142" s="1376" t="s">
        <v>2639</v>
      </c>
      <c r="C142" s="1365">
        <f t="shared" si="132"/>
        <v>46</v>
      </c>
      <c r="D142" s="1365">
        <v>46</v>
      </c>
      <c r="E142" s="1451"/>
      <c r="F142" s="1365">
        <v>45</v>
      </c>
      <c r="G142" s="1367">
        <f t="shared" si="119"/>
        <v>377.57615696999994</v>
      </c>
      <c r="H142" s="1577">
        <f>(132.66*1390)/1000</f>
        <v>184.3974</v>
      </c>
      <c r="I142" s="1367">
        <f t="shared" si="120"/>
        <v>148.53817999999998</v>
      </c>
      <c r="J142" s="1365"/>
      <c r="K142" s="1577">
        <f>(1.85*1390)/1000</f>
        <v>2.5714999999999999</v>
      </c>
      <c r="L142" s="1577">
        <f>(2.1518*1390)/1000</f>
        <v>2.9910020000000004</v>
      </c>
      <c r="M142" s="1577">
        <f>(79.0642*1390)/1000</f>
        <v>109.899238</v>
      </c>
      <c r="N142" s="1577">
        <f>(12.096*1390)/1000</f>
        <v>16.81344</v>
      </c>
      <c r="O142" s="1577">
        <f>(10.2*1390)/1000</f>
        <v>14.177999999999999</v>
      </c>
      <c r="P142" s="1365"/>
      <c r="Q142" s="1365">
        <f t="shared" si="121"/>
        <v>0</v>
      </c>
      <c r="R142" s="1577">
        <v>0</v>
      </c>
      <c r="S142" s="1577">
        <f>(1.5*1390)/1000</f>
        <v>2.085</v>
      </c>
      <c r="T142" s="1366">
        <f t="shared" si="122"/>
        <v>44.640576969999998</v>
      </c>
      <c r="U142" s="1367">
        <f t="shared" si="123"/>
        <v>404.73990927</v>
      </c>
      <c r="V142" s="1367">
        <f t="shared" si="124"/>
        <v>197.66340000000002</v>
      </c>
      <c r="W142" s="1367">
        <f t="shared" si="125"/>
        <v>159.22438000000002</v>
      </c>
      <c r="X142" s="1367">
        <f t="shared" si="126"/>
        <v>0</v>
      </c>
      <c r="Y142" s="1367">
        <f t="shared" si="127"/>
        <v>2.7565</v>
      </c>
      <c r="Z142" s="1367">
        <f t="shared" si="127"/>
        <v>3.206182000000001</v>
      </c>
      <c r="AA142" s="1367">
        <f t="shared" si="127"/>
        <v>117.80565799999999</v>
      </c>
      <c r="AB142" s="1367">
        <f>(N142/1.39)*1.49</f>
        <v>18.023040000000002</v>
      </c>
      <c r="AC142" s="1367">
        <f>(O142/1.39)*1.49</f>
        <v>15.197999999999999</v>
      </c>
      <c r="AD142" s="1367">
        <f t="shared" si="133"/>
        <v>0</v>
      </c>
      <c r="AE142" s="1367">
        <f t="shared" si="133"/>
        <v>0</v>
      </c>
      <c r="AF142" s="1367">
        <f t="shared" si="133"/>
        <v>0</v>
      </c>
      <c r="AG142" s="1367">
        <f t="shared" si="128"/>
        <v>2.2349999999999999</v>
      </c>
      <c r="AH142" s="1367">
        <f t="shared" si="129"/>
        <v>47.852129270000006</v>
      </c>
      <c r="AI142" s="1366">
        <f t="shared" si="130"/>
        <v>27.163752300000056</v>
      </c>
      <c r="AJ142" s="1366">
        <f t="shared" si="131"/>
        <v>325.96502760000067</v>
      </c>
      <c r="AK142" s="1463"/>
      <c r="AL142" s="1431">
        <f t="shared" si="82"/>
        <v>107.19424460431657</v>
      </c>
    </row>
    <row r="143" spans="1:38" s="1431" customFormat="1" ht="21" hidden="1" customHeight="1">
      <c r="A143" s="1375"/>
      <c r="B143" s="1376" t="s">
        <v>2640</v>
      </c>
      <c r="C143" s="1365">
        <f t="shared" si="132"/>
        <v>59</v>
      </c>
      <c r="D143" s="1365">
        <v>59</v>
      </c>
      <c r="E143" s="1451"/>
      <c r="F143" s="1365">
        <v>56</v>
      </c>
      <c r="G143" s="1367">
        <f t="shared" si="119"/>
        <v>428.89228261</v>
      </c>
      <c r="H143" s="1577">
        <f>(175.61*1390)/1000</f>
        <v>244.09790000000001</v>
      </c>
      <c r="I143" s="1367">
        <f t="shared" si="120"/>
        <v>125.519363</v>
      </c>
      <c r="J143" s="1365"/>
      <c r="K143" s="1577">
        <f>(2.6*1390)/1000</f>
        <v>3.6139999999999999</v>
      </c>
      <c r="L143" s="1577">
        <f>(3.2534*1390)/1000</f>
        <v>4.5222259999999999</v>
      </c>
      <c r="M143" s="1577">
        <f>(81.9483*1390)/1000</f>
        <v>113.908137</v>
      </c>
      <c r="N143" s="1365">
        <f t="shared" ref="N143:O144" si="134">0*1300</f>
        <v>0</v>
      </c>
      <c r="O143" s="1365">
        <f t="shared" si="134"/>
        <v>0</v>
      </c>
      <c r="P143" s="1365"/>
      <c r="Q143" s="1365">
        <f t="shared" si="121"/>
        <v>0</v>
      </c>
      <c r="R143" s="1577">
        <v>0</v>
      </c>
      <c r="S143" s="1577">
        <f>(2.5*1390)/1000</f>
        <v>3.4750000000000001</v>
      </c>
      <c r="T143" s="1366">
        <f t="shared" si="122"/>
        <v>59.275019609999994</v>
      </c>
      <c r="U143" s="1367">
        <f t="shared" si="123"/>
        <v>459.74784251000005</v>
      </c>
      <c r="V143" s="1367">
        <f t="shared" si="124"/>
        <v>261.65890000000002</v>
      </c>
      <c r="W143" s="1367">
        <f t="shared" si="125"/>
        <v>134.549533</v>
      </c>
      <c r="X143" s="1367">
        <f t="shared" si="126"/>
        <v>0</v>
      </c>
      <c r="Y143" s="1367">
        <f t="shared" si="127"/>
        <v>3.8740000000000001</v>
      </c>
      <c r="Z143" s="1367">
        <f t="shared" si="127"/>
        <v>4.8475660000000005</v>
      </c>
      <c r="AA143" s="1367">
        <f t="shared" si="127"/>
        <v>122.10296700000001</v>
      </c>
      <c r="AB143" s="1367">
        <f t="shared" ref="AB143:AC145" si="135">(N143/1.3)*1.39</f>
        <v>0</v>
      </c>
      <c r="AC143" s="1367">
        <f t="shared" si="135"/>
        <v>0</v>
      </c>
      <c r="AD143" s="1367">
        <f t="shared" si="133"/>
        <v>0</v>
      </c>
      <c r="AE143" s="1367">
        <f t="shared" si="133"/>
        <v>0</v>
      </c>
      <c r="AF143" s="1367">
        <f t="shared" si="133"/>
        <v>0</v>
      </c>
      <c r="AG143" s="1367">
        <f t="shared" si="128"/>
        <v>3.7250000000000005</v>
      </c>
      <c r="AH143" s="1367">
        <f t="shared" si="129"/>
        <v>63.539409510000013</v>
      </c>
      <c r="AI143" s="1366">
        <f t="shared" si="130"/>
        <v>30.85555990000006</v>
      </c>
      <c r="AJ143" s="1366">
        <f t="shared" si="131"/>
        <v>370.26671880000072</v>
      </c>
      <c r="AK143" s="1463"/>
      <c r="AL143" s="1431">
        <f t="shared" si="82"/>
        <v>107.19424460431657</v>
      </c>
    </row>
    <row r="144" spans="1:38" s="1431" customFormat="1" ht="21" hidden="1" customHeight="1">
      <c r="A144" s="1375"/>
      <c r="B144" s="1374" t="s">
        <v>2641</v>
      </c>
      <c r="C144" s="1365">
        <f t="shared" si="132"/>
        <v>9</v>
      </c>
      <c r="D144" s="1365">
        <v>9</v>
      </c>
      <c r="E144" s="1451"/>
      <c r="F144" s="1365">
        <v>12</v>
      </c>
      <c r="G144" s="1367">
        <f t="shared" si="119"/>
        <v>75.374427730000008</v>
      </c>
      <c r="H144" s="1577">
        <f>(31.45*1390)/1000</f>
        <v>43.715499999999999</v>
      </c>
      <c r="I144" s="1367">
        <f t="shared" si="120"/>
        <v>20.978714</v>
      </c>
      <c r="J144" s="1365"/>
      <c r="K144" s="1577">
        <f>(0.15*1390)/1000</f>
        <v>0.20849999999999999</v>
      </c>
      <c r="L144" s="1577">
        <f>(1.0962*1390)/1000</f>
        <v>1.5237180000000001</v>
      </c>
      <c r="M144" s="1577">
        <f>(13.4464*1390)/1000</f>
        <v>18.690496</v>
      </c>
      <c r="N144" s="1365">
        <f t="shared" si="134"/>
        <v>0</v>
      </c>
      <c r="O144" s="1365">
        <f t="shared" si="134"/>
        <v>0</v>
      </c>
      <c r="P144" s="1365"/>
      <c r="Q144" s="1365">
        <f t="shared" si="121"/>
        <v>0</v>
      </c>
      <c r="R144" s="1577">
        <v>0</v>
      </c>
      <c r="S144" s="1577">
        <f>(0.4*1390)/1000</f>
        <v>0.55600000000000005</v>
      </c>
      <c r="T144" s="1366">
        <f t="shared" si="122"/>
        <v>10.68021373</v>
      </c>
      <c r="U144" s="1367">
        <f t="shared" si="123"/>
        <v>80.797048430000018</v>
      </c>
      <c r="V144" s="1367">
        <f t="shared" si="124"/>
        <v>46.860500000000002</v>
      </c>
      <c r="W144" s="1367">
        <f t="shared" si="125"/>
        <v>22.487974000000001</v>
      </c>
      <c r="X144" s="1367">
        <f t="shared" si="126"/>
        <v>0</v>
      </c>
      <c r="Y144" s="1367">
        <f t="shared" si="127"/>
        <v>0.2235</v>
      </c>
      <c r="Z144" s="1367">
        <f t="shared" si="127"/>
        <v>1.6333380000000002</v>
      </c>
      <c r="AA144" s="1367">
        <f t="shared" si="127"/>
        <v>20.035136000000001</v>
      </c>
      <c r="AB144" s="1367">
        <f t="shared" si="135"/>
        <v>0</v>
      </c>
      <c r="AC144" s="1367">
        <f t="shared" si="135"/>
        <v>0</v>
      </c>
      <c r="AD144" s="1367">
        <f t="shared" si="133"/>
        <v>0</v>
      </c>
      <c r="AE144" s="1367">
        <f t="shared" si="133"/>
        <v>0</v>
      </c>
      <c r="AF144" s="1367">
        <f t="shared" si="133"/>
        <v>0</v>
      </c>
      <c r="AG144" s="1367">
        <f t="shared" si="128"/>
        <v>0.59600000000000009</v>
      </c>
      <c r="AH144" s="1367">
        <f t="shared" si="129"/>
        <v>11.448574430000001</v>
      </c>
      <c r="AI144" s="1366">
        <f t="shared" si="130"/>
        <v>5.4226207000000102</v>
      </c>
      <c r="AJ144" s="1366">
        <f t="shared" si="131"/>
        <v>65.071448400000122</v>
      </c>
      <c r="AK144" s="1463">
        <f>AI144/F144</f>
        <v>0.4518850583333342</v>
      </c>
      <c r="AL144" s="1431">
        <f t="shared" si="82"/>
        <v>107.19424460431657</v>
      </c>
    </row>
    <row r="145" spans="1:38" s="1431" customFormat="1" ht="21" hidden="1" customHeight="1">
      <c r="A145" s="1375"/>
      <c r="B145" s="1374" t="s">
        <v>2642</v>
      </c>
      <c r="C145" s="1365">
        <f t="shared" si="132"/>
        <v>0</v>
      </c>
      <c r="D145" s="1455"/>
      <c r="E145" s="1455"/>
      <c r="F145" s="1455"/>
      <c r="G145" s="1367">
        <f t="shared" si="119"/>
        <v>0</v>
      </c>
      <c r="H145" s="1577"/>
      <c r="I145" s="1367">
        <f t="shared" si="120"/>
        <v>0</v>
      </c>
      <c r="J145" s="1365"/>
      <c r="K145" s="1577"/>
      <c r="L145" s="1577"/>
      <c r="M145" s="1577"/>
      <c r="N145" s="1365"/>
      <c r="O145" s="1365"/>
      <c r="P145" s="1365"/>
      <c r="Q145" s="1365"/>
      <c r="R145" s="1577"/>
      <c r="S145" s="1577"/>
      <c r="T145" s="1366">
        <f t="shared" si="122"/>
        <v>0</v>
      </c>
      <c r="U145" s="1367">
        <f t="shared" si="123"/>
        <v>0</v>
      </c>
      <c r="V145" s="1367">
        <f>(H145/1.3)*1.39</f>
        <v>0</v>
      </c>
      <c r="W145" s="1367">
        <f t="shared" si="125"/>
        <v>0</v>
      </c>
      <c r="X145" s="1367">
        <f t="shared" si="126"/>
        <v>0</v>
      </c>
      <c r="Y145" s="1367">
        <f>(K145/1.3)*1.39</f>
        <v>0</v>
      </c>
      <c r="Z145" s="1367">
        <f>(L145/1.3)*1.39</f>
        <v>0</v>
      </c>
      <c r="AA145" s="1367">
        <f>(M145/1.3)*1.39</f>
        <v>0</v>
      </c>
      <c r="AB145" s="1367">
        <f t="shared" si="135"/>
        <v>0</v>
      </c>
      <c r="AC145" s="1367">
        <f t="shared" si="135"/>
        <v>0</v>
      </c>
      <c r="AD145" s="1367">
        <f t="shared" si="133"/>
        <v>0</v>
      </c>
      <c r="AE145" s="1367">
        <f t="shared" si="133"/>
        <v>0</v>
      </c>
      <c r="AF145" s="1367">
        <f t="shared" si="133"/>
        <v>0</v>
      </c>
      <c r="AG145" s="1367">
        <f>(S145/1.3)*1.39</f>
        <v>0</v>
      </c>
      <c r="AH145" s="1367">
        <f t="shared" si="129"/>
        <v>0</v>
      </c>
      <c r="AI145" s="1366">
        <f t="shared" si="130"/>
        <v>0</v>
      </c>
      <c r="AJ145" s="1366">
        <f t="shared" si="131"/>
        <v>0</v>
      </c>
      <c r="AK145" s="1463"/>
      <c r="AL145" s="1431" t="e">
        <f t="shared" si="82"/>
        <v>#DIV/0!</v>
      </c>
    </row>
    <row r="146" spans="1:38" s="1431" customFormat="1" ht="21" hidden="1" customHeight="1">
      <c r="A146" s="1375">
        <v>12</v>
      </c>
      <c r="B146" s="1374" t="s">
        <v>2643</v>
      </c>
      <c r="C146" s="1365">
        <f t="shared" si="132"/>
        <v>0</v>
      </c>
      <c r="D146" s="580"/>
      <c r="E146" s="252"/>
      <c r="F146" s="580">
        <v>55</v>
      </c>
      <c r="G146" s="1614">
        <f t="shared" si="119"/>
        <v>324.40999999999997</v>
      </c>
      <c r="H146" s="1630">
        <v>202</v>
      </c>
      <c r="I146" s="1614">
        <f t="shared" si="120"/>
        <v>74</v>
      </c>
      <c r="J146" s="1617"/>
      <c r="K146" s="1630">
        <v>4</v>
      </c>
      <c r="L146" s="1630"/>
      <c r="M146" s="1630">
        <v>68</v>
      </c>
      <c r="N146" s="1617"/>
      <c r="O146" s="1617"/>
      <c r="P146" s="1617"/>
      <c r="Q146" s="1617"/>
      <c r="R146" s="1630"/>
      <c r="S146" s="1630">
        <v>2</v>
      </c>
      <c r="T146" s="1621">
        <f t="shared" si="122"/>
        <v>48.41</v>
      </c>
      <c r="U146" s="1614">
        <f t="shared" si="123"/>
        <v>346.7</v>
      </c>
      <c r="V146" s="1614">
        <v>216</v>
      </c>
      <c r="W146" s="1614">
        <f t="shared" si="125"/>
        <v>79</v>
      </c>
      <c r="X146" s="1621"/>
      <c r="Y146" s="1614">
        <v>4</v>
      </c>
      <c r="Z146" s="1614"/>
      <c r="AA146" s="1614">
        <v>73</v>
      </c>
      <c r="AB146" s="1614"/>
      <c r="AC146" s="1614"/>
      <c r="AD146" s="1614"/>
      <c r="AE146" s="1614"/>
      <c r="AF146" s="1614"/>
      <c r="AG146" s="1614">
        <v>2</v>
      </c>
      <c r="AH146" s="1614">
        <f t="shared" si="129"/>
        <v>51.699999999999996</v>
      </c>
      <c r="AI146" s="1366">
        <f t="shared" si="130"/>
        <v>22.29000000000002</v>
      </c>
      <c r="AJ146" s="1366">
        <f t="shared" si="131"/>
        <v>267.48000000000025</v>
      </c>
      <c r="AK146" s="1463">
        <f t="shared" ref="AK146:AK151" si="136">AI146/F146</f>
        <v>0.40527272727272762</v>
      </c>
      <c r="AL146" s="1431">
        <f t="shared" si="82"/>
        <v>106.8709349280232</v>
      </c>
    </row>
    <row r="147" spans="1:38" s="1460" customFormat="1" ht="31.5" customHeight="1">
      <c r="A147" s="1456"/>
      <c r="B147" s="1458" t="s">
        <v>2529</v>
      </c>
      <c r="C147" s="1465">
        <f>C121+C124+C132</f>
        <v>909</v>
      </c>
      <c r="D147" s="1465">
        <f t="shared" ref="D147:AJ147" si="137">D121+D124+D132</f>
        <v>909</v>
      </c>
      <c r="E147" s="1466">
        <f t="shared" si="137"/>
        <v>0</v>
      </c>
      <c r="F147" s="1465">
        <f>F121+F124+F132</f>
        <v>998</v>
      </c>
      <c r="G147" s="1627">
        <f>G121+G124+G132</f>
        <v>8104.2119230999997</v>
      </c>
      <c r="H147" s="1627">
        <f t="shared" si="137"/>
        <v>4247.1589000000004</v>
      </c>
      <c r="I147" s="1627">
        <f t="shared" si="137"/>
        <v>2826.898878</v>
      </c>
      <c r="J147" s="1627">
        <f t="shared" si="137"/>
        <v>0</v>
      </c>
      <c r="K147" s="1627">
        <f t="shared" si="137"/>
        <v>91.183999999999997</v>
      </c>
      <c r="L147" s="1627">
        <f t="shared" si="137"/>
        <v>45.291760000000004</v>
      </c>
      <c r="M147" s="1627">
        <f t="shared" si="137"/>
        <v>1913.0380959999998</v>
      </c>
      <c r="N147" s="1627">
        <f t="shared" si="137"/>
        <v>633.144722</v>
      </c>
      <c r="O147" s="1627">
        <f t="shared" si="137"/>
        <v>0</v>
      </c>
      <c r="P147" s="1627">
        <f t="shared" si="137"/>
        <v>0</v>
      </c>
      <c r="Q147" s="1627">
        <f t="shared" si="137"/>
        <v>0</v>
      </c>
      <c r="R147" s="1627">
        <f t="shared" si="137"/>
        <v>0</v>
      </c>
      <c r="S147" s="1627">
        <f t="shared" si="137"/>
        <v>144.24029999999999</v>
      </c>
      <c r="T147" s="1627">
        <f t="shared" si="137"/>
        <v>1030.1541450999998</v>
      </c>
      <c r="U147" s="1627">
        <f t="shared" si="137"/>
        <v>8687.2487521000003</v>
      </c>
      <c r="V147" s="1627">
        <f t="shared" si="137"/>
        <v>4552.7099000000007</v>
      </c>
      <c r="W147" s="1627">
        <f t="shared" si="137"/>
        <v>3030.2728980000006</v>
      </c>
      <c r="X147" s="1627">
        <f t="shared" si="137"/>
        <v>0</v>
      </c>
      <c r="Y147" s="1627">
        <f t="shared" si="137"/>
        <v>97.744</v>
      </c>
      <c r="Z147" s="1627">
        <f t="shared" si="137"/>
        <v>48.550160000000005</v>
      </c>
      <c r="AA147" s="1627">
        <f t="shared" si="137"/>
        <v>2050.6667360000001</v>
      </c>
      <c r="AB147" s="1627">
        <f t="shared" si="137"/>
        <v>678.69470200000012</v>
      </c>
      <c r="AC147" s="1627">
        <f t="shared" si="137"/>
        <v>0</v>
      </c>
      <c r="AD147" s="1627">
        <f t="shared" si="137"/>
        <v>0</v>
      </c>
      <c r="AE147" s="1627">
        <f t="shared" si="137"/>
        <v>0</v>
      </c>
      <c r="AF147" s="1627">
        <f t="shared" si="137"/>
        <v>0</v>
      </c>
      <c r="AG147" s="1627">
        <f t="shared" si="137"/>
        <v>154.6173</v>
      </c>
      <c r="AH147" s="1627">
        <f t="shared" si="137"/>
        <v>1104.2659541</v>
      </c>
      <c r="AI147" s="1627">
        <f t="shared" si="137"/>
        <v>583.03682900000149</v>
      </c>
      <c r="AJ147" s="1627">
        <f t="shared" si="137"/>
        <v>6996.4419480000179</v>
      </c>
      <c r="AK147" s="1448">
        <f t="shared" si="136"/>
        <v>0.58420523947895941</v>
      </c>
      <c r="AL147" s="1431">
        <f t="shared" si="82"/>
        <v>107.19424460431655</v>
      </c>
    </row>
    <row r="148" spans="1:38" s="1444" customFormat="1" ht="33" customHeight="1">
      <c r="A148" s="1445">
        <v>3</v>
      </c>
      <c r="B148" s="1446" t="s">
        <v>2531</v>
      </c>
      <c r="C148" s="1467">
        <f>C149</f>
        <v>12</v>
      </c>
      <c r="D148" s="1467">
        <f t="shared" ref="D148:AI148" si="138">D149</f>
        <v>6</v>
      </c>
      <c r="E148" s="1467">
        <f t="shared" si="138"/>
        <v>6</v>
      </c>
      <c r="F148" s="1467">
        <f t="shared" si="138"/>
        <v>12</v>
      </c>
      <c r="G148" s="1616">
        <f t="shared" si="138"/>
        <v>88.143096999999997</v>
      </c>
      <c r="H148" s="1616">
        <f t="shared" si="138"/>
        <v>0</v>
      </c>
      <c r="I148" s="1616">
        <f t="shared" si="138"/>
        <v>14.60195</v>
      </c>
      <c r="J148" s="1616">
        <f t="shared" si="138"/>
        <v>0</v>
      </c>
      <c r="K148" s="1616">
        <f t="shared" si="138"/>
        <v>0</v>
      </c>
      <c r="L148" s="1616">
        <f t="shared" si="138"/>
        <v>0</v>
      </c>
      <c r="M148" s="1616">
        <f t="shared" si="138"/>
        <v>0</v>
      </c>
      <c r="N148" s="1616">
        <f t="shared" si="138"/>
        <v>0</v>
      </c>
      <c r="O148" s="1616">
        <f t="shared" si="138"/>
        <v>0</v>
      </c>
      <c r="P148" s="1616">
        <f t="shared" si="138"/>
        <v>0</v>
      </c>
      <c r="Q148" s="1616">
        <f t="shared" si="138"/>
        <v>0</v>
      </c>
      <c r="R148" s="1616">
        <f t="shared" si="138"/>
        <v>0</v>
      </c>
      <c r="S148" s="1616">
        <f t="shared" si="138"/>
        <v>0</v>
      </c>
      <c r="T148" s="1616">
        <f t="shared" si="138"/>
        <v>14.327147</v>
      </c>
      <c r="U148" s="1616">
        <f t="shared" si="138"/>
        <v>94.484327000000008</v>
      </c>
      <c r="V148" s="1616">
        <f t="shared" si="138"/>
        <v>0</v>
      </c>
      <c r="W148" s="1616">
        <f t="shared" si="138"/>
        <v>15.652450000000002</v>
      </c>
      <c r="X148" s="1616">
        <f t="shared" si="138"/>
        <v>0</v>
      </c>
      <c r="Y148" s="1616">
        <f t="shared" si="138"/>
        <v>0</v>
      </c>
      <c r="Z148" s="1616">
        <f t="shared" si="138"/>
        <v>0</v>
      </c>
      <c r="AA148" s="1616">
        <f t="shared" si="138"/>
        <v>0</v>
      </c>
      <c r="AB148" s="1616">
        <f t="shared" si="138"/>
        <v>0</v>
      </c>
      <c r="AC148" s="1616">
        <f t="shared" si="138"/>
        <v>0</v>
      </c>
      <c r="AD148" s="1616">
        <f t="shared" si="138"/>
        <v>0</v>
      </c>
      <c r="AE148" s="1616">
        <f t="shared" si="138"/>
        <v>0</v>
      </c>
      <c r="AF148" s="1616">
        <f t="shared" si="138"/>
        <v>0</v>
      </c>
      <c r="AG148" s="1616">
        <f t="shared" si="138"/>
        <v>0</v>
      </c>
      <c r="AH148" s="1616">
        <f t="shared" si="138"/>
        <v>15.357877000000002</v>
      </c>
      <c r="AI148" s="1616">
        <f t="shared" si="138"/>
        <v>6.341230000000003</v>
      </c>
      <c r="AJ148" s="1616">
        <f>AJ149</f>
        <v>76.094760000000036</v>
      </c>
      <c r="AK148" s="1448">
        <f t="shared" si="136"/>
        <v>0.52843583333333355</v>
      </c>
      <c r="AL148" s="1431">
        <f t="shared" si="82"/>
        <v>107.19424460431657</v>
      </c>
    </row>
    <row r="149" spans="1:38" s="1444" customFormat="1" ht="31.5" hidden="1" customHeight="1">
      <c r="A149" s="1375">
        <v>13</v>
      </c>
      <c r="B149" s="1376" t="s">
        <v>2644</v>
      </c>
      <c r="C149" s="560">
        <f t="shared" ref="C149:AI149" si="139">SUM(C150:C151,C154:C156)</f>
        <v>12</v>
      </c>
      <c r="D149" s="560">
        <f t="shared" si="139"/>
        <v>6</v>
      </c>
      <c r="E149" s="560">
        <f t="shared" si="139"/>
        <v>6</v>
      </c>
      <c r="F149" s="560">
        <f t="shared" si="139"/>
        <v>12</v>
      </c>
      <c r="G149" s="1617">
        <f t="shared" si="139"/>
        <v>88.143096999999997</v>
      </c>
      <c r="H149" s="1617">
        <f t="shared" si="139"/>
        <v>0</v>
      </c>
      <c r="I149" s="1617">
        <f t="shared" si="139"/>
        <v>14.60195</v>
      </c>
      <c r="J149" s="1617">
        <f t="shared" si="139"/>
        <v>0</v>
      </c>
      <c r="K149" s="1617">
        <f t="shared" si="139"/>
        <v>0</v>
      </c>
      <c r="L149" s="1617">
        <f t="shared" si="139"/>
        <v>0</v>
      </c>
      <c r="M149" s="1617">
        <f t="shared" si="139"/>
        <v>0</v>
      </c>
      <c r="N149" s="1617">
        <f t="shared" si="139"/>
        <v>0</v>
      </c>
      <c r="O149" s="1617">
        <f t="shared" si="139"/>
        <v>0</v>
      </c>
      <c r="P149" s="1617">
        <f t="shared" si="139"/>
        <v>0</v>
      </c>
      <c r="Q149" s="1617">
        <f t="shared" si="139"/>
        <v>0</v>
      </c>
      <c r="R149" s="1617">
        <f t="shared" si="139"/>
        <v>0</v>
      </c>
      <c r="S149" s="1617">
        <f t="shared" si="139"/>
        <v>0</v>
      </c>
      <c r="T149" s="1617">
        <f t="shared" si="139"/>
        <v>14.327147</v>
      </c>
      <c r="U149" s="1617">
        <f t="shared" si="139"/>
        <v>94.484327000000008</v>
      </c>
      <c r="V149" s="1617">
        <f t="shared" si="139"/>
        <v>0</v>
      </c>
      <c r="W149" s="1617">
        <f t="shared" si="139"/>
        <v>15.652450000000002</v>
      </c>
      <c r="X149" s="1617">
        <f t="shared" si="139"/>
        <v>0</v>
      </c>
      <c r="Y149" s="1617">
        <f t="shared" si="139"/>
        <v>0</v>
      </c>
      <c r="Z149" s="1617">
        <f t="shared" si="139"/>
        <v>0</v>
      </c>
      <c r="AA149" s="1617">
        <f t="shared" si="139"/>
        <v>0</v>
      </c>
      <c r="AB149" s="1617">
        <f t="shared" si="139"/>
        <v>0</v>
      </c>
      <c r="AC149" s="1617">
        <f t="shared" si="139"/>
        <v>0</v>
      </c>
      <c r="AD149" s="1617">
        <f t="shared" si="139"/>
        <v>0</v>
      </c>
      <c r="AE149" s="1617">
        <f t="shared" si="139"/>
        <v>0</v>
      </c>
      <c r="AF149" s="1617">
        <f t="shared" si="139"/>
        <v>0</v>
      </c>
      <c r="AG149" s="1617">
        <f t="shared" si="139"/>
        <v>0</v>
      </c>
      <c r="AH149" s="1617">
        <f t="shared" si="139"/>
        <v>15.357877000000002</v>
      </c>
      <c r="AI149" s="1617">
        <f t="shared" si="139"/>
        <v>6.341230000000003</v>
      </c>
      <c r="AJ149" s="1617">
        <f>SUM(AJ150:AJ151,AJ154:AJ156)</f>
        <v>76.094760000000036</v>
      </c>
      <c r="AK149" s="1448">
        <f t="shared" si="136"/>
        <v>0.52843583333333355</v>
      </c>
      <c r="AL149" s="1431">
        <f t="shared" si="82"/>
        <v>107.19424460431657</v>
      </c>
    </row>
    <row r="150" spans="1:38" s="1444" customFormat="1" ht="33" hidden="1" customHeight="1">
      <c r="A150" s="1375"/>
      <c r="B150" s="1453" t="s">
        <v>2645</v>
      </c>
      <c r="C150" s="1455"/>
      <c r="D150" s="1455"/>
      <c r="E150" s="1455"/>
      <c r="F150" s="1455"/>
      <c r="G150" s="1614">
        <f>H150+I150+T150</f>
        <v>0</v>
      </c>
      <c r="H150" s="1617"/>
      <c r="I150" s="1614">
        <f>SUM(J150:S150)</f>
        <v>0</v>
      </c>
      <c r="J150" s="1617"/>
      <c r="K150" s="1617"/>
      <c r="L150" s="1617"/>
      <c r="M150" s="1617"/>
      <c r="N150" s="1617"/>
      <c r="O150" s="1617"/>
      <c r="P150" s="1617"/>
      <c r="Q150" s="1617"/>
      <c r="R150" s="1617"/>
      <c r="S150" s="1617"/>
      <c r="T150" s="1621"/>
      <c r="U150" s="1614">
        <f>V150+W150+AH150</f>
        <v>0</v>
      </c>
      <c r="V150" s="1617"/>
      <c r="W150" s="1614">
        <f>SUM(X150:AG150)</f>
        <v>0</v>
      </c>
      <c r="X150" s="1617"/>
      <c r="Y150" s="1617"/>
      <c r="Z150" s="1617"/>
      <c r="AA150" s="1617"/>
      <c r="AB150" s="1617"/>
      <c r="AC150" s="1617"/>
      <c r="AD150" s="1617"/>
      <c r="AE150" s="1617"/>
      <c r="AF150" s="1617"/>
      <c r="AG150" s="1617"/>
      <c r="AH150" s="1621"/>
      <c r="AI150" s="1621">
        <f>U150-G150</f>
        <v>0</v>
      </c>
      <c r="AJ150" s="1621">
        <f t="shared" ref="AJ150" si="140">AI150*6</f>
        <v>0</v>
      </c>
      <c r="AK150" s="1448" t="e">
        <f t="shared" si="136"/>
        <v>#DIV/0!</v>
      </c>
      <c r="AL150" s="1431" t="e">
        <f t="shared" si="82"/>
        <v>#DIV/0!</v>
      </c>
    </row>
    <row r="151" spans="1:38" s="1473" customFormat="1" ht="33" hidden="1" customHeight="1">
      <c r="A151" s="1468"/>
      <c r="B151" s="1469" t="s">
        <v>2646</v>
      </c>
      <c r="C151" s="1470">
        <f>C152+C153</f>
        <v>12</v>
      </c>
      <c r="D151" s="1470">
        <f>D152+D153</f>
        <v>6</v>
      </c>
      <c r="E151" s="1470">
        <f>E152+E153</f>
        <v>6</v>
      </c>
      <c r="F151" s="1470">
        <f>F152+F153</f>
        <v>12</v>
      </c>
      <c r="G151" s="1464">
        <f t="shared" ref="G151:AJ151" si="141">G152+G153</f>
        <v>88.143096999999997</v>
      </c>
      <c r="H151" s="1464"/>
      <c r="I151" s="1464">
        <f t="shared" si="141"/>
        <v>14.60195</v>
      </c>
      <c r="J151" s="1464">
        <f t="shared" si="141"/>
        <v>0</v>
      </c>
      <c r="K151" s="1464"/>
      <c r="L151" s="1464"/>
      <c r="M151" s="1464"/>
      <c r="N151" s="1464"/>
      <c r="O151" s="1464"/>
      <c r="P151" s="1464"/>
      <c r="Q151" s="1464"/>
      <c r="R151" s="1464"/>
      <c r="S151" s="1464"/>
      <c r="T151" s="1464">
        <f t="shared" si="141"/>
        <v>14.327147</v>
      </c>
      <c r="U151" s="1464">
        <f t="shared" si="141"/>
        <v>94.484327000000008</v>
      </c>
      <c r="V151" s="1464"/>
      <c r="W151" s="1464">
        <f t="shared" si="141"/>
        <v>15.652450000000002</v>
      </c>
      <c r="X151" s="1464">
        <f t="shared" si="141"/>
        <v>0</v>
      </c>
      <c r="Y151" s="1464"/>
      <c r="Z151" s="1464"/>
      <c r="AA151" s="1464"/>
      <c r="AB151" s="1464"/>
      <c r="AC151" s="1464"/>
      <c r="AD151" s="1464"/>
      <c r="AE151" s="1464"/>
      <c r="AF151" s="1464"/>
      <c r="AG151" s="1464"/>
      <c r="AH151" s="1464">
        <f t="shared" si="141"/>
        <v>15.357877000000002</v>
      </c>
      <c r="AI151" s="1464">
        <f t="shared" si="141"/>
        <v>6.341230000000003</v>
      </c>
      <c r="AJ151" s="1464">
        <f t="shared" si="141"/>
        <v>76.094760000000036</v>
      </c>
      <c r="AK151" s="1471">
        <f t="shared" si="136"/>
        <v>0.52843583333333355</v>
      </c>
      <c r="AL151" s="1472">
        <f t="shared" si="82"/>
        <v>107.19424460431657</v>
      </c>
    </row>
    <row r="152" spans="1:38" s="1473" customFormat="1" ht="33" hidden="1" customHeight="1">
      <c r="A152" s="1468"/>
      <c r="B152" s="1474" t="s">
        <v>2647</v>
      </c>
      <c r="C152" s="1475">
        <f t="shared" ref="C152:C153" si="142">D152+E152</f>
        <v>6</v>
      </c>
      <c r="D152" s="1475"/>
      <c r="E152" s="1475">
        <v>6</v>
      </c>
      <c r="F152" s="1475">
        <v>6</v>
      </c>
      <c r="G152" s="1631">
        <f>H152+I152+T152</f>
        <v>52.847104999999999</v>
      </c>
      <c r="H152" s="1632">
        <f>22.62*1.39</f>
        <v>31.441800000000001</v>
      </c>
      <c r="I152" s="1631">
        <f>J152+K152+L152+M152+N152+O152+P152+Q152+R152+S152</f>
        <v>13.767950000000001</v>
      </c>
      <c r="J152" s="1632"/>
      <c r="K152" s="1632">
        <f>1.8*1.39</f>
        <v>2.5019999999999998</v>
      </c>
      <c r="L152" s="1632"/>
      <c r="M152" s="1632"/>
      <c r="N152" s="1632"/>
      <c r="O152" s="1632"/>
      <c r="P152" s="1632">
        <f>(H152+K152)*25%</f>
        <v>8.4859500000000008</v>
      </c>
      <c r="Q152" s="1632"/>
      <c r="R152" s="1632"/>
      <c r="S152" s="1633">
        <f>2*1.39</f>
        <v>2.78</v>
      </c>
      <c r="T152" s="1634">
        <f>(H152+K152+L152+R152)*22.5%</f>
        <v>7.6373550000000012</v>
      </c>
      <c r="U152" s="1631">
        <f>V152+W152+AH152</f>
        <v>56.649055000000004</v>
      </c>
      <c r="V152" s="1632">
        <f>22.62*1.49</f>
        <v>33.703800000000001</v>
      </c>
      <c r="W152" s="1631">
        <f>X152+Y152+Z152+AA152+AB152+AC152+AD152+AE152+AF152+AG152</f>
        <v>14.758450000000002</v>
      </c>
      <c r="X152" s="1632"/>
      <c r="Y152" s="1632">
        <f>1.8*1.49</f>
        <v>2.6819999999999999</v>
      </c>
      <c r="Z152" s="1632"/>
      <c r="AA152" s="1632"/>
      <c r="AB152" s="1632"/>
      <c r="AC152" s="1632"/>
      <c r="AD152" s="1632">
        <f>(V152+Y152)*25%</f>
        <v>9.0964500000000008</v>
      </c>
      <c r="AE152" s="1632"/>
      <c r="AF152" s="1632"/>
      <c r="AG152" s="1633">
        <f>2*1.49</f>
        <v>2.98</v>
      </c>
      <c r="AH152" s="1634">
        <f>(V152+Y152+Z152+AF152)*22.5%</f>
        <v>8.1868050000000014</v>
      </c>
      <c r="AI152" s="1635">
        <f>U152-G152</f>
        <v>3.801950000000005</v>
      </c>
      <c r="AJ152" s="1636">
        <f t="shared" ref="AJ152:AJ156" si="143">AI152*12</f>
        <v>45.623400000000061</v>
      </c>
      <c r="AK152" s="1471"/>
      <c r="AL152" s="1472">
        <f t="shared" si="82"/>
        <v>107.19424460431655</v>
      </c>
    </row>
    <row r="153" spans="1:38" s="1473" customFormat="1" ht="33" hidden="1" customHeight="1">
      <c r="A153" s="1468"/>
      <c r="B153" s="1474" t="s">
        <v>2648</v>
      </c>
      <c r="C153" s="1475">
        <f t="shared" si="142"/>
        <v>6</v>
      </c>
      <c r="D153" s="1475">
        <v>6</v>
      </c>
      <c r="E153" s="1475"/>
      <c r="F153" s="1475">
        <v>6</v>
      </c>
      <c r="G153" s="1631">
        <f>H153+I153+T153</f>
        <v>35.295991999999998</v>
      </c>
      <c r="H153" s="1632">
        <f>19.98*1.39</f>
        <v>27.772199999999998</v>
      </c>
      <c r="I153" s="1631">
        <f>J153+K153+L153+M153+N153+O153+P153+Q153+R153+S153</f>
        <v>0.83399999999999996</v>
      </c>
      <c r="J153" s="1632"/>
      <c r="K153" s="1632">
        <f>0.5*1.39</f>
        <v>0.69499999999999995</v>
      </c>
      <c r="L153" s="1632"/>
      <c r="M153" s="1632"/>
      <c r="N153" s="1632"/>
      <c r="O153" s="1632"/>
      <c r="P153" s="1632"/>
      <c r="Q153" s="1632"/>
      <c r="R153" s="1632"/>
      <c r="S153" s="1632">
        <f>0.1*1.39</f>
        <v>0.13899999999999998</v>
      </c>
      <c r="T153" s="1634">
        <f>(H153+K153+L153+R153)*23.5%</f>
        <v>6.6897919999999989</v>
      </c>
      <c r="U153" s="1631">
        <f>V153+W153+AH153</f>
        <v>37.835271999999996</v>
      </c>
      <c r="V153" s="1632">
        <f>19.98*1.49</f>
        <v>29.770199999999999</v>
      </c>
      <c r="W153" s="1631">
        <f>X153+Y153+Z153+AA153+AB153+AC153+AD153+AE153+AF153+AG153</f>
        <v>0.89400000000000002</v>
      </c>
      <c r="X153" s="1632"/>
      <c r="Y153" s="1632">
        <f>0.5*1.49</f>
        <v>0.745</v>
      </c>
      <c r="Z153" s="1632"/>
      <c r="AA153" s="1632"/>
      <c r="AB153" s="1632"/>
      <c r="AC153" s="1632"/>
      <c r="AD153" s="1632"/>
      <c r="AE153" s="1632"/>
      <c r="AF153" s="1632"/>
      <c r="AG153" s="1632">
        <f>0.1*1.49</f>
        <v>0.14899999999999999</v>
      </c>
      <c r="AH153" s="1634">
        <f>(V153+Y153+Z153+AF153)*23.5%</f>
        <v>7.1710719999999997</v>
      </c>
      <c r="AI153" s="1635">
        <f>U153-G153</f>
        <v>2.539279999999998</v>
      </c>
      <c r="AJ153" s="1636">
        <f t="shared" si="143"/>
        <v>30.471359999999976</v>
      </c>
      <c r="AK153" s="1471"/>
      <c r="AL153" s="1472">
        <f t="shared" si="82"/>
        <v>107.19424460431655</v>
      </c>
    </row>
    <row r="154" spans="1:38" s="1444" customFormat="1" ht="33" hidden="1" customHeight="1">
      <c r="A154" s="1375"/>
      <c r="B154" s="764" t="s">
        <v>2649</v>
      </c>
      <c r="C154" s="1455">
        <f>D154+E154</f>
        <v>0</v>
      </c>
      <c r="D154" s="1455"/>
      <c r="E154" s="1455"/>
      <c r="F154" s="1455"/>
      <c r="G154" s="1614">
        <f>H154+I154+T154</f>
        <v>0</v>
      </c>
      <c r="H154" s="1617"/>
      <c r="I154" s="1614">
        <f>SUM(J154:S154)</f>
        <v>0</v>
      </c>
      <c r="J154" s="1617"/>
      <c r="K154" s="1630"/>
      <c r="L154" s="1617"/>
      <c r="M154" s="1617"/>
      <c r="N154" s="1617"/>
      <c r="O154" s="1617"/>
      <c r="P154" s="1617"/>
      <c r="Q154" s="1617"/>
      <c r="R154" s="1617"/>
      <c r="S154" s="1617"/>
      <c r="T154" s="1621">
        <f>(H154+K154+L154)*23.5%</f>
        <v>0</v>
      </c>
      <c r="U154" s="1614">
        <f>V154+W154+AH154</f>
        <v>0</v>
      </c>
      <c r="V154" s="1617"/>
      <c r="W154" s="1614">
        <f>SUM(X154:AG154)</f>
        <v>0</v>
      </c>
      <c r="X154" s="1617"/>
      <c r="Y154" s="1630"/>
      <c r="Z154" s="1617"/>
      <c r="AA154" s="1617"/>
      <c r="AB154" s="1617"/>
      <c r="AC154" s="1617"/>
      <c r="AD154" s="1617"/>
      <c r="AE154" s="1617"/>
      <c r="AF154" s="1617"/>
      <c r="AG154" s="1617"/>
      <c r="AH154" s="1621">
        <f>(V154+Y154+Z154)*23.5%</f>
        <v>0</v>
      </c>
      <c r="AI154" s="1621">
        <f>U154-G154</f>
        <v>0</v>
      </c>
      <c r="AJ154" s="1366">
        <f t="shared" si="143"/>
        <v>0</v>
      </c>
      <c r="AK154" s="1448" t="e">
        <f t="shared" ref="AK154:AK181" si="144">AI154/F154</f>
        <v>#DIV/0!</v>
      </c>
      <c r="AL154" s="1431" t="e">
        <f t="shared" si="82"/>
        <v>#DIV/0!</v>
      </c>
    </row>
    <row r="155" spans="1:38" s="1444" customFormat="1" ht="33" hidden="1" customHeight="1">
      <c r="A155" s="1375"/>
      <c r="B155" s="1453" t="s">
        <v>2650</v>
      </c>
      <c r="C155" s="1455">
        <f>D155+E155</f>
        <v>0</v>
      </c>
      <c r="D155" s="1455"/>
      <c r="E155" s="1455"/>
      <c r="F155" s="1455"/>
      <c r="G155" s="1614">
        <f>H155+I155+T155</f>
        <v>0</v>
      </c>
      <c r="H155" s="1617"/>
      <c r="I155" s="1614">
        <f>SUM(J155:S155)</f>
        <v>0</v>
      </c>
      <c r="J155" s="1617"/>
      <c r="K155" s="1617"/>
      <c r="L155" s="1617"/>
      <c r="M155" s="1617"/>
      <c r="N155" s="1617"/>
      <c r="O155" s="1617"/>
      <c r="P155" s="1617"/>
      <c r="Q155" s="1617"/>
      <c r="R155" s="1617"/>
      <c r="S155" s="1617"/>
      <c r="T155" s="1621">
        <f>(H155+K155+L155+R155)*23.5%</f>
        <v>0</v>
      </c>
      <c r="U155" s="1614">
        <f>V155+W155+AH155</f>
        <v>0</v>
      </c>
      <c r="V155" s="1617"/>
      <c r="W155" s="1614">
        <f>SUM(X155:AG155)</f>
        <v>0</v>
      </c>
      <c r="X155" s="1617"/>
      <c r="Y155" s="1617"/>
      <c r="Z155" s="1617"/>
      <c r="AA155" s="1617"/>
      <c r="AB155" s="1617"/>
      <c r="AC155" s="1617"/>
      <c r="AD155" s="1617"/>
      <c r="AE155" s="1617"/>
      <c r="AF155" s="1617"/>
      <c r="AG155" s="1617"/>
      <c r="AH155" s="1621">
        <f>(V155+Y155+Z155+AF155)*23.5%</f>
        <v>0</v>
      </c>
      <c r="AI155" s="1621">
        <f>U155-G155</f>
        <v>0</v>
      </c>
      <c r="AJ155" s="1366">
        <f t="shared" si="143"/>
        <v>0</v>
      </c>
      <c r="AK155" s="1448" t="e">
        <f t="shared" si="144"/>
        <v>#DIV/0!</v>
      </c>
      <c r="AL155" s="1431" t="e">
        <f t="shared" si="82"/>
        <v>#DIV/0!</v>
      </c>
    </row>
    <row r="156" spans="1:38" s="1444" customFormat="1" ht="33" hidden="1" customHeight="1">
      <c r="A156" s="1375"/>
      <c r="B156" s="764" t="s">
        <v>2651</v>
      </c>
      <c r="C156" s="1455">
        <f>D156+E156</f>
        <v>0</v>
      </c>
      <c r="D156" s="1476"/>
      <c r="E156" s="1476"/>
      <c r="F156" s="1476"/>
      <c r="G156" s="1637">
        <f>H156+I156+T156</f>
        <v>0</v>
      </c>
      <c r="H156" s="1638"/>
      <c r="I156" s="1637">
        <f>SUM(J156:S156)</f>
        <v>0</v>
      </c>
      <c r="J156" s="1638"/>
      <c r="K156" s="1638"/>
      <c r="L156" s="1638"/>
      <c r="M156" s="1638"/>
      <c r="N156" s="1638"/>
      <c r="O156" s="1638"/>
      <c r="P156" s="1638"/>
      <c r="Q156" s="1638"/>
      <c r="R156" s="1638"/>
      <c r="S156" s="1638"/>
      <c r="T156" s="1639">
        <f>(H156+K156+L156+R156)*23.5%</f>
        <v>0</v>
      </c>
      <c r="U156" s="1637">
        <f>V156+W156+AH156</f>
        <v>0</v>
      </c>
      <c r="V156" s="1638"/>
      <c r="W156" s="1637">
        <f>SUM(X156:AG156)</f>
        <v>0</v>
      </c>
      <c r="X156" s="1638"/>
      <c r="Y156" s="1638"/>
      <c r="Z156" s="1638"/>
      <c r="AA156" s="1638"/>
      <c r="AB156" s="1638"/>
      <c r="AC156" s="1638"/>
      <c r="AD156" s="1638"/>
      <c r="AE156" s="1638"/>
      <c r="AF156" s="1638"/>
      <c r="AG156" s="1638"/>
      <c r="AH156" s="1639">
        <f>(V156+Y156+Z156+AF156)*23.5%</f>
        <v>0</v>
      </c>
      <c r="AI156" s="1621">
        <f>U156-G156</f>
        <v>0</v>
      </c>
      <c r="AJ156" s="1366">
        <f t="shared" si="143"/>
        <v>0</v>
      </c>
      <c r="AK156" s="1448" t="e">
        <f t="shared" si="144"/>
        <v>#DIV/0!</v>
      </c>
      <c r="AL156" s="1431" t="e">
        <f t="shared" si="82"/>
        <v>#DIV/0!</v>
      </c>
    </row>
    <row r="157" spans="1:38" s="1444" customFormat="1" ht="25.5" customHeight="1">
      <c r="A157" s="1445">
        <v>4</v>
      </c>
      <c r="B157" s="1446" t="s">
        <v>2532</v>
      </c>
      <c r="C157" s="1467">
        <f>C158</f>
        <v>136</v>
      </c>
      <c r="D157" s="1467">
        <f>D158</f>
        <v>0</v>
      </c>
      <c r="E157" s="1467">
        <f>E158</f>
        <v>0</v>
      </c>
      <c r="F157" s="1467">
        <f>F158</f>
        <v>126</v>
      </c>
      <c r="G157" s="1616">
        <f t="shared" ref="G157:AJ157" si="145">G158</f>
        <v>800.4337700000001</v>
      </c>
      <c r="H157" s="1616">
        <f t="shared" si="145"/>
        <v>577.23500000000001</v>
      </c>
      <c r="I157" s="1616">
        <f t="shared" si="145"/>
        <v>80.792999999999978</v>
      </c>
      <c r="J157" s="1616">
        <f t="shared" si="145"/>
        <v>0</v>
      </c>
      <c r="K157" s="1616">
        <f t="shared" si="145"/>
        <v>16.472000000000001</v>
      </c>
      <c r="L157" s="1616">
        <f t="shared" si="145"/>
        <v>12.275</v>
      </c>
      <c r="M157" s="1616">
        <f t="shared" si="145"/>
        <v>32.863999999999997</v>
      </c>
      <c r="N157" s="1616">
        <f t="shared" si="145"/>
        <v>0</v>
      </c>
      <c r="O157" s="1616">
        <f t="shared" si="145"/>
        <v>0</v>
      </c>
      <c r="P157" s="1616">
        <f t="shared" si="145"/>
        <v>0</v>
      </c>
      <c r="Q157" s="1616">
        <f t="shared" si="145"/>
        <v>0.83399999999999996</v>
      </c>
      <c r="R157" s="1616">
        <f t="shared" si="145"/>
        <v>0</v>
      </c>
      <c r="S157" s="1616">
        <f t="shared" si="145"/>
        <v>18.348000000000003</v>
      </c>
      <c r="T157" s="1616">
        <f t="shared" si="145"/>
        <v>142.40576999999999</v>
      </c>
      <c r="U157" s="1616">
        <f t="shared" si="145"/>
        <v>842.8386099999999</v>
      </c>
      <c r="V157" s="1616">
        <f t="shared" si="145"/>
        <v>610.43299999999999</v>
      </c>
      <c r="W157" s="1616">
        <f t="shared" si="145"/>
        <v>82.052999999999997</v>
      </c>
      <c r="X157" s="1616">
        <f t="shared" si="145"/>
        <v>0</v>
      </c>
      <c r="Y157" s="1616">
        <f t="shared" si="145"/>
        <v>16.539000000000001</v>
      </c>
      <c r="Z157" s="1616">
        <f t="shared" si="145"/>
        <v>12.824000000000002</v>
      </c>
      <c r="AA157" s="1616">
        <f t="shared" si="145"/>
        <v>32.709000000000003</v>
      </c>
      <c r="AB157" s="1616">
        <f t="shared" si="145"/>
        <v>0</v>
      </c>
      <c r="AC157" s="1616">
        <f t="shared" si="145"/>
        <v>0</v>
      </c>
      <c r="AD157" s="1616">
        <f t="shared" si="145"/>
        <v>0</v>
      </c>
      <c r="AE157" s="1616">
        <f t="shared" si="145"/>
        <v>0.89400000000000002</v>
      </c>
      <c r="AF157" s="1616">
        <f t="shared" si="145"/>
        <v>0</v>
      </c>
      <c r="AG157" s="1616">
        <f t="shared" si="145"/>
        <v>19.087</v>
      </c>
      <c r="AH157" s="1616">
        <f t="shared" si="145"/>
        <v>150.35261</v>
      </c>
      <c r="AI157" s="1616">
        <f t="shared" si="145"/>
        <v>42.404839999999965</v>
      </c>
      <c r="AJ157" s="1616">
        <f t="shared" si="145"/>
        <v>508.85807999999957</v>
      </c>
      <c r="AK157" s="1448">
        <f t="shared" si="144"/>
        <v>0.3365463492063489</v>
      </c>
      <c r="AL157" s="1431">
        <f t="shared" si="82"/>
        <v>105.29773250321509</v>
      </c>
    </row>
    <row r="158" spans="1:38" s="1431" customFormat="1" ht="25.5" hidden="1" customHeight="1">
      <c r="A158" s="1375">
        <v>14</v>
      </c>
      <c r="B158" s="1376" t="s">
        <v>2652</v>
      </c>
      <c r="C158" s="560">
        <f>SUM(C159:C164)</f>
        <v>136</v>
      </c>
      <c r="D158" s="560">
        <f t="shared" ref="D158:AJ158" si="146">SUM(D159:D164)</f>
        <v>0</v>
      </c>
      <c r="E158" s="560">
        <f t="shared" si="146"/>
        <v>0</v>
      </c>
      <c r="F158" s="560">
        <f t="shared" si="146"/>
        <v>126</v>
      </c>
      <c r="G158" s="1617">
        <f t="shared" si="146"/>
        <v>800.4337700000001</v>
      </c>
      <c r="H158" s="1617">
        <f t="shared" si="146"/>
        <v>577.23500000000001</v>
      </c>
      <c r="I158" s="1617">
        <f t="shared" si="146"/>
        <v>80.792999999999978</v>
      </c>
      <c r="J158" s="1617">
        <f t="shared" si="146"/>
        <v>0</v>
      </c>
      <c r="K158" s="1617">
        <f t="shared" si="146"/>
        <v>16.472000000000001</v>
      </c>
      <c r="L158" s="1617">
        <f t="shared" si="146"/>
        <v>12.275</v>
      </c>
      <c r="M158" s="1617">
        <f t="shared" si="146"/>
        <v>32.863999999999997</v>
      </c>
      <c r="N158" s="1617">
        <f t="shared" si="146"/>
        <v>0</v>
      </c>
      <c r="O158" s="1617">
        <f t="shared" si="146"/>
        <v>0</v>
      </c>
      <c r="P158" s="1617">
        <f t="shared" si="146"/>
        <v>0</v>
      </c>
      <c r="Q158" s="1617">
        <f t="shared" si="146"/>
        <v>0.83399999999999996</v>
      </c>
      <c r="R158" s="1617">
        <f t="shared" si="146"/>
        <v>0</v>
      </c>
      <c r="S158" s="1617">
        <f t="shared" si="146"/>
        <v>18.348000000000003</v>
      </c>
      <c r="T158" s="1617">
        <f t="shared" si="146"/>
        <v>142.40576999999999</v>
      </c>
      <c r="U158" s="1617">
        <f t="shared" si="146"/>
        <v>842.8386099999999</v>
      </c>
      <c r="V158" s="1617">
        <f t="shared" si="146"/>
        <v>610.43299999999999</v>
      </c>
      <c r="W158" s="1617">
        <f t="shared" si="146"/>
        <v>82.052999999999997</v>
      </c>
      <c r="X158" s="1617">
        <f t="shared" si="146"/>
        <v>0</v>
      </c>
      <c r="Y158" s="1617">
        <f t="shared" si="146"/>
        <v>16.539000000000001</v>
      </c>
      <c r="Z158" s="1617">
        <f t="shared" si="146"/>
        <v>12.824000000000002</v>
      </c>
      <c r="AA158" s="1617">
        <f t="shared" si="146"/>
        <v>32.709000000000003</v>
      </c>
      <c r="AB158" s="1617">
        <f t="shared" si="146"/>
        <v>0</v>
      </c>
      <c r="AC158" s="1617">
        <f t="shared" si="146"/>
        <v>0</v>
      </c>
      <c r="AD158" s="1617">
        <f t="shared" si="146"/>
        <v>0</v>
      </c>
      <c r="AE158" s="1617">
        <f t="shared" si="146"/>
        <v>0.89400000000000002</v>
      </c>
      <c r="AF158" s="1617">
        <f t="shared" si="146"/>
        <v>0</v>
      </c>
      <c r="AG158" s="1617">
        <f t="shared" si="146"/>
        <v>19.087</v>
      </c>
      <c r="AH158" s="1617">
        <f t="shared" si="146"/>
        <v>150.35261</v>
      </c>
      <c r="AI158" s="1617">
        <f t="shared" si="146"/>
        <v>42.404839999999965</v>
      </c>
      <c r="AJ158" s="1617">
        <f t="shared" si="146"/>
        <v>508.85807999999957</v>
      </c>
      <c r="AK158" s="1448">
        <f t="shared" si="144"/>
        <v>0.3365463492063489</v>
      </c>
      <c r="AL158" s="1431">
        <f t="shared" si="82"/>
        <v>105.29773250321509</v>
      </c>
    </row>
    <row r="159" spans="1:38" s="1444" customFormat="1" ht="25.5" hidden="1" customHeight="1">
      <c r="A159" s="1375"/>
      <c r="B159" s="764" t="s">
        <v>2653</v>
      </c>
      <c r="C159" s="1477">
        <v>41</v>
      </c>
      <c r="D159" s="1478"/>
      <c r="E159" s="1478"/>
      <c r="F159" s="1477">
        <v>39</v>
      </c>
      <c r="G159" s="1640">
        <f t="shared" ref="G159:G164" si="147">H159+I159+T159</f>
        <v>260.695695</v>
      </c>
      <c r="H159" s="1641">
        <v>168.03700000000001</v>
      </c>
      <c r="I159" s="1640">
        <f t="shared" ref="I159:I164" si="148">SUM(J159:S159)</f>
        <v>51.712999999999994</v>
      </c>
      <c r="J159" s="1641"/>
      <c r="K159" s="1641">
        <v>1.8069999999999999</v>
      </c>
      <c r="L159" s="1641">
        <v>4.3929999999999998</v>
      </c>
      <c r="M159" s="1641">
        <v>32.863999999999997</v>
      </c>
      <c r="N159" s="1641"/>
      <c r="O159" s="1641"/>
      <c r="P159" s="1642"/>
      <c r="Q159" s="1642"/>
      <c r="R159" s="1641"/>
      <c r="S159" s="1641">
        <v>12.648999999999999</v>
      </c>
      <c r="T159" s="1643">
        <v>40.945694999999994</v>
      </c>
      <c r="U159" s="1640">
        <f t="shared" ref="U159:U163" si="149">V159+W159+AH159</f>
        <v>275.41781500000002</v>
      </c>
      <c r="V159" s="1641">
        <v>178.845</v>
      </c>
      <c r="W159" s="1640">
        <f t="shared" ref="W159:W163" si="150">SUM(X159:AG159)</f>
        <v>52.856000000000002</v>
      </c>
      <c r="X159" s="1640"/>
      <c r="Y159" s="1640">
        <v>1.9370000000000001</v>
      </c>
      <c r="Z159" s="1640">
        <v>5.2469999999999999</v>
      </c>
      <c r="AA159" s="1640">
        <v>32.709000000000003</v>
      </c>
      <c r="AB159" s="1640"/>
      <c r="AC159" s="1640"/>
      <c r="AD159" s="1640"/>
      <c r="AE159" s="1640"/>
      <c r="AF159" s="1640"/>
      <c r="AG159" s="1640">
        <v>12.962999999999999</v>
      </c>
      <c r="AH159" s="1640">
        <v>43.716814999999997</v>
      </c>
      <c r="AI159" s="1621">
        <f t="shared" ref="AI159:AI164" si="151">U159-G159</f>
        <v>14.722120000000018</v>
      </c>
      <c r="AJ159" s="1366">
        <f t="shared" ref="AJ159:AJ164" si="152">AI159*12</f>
        <v>176.66544000000022</v>
      </c>
      <c r="AK159" s="1448">
        <f t="shared" si="144"/>
        <v>0.37749025641025685</v>
      </c>
      <c r="AL159" s="1431">
        <f t="shared" si="82"/>
        <v>105.64724323506762</v>
      </c>
    </row>
    <row r="160" spans="1:38" s="1444" customFormat="1" ht="25.5" hidden="1" customHeight="1">
      <c r="A160" s="1375"/>
      <c r="B160" s="764" t="s">
        <v>2654</v>
      </c>
      <c r="C160" s="1477">
        <v>24</v>
      </c>
      <c r="D160" s="1477"/>
      <c r="E160" s="1477"/>
      <c r="F160" s="1477">
        <v>21</v>
      </c>
      <c r="G160" s="1640">
        <f t="shared" si="147"/>
        <v>141.64618999999999</v>
      </c>
      <c r="H160" s="1641">
        <v>105.821</v>
      </c>
      <c r="I160" s="1640">
        <f t="shared" si="148"/>
        <v>9.798</v>
      </c>
      <c r="J160" s="1641"/>
      <c r="K160" s="1641">
        <v>4.3789999999999996</v>
      </c>
      <c r="L160" s="1641">
        <v>0.55400000000000005</v>
      </c>
      <c r="M160" s="1641"/>
      <c r="N160" s="1641"/>
      <c r="O160" s="1641"/>
      <c r="P160" s="1642"/>
      <c r="Q160" s="1642">
        <v>0.41699999999999998</v>
      </c>
      <c r="R160" s="1641"/>
      <c r="S160" s="1641">
        <f>4.448</f>
        <v>4.4480000000000004</v>
      </c>
      <c r="T160" s="1643">
        <v>26.027190000000001</v>
      </c>
      <c r="U160" s="1640">
        <f t="shared" si="149"/>
        <v>142.78004999999999</v>
      </c>
      <c r="V160" s="1641">
        <v>107.458</v>
      </c>
      <c r="W160" s="1640">
        <f t="shared" si="150"/>
        <v>9.0889999999999986</v>
      </c>
      <c r="X160" s="1640"/>
      <c r="Y160" s="1640">
        <v>4.1719999999999997</v>
      </c>
      <c r="Z160" s="1640"/>
      <c r="AA160" s="1640"/>
      <c r="AB160" s="1640"/>
      <c r="AC160" s="1640"/>
      <c r="AD160" s="1640"/>
      <c r="AE160" s="1640">
        <v>0.44700000000000001</v>
      </c>
      <c r="AF160" s="1640"/>
      <c r="AG160" s="1640">
        <f>4.47</f>
        <v>4.47</v>
      </c>
      <c r="AH160" s="1640">
        <v>26.233049999999999</v>
      </c>
      <c r="AI160" s="1621">
        <f t="shared" si="151"/>
        <v>1.1338599999999985</v>
      </c>
      <c r="AJ160" s="1366">
        <f t="shared" si="152"/>
        <v>13.606319999999982</v>
      </c>
      <c r="AK160" s="1448">
        <f t="shared" si="144"/>
        <v>5.3993333333333261E-2</v>
      </c>
      <c r="AL160" s="1431">
        <f t="shared" si="82"/>
        <v>100.80048746810628</v>
      </c>
    </row>
    <row r="161" spans="1:38" s="1444" customFormat="1" ht="25.5" hidden="1" customHeight="1">
      <c r="A161" s="1375"/>
      <c r="B161" s="764" t="s">
        <v>2655</v>
      </c>
      <c r="C161" s="1477">
        <v>15</v>
      </c>
      <c r="D161" s="1477"/>
      <c r="E161" s="1477"/>
      <c r="F161" s="1477">
        <v>13</v>
      </c>
      <c r="G161" s="1640">
        <f t="shared" si="147"/>
        <v>93.863955000000004</v>
      </c>
      <c r="H161" s="1641">
        <v>71.863</v>
      </c>
      <c r="I161" s="1640">
        <f t="shared" si="148"/>
        <v>4.2460000000000004</v>
      </c>
      <c r="J161" s="1641"/>
      <c r="K161" s="1641">
        <v>2.641</v>
      </c>
      <c r="L161" s="1641">
        <v>1.0489999999999999</v>
      </c>
      <c r="M161" s="1641"/>
      <c r="N161" s="1641"/>
      <c r="O161" s="1641"/>
      <c r="P161" s="1642"/>
      <c r="Q161" s="1642"/>
      <c r="R161" s="1641"/>
      <c r="S161" s="1641">
        <v>0.55600000000000005</v>
      </c>
      <c r="T161" s="1643">
        <v>17.754955000000002</v>
      </c>
      <c r="U161" s="1640">
        <f t="shared" si="149"/>
        <v>100.64890500000001</v>
      </c>
      <c r="V161" s="1641">
        <v>77.033000000000001</v>
      </c>
      <c r="W161" s="1640">
        <f t="shared" si="150"/>
        <v>4.5519999999999996</v>
      </c>
      <c r="X161" s="1640"/>
      <c r="Y161" s="1640">
        <v>2.831</v>
      </c>
      <c r="Z161" s="1640">
        <v>1.2589999999999999</v>
      </c>
      <c r="AA161" s="1640"/>
      <c r="AB161" s="1640"/>
      <c r="AC161" s="1640"/>
      <c r="AD161" s="1640"/>
      <c r="AE161" s="1640"/>
      <c r="AF161" s="1640"/>
      <c r="AG161" s="1640">
        <v>0.46200000000000002</v>
      </c>
      <c r="AH161" s="1640">
        <v>19.063904999999998</v>
      </c>
      <c r="AI161" s="1621">
        <f t="shared" si="151"/>
        <v>6.7849500000000091</v>
      </c>
      <c r="AJ161" s="1366">
        <f t="shared" si="152"/>
        <v>81.41940000000011</v>
      </c>
      <c r="AK161" s="1448">
        <f t="shared" si="144"/>
        <v>0.52191923076923152</v>
      </c>
      <c r="AL161" s="1431">
        <f t="shared" si="82"/>
        <v>107.22849362143327</v>
      </c>
    </row>
    <row r="162" spans="1:38" s="1444" customFormat="1" ht="25.5" hidden="1" customHeight="1">
      <c r="A162" s="1375"/>
      <c r="B162" s="764" t="s">
        <v>2656</v>
      </c>
      <c r="C162" s="1461">
        <f t="shared" ref="C162" si="153">D162+E162</f>
        <v>0</v>
      </c>
      <c r="D162" s="1455"/>
      <c r="E162" s="1455"/>
      <c r="F162" s="1455"/>
      <c r="G162" s="1614">
        <f t="shared" si="147"/>
        <v>0</v>
      </c>
      <c r="H162" s="1617"/>
      <c r="I162" s="1614">
        <f t="shared" si="148"/>
        <v>0</v>
      </c>
      <c r="J162" s="1617"/>
      <c r="K162" s="1617"/>
      <c r="L162" s="1617"/>
      <c r="M162" s="1617"/>
      <c r="N162" s="1617"/>
      <c r="O162" s="1617"/>
      <c r="P162" s="1617"/>
      <c r="Q162" s="1617"/>
      <c r="R162" s="1617"/>
      <c r="S162" s="1617"/>
      <c r="T162" s="1621"/>
      <c r="U162" s="1614">
        <f t="shared" si="149"/>
        <v>0</v>
      </c>
      <c r="V162" s="1617"/>
      <c r="W162" s="1614">
        <f t="shared" si="150"/>
        <v>0</v>
      </c>
      <c r="X162" s="1617"/>
      <c r="Y162" s="1617"/>
      <c r="Z162" s="1617"/>
      <c r="AA162" s="1617"/>
      <c r="AB162" s="1617"/>
      <c r="AC162" s="1617"/>
      <c r="AD162" s="1617"/>
      <c r="AE162" s="1617"/>
      <c r="AF162" s="1617"/>
      <c r="AG162" s="1617"/>
      <c r="AH162" s="1621"/>
      <c r="AI162" s="1621">
        <f t="shared" si="151"/>
        <v>0</v>
      </c>
      <c r="AJ162" s="1366">
        <f t="shared" si="152"/>
        <v>0</v>
      </c>
      <c r="AK162" s="1448" t="e">
        <f t="shared" si="144"/>
        <v>#DIV/0!</v>
      </c>
      <c r="AL162" s="1431" t="e">
        <f t="shared" si="82"/>
        <v>#DIV/0!</v>
      </c>
    </row>
    <row r="163" spans="1:38" s="1444" customFormat="1" ht="25.5" hidden="1" customHeight="1">
      <c r="A163" s="1375"/>
      <c r="B163" s="764" t="s">
        <v>2657</v>
      </c>
      <c r="C163" s="1477">
        <v>18</v>
      </c>
      <c r="D163" s="1477"/>
      <c r="E163" s="1477"/>
      <c r="F163" s="1477">
        <v>17</v>
      </c>
      <c r="G163" s="1640">
        <f t="shared" si="147"/>
        <v>86.946039999999996</v>
      </c>
      <c r="H163" s="1641">
        <v>66.869</v>
      </c>
      <c r="I163" s="1640">
        <f t="shared" si="148"/>
        <v>3.6119999999999997</v>
      </c>
      <c r="J163" s="1642"/>
      <c r="K163" s="1641">
        <v>2.78</v>
      </c>
      <c r="L163" s="1641">
        <v>0.41499999999999998</v>
      </c>
      <c r="M163" s="1641"/>
      <c r="N163" s="1642"/>
      <c r="O163" s="1642"/>
      <c r="P163" s="1642"/>
      <c r="Q163" s="1642"/>
      <c r="R163" s="1642"/>
      <c r="S163" s="1641">
        <v>0.41699999999999998</v>
      </c>
      <c r="T163" s="1643">
        <v>16.465040000000002</v>
      </c>
      <c r="U163" s="1640">
        <f t="shared" si="149"/>
        <v>93.9</v>
      </c>
      <c r="V163" s="1641">
        <v>72.171000000000006</v>
      </c>
      <c r="W163" s="1640">
        <f t="shared" si="150"/>
        <v>3.9460000000000002</v>
      </c>
      <c r="X163" s="1642"/>
      <c r="Y163" s="1640">
        <v>2.98</v>
      </c>
      <c r="Z163" s="1640">
        <v>0.51900000000000002</v>
      </c>
      <c r="AA163" s="1640"/>
      <c r="AB163" s="1642"/>
      <c r="AC163" s="1642"/>
      <c r="AD163" s="1642"/>
      <c r="AE163" s="1642"/>
      <c r="AF163" s="1642"/>
      <c r="AG163" s="1642">
        <v>0.44700000000000001</v>
      </c>
      <c r="AH163" s="1643">
        <v>17.783000000000001</v>
      </c>
      <c r="AI163" s="1621">
        <f t="shared" si="151"/>
        <v>6.9539600000000092</v>
      </c>
      <c r="AJ163" s="1366">
        <f t="shared" si="152"/>
        <v>83.447520000000111</v>
      </c>
      <c r="AK163" s="1448">
        <f t="shared" si="144"/>
        <v>0.40905647058823585</v>
      </c>
      <c r="AL163" s="1431">
        <f t="shared" si="82"/>
        <v>107.9980180810995</v>
      </c>
    </row>
    <row r="164" spans="1:38" s="1444" customFormat="1" ht="25.5" hidden="1" customHeight="1">
      <c r="A164" s="1375"/>
      <c r="B164" s="764" t="s">
        <v>2658</v>
      </c>
      <c r="C164" s="1477">
        <v>38</v>
      </c>
      <c r="D164" s="1477"/>
      <c r="E164" s="1477"/>
      <c r="F164" s="1477">
        <v>36</v>
      </c>
      <c r="G164" s="1640">
        <f t="shared" si="147"/>
        <v>217.28189000000003</v>
      </c>
      <c r="H164" s="1641">
        <v>164.64500000000001</v>
      </c>
      <c r="I164" s="1640">
        <f t="shared" si="148"/>
        <v>11.423999999999999</v>
      </c>
      <c r="J164" s="1641"/>
      <c r="K164" s="1641">
        <v>4.8650000000000002</v>
      </c>
      <c r="L164" s="1641">
        <v>5.8639999999999999</v>
      </c>
      <c r="M164" s="1641"/>
      <c r="N164" s="1641"/>
      <c r="O164" s="1641"/>
      <c r="P164" s="1642"/>
      <c r="Q164" s="1642">
        <v>0.41699999999999998</v>
      </c>
      <c r="R164" s="1641"/>
      <c r="S164" s="1641">
        <f>0.278</f>
        <v>0.27800000000000002</v>
      </c>
      <c r="T164" s="1643">
        <v>41.212890000000002</v>
      </c>
      <c r="U164" s="1640">
        <f>V164+W164+AH164</f>
        <v>230.09183999999996</v>
      </c>
      <c r="V164" s="1641">
        <v>174.92599999999999</v>
      </c>
      <c r="W164" s="1640">
        <f>SUM(X164:AG164)</f>
        <v>11.609999999999998</v>
      </c>
      <c r="X164" s="1640"/>
      <c r="Y164" s="1640">
        <v>4.6189999999999998</v>
      </c>
      <c r="Z164" s="1640">
        <v>5.7990000000000004</v>
      </c>
      <c r="AA164" s="1640"/>
      <c r="AB164" s="1640"/>
      <c r="AC164" s="1640"/>
      <c r="AD164" s="1640"/>
      <c r="AE164" s="1640">
        <v>0.44700000000000001</v>
      </c>
      <c r="AF164" s="1640"/>
      <c r="AG164" s="1640">
        <f>0.447+0.298</f>
        <v>0.745</v>
      </c>
      <c r="AH164" s="1640">
        <v>43.555839999999996</v>
      </c>
      <c r="AI164" s="1621">
        <f t="shared" si="151"/>
        <v>12.80994999999993</v>
      </c>
      <c r="AJ164" s="1366">
        <f t="shared" si="152"/>
        <v>153.71939999999915</v>
      </c>
      <c r="AK164" s="1448">
        <f t="shared" si="144"/>
        <v>0.35583194444444249</v>
      </c>
      <c r="AL164" s="1431">
        <f t="shared" si="82"/>
        <v>105.8955442628007</v>
      </c>
    </row>
    <row r="165" spans="1:38" s="1444" customFormat="1" ht="25.5" customHeight="1">
      <c r="A165" s="1445">
        <v>5</v>
      </c>
      <c r="B165" s="1446" t="s">
        <v>2533</v>
      </c>
      <c r="C165" s="1467">
        <f>C166</f>
        <v>121</v>
      </c>
      <c r="D165" s="1467">
        <f>D166</f>
        <v>121</v>
      </c>
      <c r="E165" s="1467">
        <f>E166</f>
        <v>0</v>
      </c>
      <c r="F165" s="1467">
        <f t="shared" ref="F165:AJ165" si="154">F166</f>
        <v>118</v>
      </c>
      <c r="G165" s="1616">
        <f t="shared" si="154"/>
        <v>757.83771262499999</v>
      </c>
      <c r="H165" s="1616">
        <f t="shared" si="154"/>
        <v>581.30912000000001</v>
      </c>
      <c r="I165" s="1616">
        <f t="shared" si="154"/>
        <v>34.519954999999996</v>
      </c>
      <c r="J165" s="1616">
        <f t="shared" si="154"/>
        <v>0</v>
      </c>
      <c r="K165" s="1616">
        <f t="shared" si="154"/>
        <v>13.622</v>
      </c>
      <c r="L165" s="1616">
        <f>L166</f>
        <v>9.3609549999999988</v>
      </c>
      <c r="M165" s="1616">
        <f t="shared" si="154"/>
        <v>0</v>
      </c>
      <c r="N165" s="1616">
        <f t="shared" si="154"/>
        <v>0</v>
      </c>
      <c r="O165" s="1616">
        <f t="shared" si="154"/>
        <v>0</v>
      </c>
      <c r="P165" s="1616">
        <f t="shared" si="154"/>
        <v>0</v>
      </c>
      <c r="Q165" s="1616">
        <f t="shared" si="154"/>
        <v>0</v>
      </c>
      <c r="R165" s="1616">
        <f>R166</f>
        <v>0</v>
      </c>
      <c r="S165" s="1616">
        <f t="shared" si="154"/>
        <v>11.537000000000001</v>
      </c>
      <c r="T165" s="1616">
        <f t="shared" si="154"/>
        <v>142.00863762499998</v>
      </c>
      <c r="U165" s="1616">
        <f t="shared" si="154"/>
        <v>812.35841137500006</v>
      </c>
      <c r="V165" s="1616">
        <f t="shared" si="154"/>
        <v>623.12992000000008</v>
      </c>
      <c r="W165" s="1616">
        <f t="shared" si="154"/>
        <v>37.003405000000001</v>
      </c>
      <c r="X165" s="1616">
        <f t="shared" si="154"/>
        <v>0</v>
      </c>
      <c r="Y165" s="1616">
        <f t="shared" si="154"/>
        <v>14.602</v>
      </c>
      <c r="Z165" s="1616">
        <f t="shared" si="154"/>
        <v>10.034405</v>
      </c>
      <c r="AA165" s="1616">
        <f t="shared" si="154"/>
        <v>0</v>
      </c>
      <c r="AB165" s="1616">
        <f t="shared" si="154"/>
        <v>0</v>
      </c>
      <c r="AC165" s="1616">
        <f t="shared" si="154"/>
        <v>0</v>
      </c>
      <c r="AD165" s="1616">
        <f t="shared" si="154"/>
        <v>0</v>
      </c>
      <c r="AE165" s="1616">
        <f t="shared" si="154"/>
        <v>0</v>
      </c>
      <c r="AF165" s="1616">
        <f t="shared" si="154"/>
        <v>0</v>
      </c>
      <c r="AG165" s="1616">
        <f t="shared" si="154"/>
        <v>12.367000000000001</v>
      </c>
      <c r="AH165" s="1616">
        <f t="shared" si="154"/>
        <v>152.22508637499999</v>
      </c>
      <c r="AI165" s="1616">
        <f t="shared" si="154"/>
        <v>54.520698750000065</v>
      </c>
      <c r="AJ165" s="1616">
        <f t="shared" si="154"/>
        <v>654.24838500000078</v>
      </c>
      <c r="AK165" s="1448">
        <f t="shared" si="144"/>
        <v>0.46203981991525478</v>
      </c>
      <c r="AL165" s="1431">
        <f t="shared" si="82"/>
        <v>107.19424460431655</v>
      </c>
    </row>
    <row r="166" spans="1:38" s="1473" customFormat="1" ht="25.5" hidden="1" customHeight="1">
      <c r="A166" s="1468">
        <v>15</v>
      </c>
      <c r="B166" s="1469" t="s">
        <v>2294</v>
      </c>
      <c r="C166" s="1479">
        <f>D166+E166</f>
        <v>121</v>
      </c>
      <c r="D166" s="1475">
        <v>121</v>
      </c>
      <c r="E166" s="1475"/>
      <c r="F166" s="1475">
        <v>118</v>
      </c>
      <c r="G166" s="1631">
        <f>H166+I166+T166</f>
        <v>757.83771262499999</v>
      </c>
      <c r="H166" s="1632">
        <f>418.208*1.39</f>
        <v>581.30912000000001</v>
      </c>
      <c r="I166" s="1631">
        <f>SUM(J166:S166)</f>
        <v>34.519954999999996</v>
      </c>
      <c r="J166" s="1632"/>
      <c r="K166" s="1632">
        <f>9.8*1.39</f>
        <v>13.622</v>
      </c>
      <c r="L166" s="1632">
        <f>6.7345*1.39</f>
        <v>9.3609549999999988</v>
      </c>
      <c r="M166" s="1632"/>
      <c r="N166" s="1632"/>
      <c r="O166" s="1632"/>
      <c r="P166" s="1632"/>
      <c r="Q166" s="1632"/>
      <c r="R166" s="1632"/>
      <c r="S166" s="1632">
        <f>(0.8+7.5)*1.39</f>
        <v>11.537000000000001</v>
      </c>
      <c r="T166" s="1635">
        <f>(H166+K166+L166)*23.5%</f>
        <v>142.00863762499998</v>
      </c>
      <c r="U166" s="1631">
        <f>V166+W166+AH166</f>
        <v>812.35841137500006</v>
      </c>
      <c r="V166" s="1632">
        <f>418.208*1.49</f>
        <v>623.12992000000008</v>
      </c>
      <c r="W166" s="1631">
        <f>SUM(X166:AG166)</f>
        <v>37.003405000000001</v>
      </c>
      <c r="X166" s="1632"/>
      <c r="Y166" s="1632">
        <f>9.8*1.49</f>
        <v>14.602</v>
      </c>
      <c r="Z166" s="1632">
        <f>6.7345*1.49</f>
        <v>10.034405</v>
      </c>
      <c r="AA166" s="1632"/>
      <c r="AB166" s="1632"/>
      <c r="AC166" s="1632"/>
      <c r="AD166" s="1632"/>
      <c r="AE166" s="1632"/>
      <c r="AF166" s="1632"/>
      <c r="AG166" s="1632">
        <f>(0.8+7.5)*1.49</f>
        <v>12.367000000000001</v>
      </c>
      <c r="AH166" s="1635">
        <f>(V166+Y166+Z166)*23.5%</f>
        <v>152.22508637499999</v>
      </c>
      <c r="AI166" s="1635">
        <f>U166-G166</f>
        <v>54.520698750000065</v>
      </c>
      <c r="AJ166" s="1636">
        <f>AI166*12</f>
        <v>654.24838500000078</v>
      </c>
      <c r="AK166" s="1471">
        <f t="shared" si="144"/>
        <v>0.46203981991525478</v>
      </c>
      <c r="AL166" s="1472">
        <f t="shared" si="82"/>
        <v>107.19424460431655</v>
      </c>
    </row>
    <row r="167" spans="1:38" s="1444" customFormat="1" ht="25.5" customHeight="1">
      <c r="A167" s="1445">
        <v>6</v>
      </c>
      <c r="B167" s="1446" t="s">
        <v>2534</v>
      </c>
      <c r="C167" s="1467">
        <f t="shared" ref="C167:R168" si="155">C168</f>
        <v>39</v>
      </c>
      <c r="D167" s="1467">
        <f t="shared" si="155"/>
        <v>0</v>
      </c>
      <c r="E167" s="1467">
        <f t="shared" si="155"/>
        <v>0</v>
      </c>
      <c r="F167" s="1467">
        <f t="shared" si="155"/>
        <v>38</v>
      </c>
      <c r="G167" s="1616">
        <f t="shared" si="155"/>
        <v>188.900105</v>
      </c>
      <c r="H167" s="1616">
        <f t="shared" si="155"/>
        <v>149.30000000000001</v>
      </c>
      <c r="I167" s="1616">
        <f t="shared" si="155"/>
        <v>3.6820000000000004</v>
      </c>
      <c r="J167" s="1616">
        <f t="shared" si="155"/>
        <v>0</v>
      </c>
      <c r="K167" s="1616">
        <f t="shared" si="155"/>
        <v>3.1970000000000001</v>
      </c>
      <c r="L167" s="1616">
        <f t="shared" si="155"/>
        <v>0.34599999999999997</v>
      </c>
      <c r="M167" s="1616">
        <f t="shared" si="155"/>
        <v>0</v>
      </c>
      <c r="N167" s="1616">
        <f t="shared" si="155"/>
        <v>0</v>
      </c>
      <c r="O167" s="1616">
        <f t="shared" si="155"/>
        <v>0</v>
      </c>
      <c r="P167" s="1616">
        <f t="shared" si="155"/>
        <v>0</v>
      </c>
      <c r="Q167" s="1616">
        <f t="shared" si="155"/>
        <v>0</v>
      </c>
      <c r="R167" s="1616">
        <f t="shared" si="155"/>
        <v>0</v>
      </c>
      <c r="S167" s="1616">
        <f t="shared" ref="S167:AH168" si="156">S168</f>
        <v>0.13900000000000001</v>
      </c>
      <c r="T167" s="1616">
        <f t="shared" si="156"/>
        <v>35.918105000000004</v>
      </c>
      <c r="U167" s="1616">
        <f t="shared" si="156"/>
        <v>204.68185499999998</v>
      </c>
      <c r="V167" s="1644">
        <f>(H167/1.3)*1.39</f>
        <v>159.63615384615383</v>
      </c>
      <c r="W167" s="1644">
        <f>SUM(X167:AG167)</f>
        <v>3.9369076923076922</v>
      </c>
      <c r="X167" s="1644">
        <f t="shared" ref="X167:AG167" si="157">(J167/1.3)*1.39</f>
        <v>0</v>
      </c>
      <c r="Y167" s="1644">
        <f t="shared" si="157"/>
        <v>3.418330769230769</v>
      </c>
      <c r="Z167" s="1644">
        <f t="shared" si="157"/>
        <v>0.36995384615384608</v>
      </c>
      <c r="AA167" s="1644">
        <f t="shared" si="157"/>
        <v>0</v>
      </c>
      <c r="AB167" s="1644">
        <f t="shared" si="157"/>
        <v>0</v>
      </c>
      <c r="AC167" s="1644">
        <f t="shared" si="157"/>
        <v>0</v>
      </c>
      <c r="AD167" s="1644">
        <f t="shared" si="157"/>
        <v>0</v>
      </c>
      <c r="AE167" s="1644">
        <f t="shared" si="157"/>
        <v>0</v>
      </c>
      <c r="AF167" s="1644">
        <f t="shared" si="157"/>
        <v>0</v>
      </c>
      <c r="AG167" s="1644">
        <f t="shared" si="157"/>
        <v>0.14862307692307691</v>
      </c>
      <c r="AH167" s="1644">
        <f>(V167+Y167+Z167+AF167)*23.5%</f>
        <v>38.404743038461532</v>
      </c>
      <c r="AI167" s="1645">
        <f>U167-G167</f>
        <v>15.781749999999988</v>
      </c>
      <c r="AJ167" s="1645">
        <f>AI167*6</f>
        <v>94.690499999999929</v>
      </c>
      <c r="AK167" s="1448">
        <f t="shared" si="144"/>
        <v>0.41530921052631548</v>
      </c>
      <c r="AL167" s="1431">
        <f t="shared" si="82"/>
        <v>108.35454802949951</v>
      </c>
    </row>
    <row r="168" spans="1:38" s="1444" customFormat="1" ht="25.5" hidden="1" customHeight="1">
      <c r="A168" s="1375">
        <v>16</v>
      </c>
      <c r="B168" s="1376" t="s">
        <v>2652</v>
      </c>
      <c r="C168" s="1455">
        <f t="shared" si="155"/>
        <v>39</v>
      </c>
      <c r="D168" s="1455">
        <f t="shared" si="155"/>
        <v>0</v>
      </c>
      <c r="E168" s="1455">
        <f t="shared" si="155"/>
        <v>0</v>
      </c>
      <c r="F168" s="1455">
        <f t="shared" si="155"/>
        <v>38</v>
      </c>
      <c r="G168" s="1617">
        <f t="shared" si="155"/>
        <v>188.900105</v>
      </c>
      <c r="H168" s="1617">
        <f t="shared" si="155"/>
        <v>149.30000000000001</v>
      </c>
      <c r="I168" s="1617">
        <f t="shared" si="155"/>
        <v>3.6820000000000004</v>
      </c>
      <c r="J168" s="1617">
        <f t="shared" si="155"/>
        <v>0</v>
      </c>
      <c r="K168" s="1617">
        <f t="shared" si="155"/>
        <v>3.1970000000000001</v>
      </c>
      <c r="L168" s="1617">
        <f t="shared" si="155"/>
        <v>0.34599999999999997</v>
      </c>
      <c r="M168" s="1617">
        <f t="shared" si="155"/>
        <v>0</v>
      </c>
      <c r="N168" s="1617">
        <f t="shared" si="155"/>
        <v>0</v>
      </c>
      <c r="O168" s="1617">
        <f t="shared" si="155"/>
        <v>0</v>
      </c>
      <c r="P168" s="1617">
        <f t="shared" si="155"/>
        <v>0</v>
      </c>
      <c r="Q168" s="1617">
        <f t="shared" si="155"/>
        <v>0</v>
      </c>
      <c r="R168" s="1617">
        <f t="shared" si="155"/>
        <v>0</v>
      </c>
      <c r="S168" s="1617">
        <f t="shared" si="156"/>
        <v>0.13900000000000001</v>
      </c>
      <c r="T168" s="1617">
        <f t="shared" si="156"/>
        <v>35.918105000000004</v>
      </c>
      <c r="U168" s="1617">
        <f t="shared" si="156"/>
        <v>204.68185499999998</v>
      </c>
      <c r="V168" s="1617">
        <f t="shared" si="156"/>
        <v>161.62</v>
      </c>
      <c r="W168" s="1617">
        <f t="shared" si="156"/>
        <v>4.1710000000000003</v>
      </c>
      <c r="X168" s="1617">
        <f t="shared" si="156"/>
        <v>0</v>
      </c>
      <c r="Y168" s="1617">
        <f t="shared" si="156"/>
        <v>3.427</v>
      </c>
      <c r="Z168" s="1617">
        <f t="shared" si="156"/>
        <v>0.44600000000000001</v>
      </c>
      <c r="AA168" s="1617">
        <f t="shared" si="156"/>
        <v>0</v>
      </c>
      <c r="AB168" s="1617">
        <f t="shared" si="156"/>
        <v>0</v>
      </c>
      <c r="AC168" s="1617">
        <f t="shared" si="156"/>
        <v>0</v>
      </c>
      <c r="AD168" s="1617">
        <f t="shared" si="156"/>
        <v>0</v>
      </c>
      <c r="AE168" s="1617">
        <f t="shared" si="156"/>
        <v>0</v>
      </c>
      <c r="AF168" s="1617">
        <f t="shared" si="156"/>
        <v>0</v>
      </c>
      <c r="AG168" s="1617">
        <f t="shared" si="156"/>
        <v>0.29799999999999999</v>
      </c>
      <c r="AH168" s="1617">
        <f t="shared" si="156"/>
        <v>38.890854999999995</v>
      </c>
      <c r="AI168" s="1617">
        <f t="shared" ref="AI168:AJ168" si="158">AI169</f>
        <v>15.781749999999988</v>
      </c>
      <c r="AJ168" s="1617">
        <f t="shared" si="158"/>
        <v>189.38099999999986</v>
      </c>
      <c r="AK168" s="1448">
        <f t="shared" si="144"/>
        <v>0.41530921052631548</v>
      </c>
      <c r="AL168" s="1431">
        <f t="shared" si="82"/>
        <v>108.35454802949951</v>
      </c>
    </row>
    <row r="169" spans="1:38" s="1444" customFormat="1" ht="25.5" hidden="1" customHeight="1">
      <c r="A169" s="1375"/>
      <c r="B169" s="764" t="s">
        <v>2656</v>
      </c>
      <c r="C169" s="1480">
        <v>39</v>
      </c>
      <c r="D169" s="1480"/>
      <c r="E169" s="1480"/>
      <c r="F169" s="1480">
        <v>38</v>
      </c>
      <c r="G169" s="1640">
        <f t="shared" ref="G169" si="159">H169+I169+T169</f>
        <v>188.900105</v>
      </c>
      <c r="H169" s="1641">
        <v>149.30000000000001</v>
      </c>
      <c r="I169" s="1640">
        <f t="shared" ref="I169" si="160">SUM(J169:S169)</f>
        <v>3.6820000000000004</v>
      </c>
      <c r="J169" s="1642"/>
      <c r="K169" s="1641">
        <v>3.1970000000000001</v>
      </c>
      <c r="L169" s="1641">
        <v>0.34599999999999997</v>
      </c>
      <c r="M169" s="1642"/>
      <c r="N169" s="1642"/>
      <c r="O169" s="1642"/>
      <c r="P169" s="1642"/>
      <c r="Q169" s="1642"/>
      <c r="R169" s="1642"/>
      <c r="S169" s="1642">
        <v>0.13900000000000001</v>
      </c>
      <c r="T169" s="1642">
        <v>35.918105000000004</v>
      </c>
      <c r="U169" s="1640">
        <f>V169+W169+AH169</f>
        <v>204.68185499999998</v>
      </c>
      <c r="V169" s="1641">
        <v>161.62</v>
      </c>
      <c r="W169" s="1640">
        <f>SUM(X169:AG169)</f>
        <v>4.1710000000000003</v>
      </c>
      <c r="X169" s="1640"/>
      <c r="Y169" s="1640">
        <v>3.427</v>
      </c>
      <c r="Z169" s="1640">
        <v>0.44600000000000001</v>
      </c>
      <c r="AA169" s="1640"/>
      <c r="AB169" s="1640"/>
      <c r="AC169" s="1640"/>
      <c r="AD169" s="1640"/>
      <c r="AE169" s="1640"/>
      <c r="AF169" s="1640"/>
      <c r="AG169" s="1640">
        <v>0.29799999999999999</v>
      </c>
      <c r="AH169" s="1640">
        <v>38.890854999999995</v>
      </c>
      <c r="AI169" s="1621">
        <f>U169-G169</f>
        <v>15.781749999999988</v>
      </c>
      <c r="AJ169" s="1366">
        <f>AI169*12</f>
        <v>189.38099999999986</v>
      </c>
      <c r="AK169" s="1448">
        <f t="shared" si="144"/>
        <v>0.41530921052631548</v>
      </c>
      <c r="AL169" s="1431">
        <f t="shared" si="82"/>
        <v>108.35454802949951</v>
      </c>
    </row>
    <row r="170" spans="1:38" s="1444" customFormat="1" ht="25.5" customHeight="1">
      <c r="A170" s="1445">
        <v>7</v>
      </c>
      <c r="B170" s="1446" t="s">
        <v>2535</v>
      </c>
      <c r="C170" s="1467">
        <f>C171</f>
        <v>81</v>
      </c>
      <c r="D170" s="1467">
        <f>D171</f>
        <v>74</v>
      </c>
      <c r="E170" s="1467">
        <f>E171</f>
        <v>7</v>
      </c>
      <c r="F170" s="1467">
        <f t="shared" ref="F170:AJ170" si="161">F171</f>
        <v>67</v>
      </c>
      <c r="G170" s="1616">
        <f t="shared" si="161"/>
        <v>600.65769999999998</v>
      </c>
      <c r="H170" s="1616">
        <f t="shared" si="161"/>
        <v>314.88</v>
      </c>
      <c r="I170" s="1616">
        <f t="shared" si="161"/>
        <v>209.8777</v>
      </c>
      <c r="J170" s="1616">
        <f t="shared" si="161"/>
        <v>0</v>
      </c>
      <c r="K170" s="1616">
        <f t="shared" si="161"/>
        <v>7.92</v>
      </c>
      <c r="L170" s="1616">
        <f t="shared" si="161"/>
        <v>1.42</v>
      </c>
      <c r="M170" s="1616">
        <f t="shared" si="161"/>
        <v>171.04</v>
      </c>
      <c r="N170" s="1616">
        <f t="shared" si="161"/>
        <v>10.64</v>
      </c>
      <c r="O170" s="1616">
        <f t="shared" si="161"/>
        <v>8.34</v>
      </c>
      <c r="P170" s="1616">
        <f t="shared" si="161"/>
        <v>8.0076999999999998</v>
      </c>
      <c r="Q170" s="1616">
        <f t="shared" si="161"/>
        <v>0</v>
      </c>
      <c r="R170" s="1616">
        <f t="shared" si="161"/>
        <v>0</v>
      </c>
      <c r="S170" s="1616">
        <f t="shared" si="161"/>
        <v>2.5099999999999998</v>
      </c>
      <c r="T170" s="1616">
        <f t="shared" si="161"/>
        <v>75.899999999999991</v>
      </c>
      <c r="U170" s="1616">
        <f t="shared" si="161"/>
        <v>643.22485323741012</v>
      </c>
      <c r="V170" s="1616">
        <f t="shared" si="161"/>
        <v>337.53323741007193</v>
      </c>
      <c r="W170" s="1616">
        <f t="shared" si="161"/>
        <v>224.33611510791366</v>
      </c>
      <c r="X170" s="1616">
        <f t="shared" si="161"/>
        <v>0</v>
      </c>
      <c r="Y170" s="1616">
        <f t="shared" si="161"/>
        <v>8.4897841726618708</v>
      </c>
      <c r="Z170" s="1616">
        <f t="shared" si="161"/>
        <v>1.5221582733812948</v>
      </c>
      <c r="AA170" s="1616">
        <f t="shared" si="161"/>
        <v>183.34503597122301</v>
      </c>
      <c r="AB170" s="1616">
        <f t="shared" si="161"/>
        <v>11.405467625899282</v>
      </c>
      <c r="AC170" s="1616">
        <f t="shared" si="161"/>
        <v>8.94</v>
      </c>
      <c r="AD170" s="1616">
        <f t="shared" si="161"/>
        <v>7.9430935251798571</v>
      </c>
      <c r="AE170" s="1616">
        <f t="shared" si="161"/>
        <v>0</v>
      </c>
      <c r="AF170" s="1616">
        <f t="shared" si="161"/>
        <v>0</v>
      </c>
      <c r="AG170" s="1616">
        <f t="shared" si="161"/>
        <v>2.6905755395683459</v>
      </c>
      <c r="AH170" s="1616">
        <f t="shared" si="161"/>
        <v>81.355500719424455</v>
      </c>
      <c r="AI170" s="1616">
        <f t="shared" si="161"/>
        <v>42.567153237410068</v>
      </c>
      <c r="AJ170" s="1616">
        <f t="shared" si="161"/>
        <v>510.80583884892081</v>
      </c>
      <c r="AK170" s="1448">
        <f t="shared" si="144"/>
        <v>0.63533064533447858</v>
      </c>
      <c r="AL170" s="1431">
        <f t="shared" si="82"/>
        <v>107.08675727247152</v>
      </c>
    </row>
    <row r="171" spans="1:38" s="1444" customFormat="1" ht="25.5" hidden="1" customHeight="1">
      <c r="A171" s="1375">
        <v>17</v>
      </c>
      <c r="B171" s="764" t="s">
        <v>2659</v>
      </c>
      <c r="C171" s="560">
        <f>SUM(C172:C177)</f>
        <v>81</v>
      </c>
      <c r="D171" s="560">
        <f t="shared" ref="D171:AJ171" si="162">SUM(D172:D177)</f>
        <v>74</v>
      </c>
      <c r="E171" s="560">
        <f t="shared" si="162"/>
        <v>7</v>
      </c>
      <c r="F171" s="560">
        <f t="shared" si="162"/>
        <v>67</v>
      </c>
      <c r="G171" s="1617">
        <f t="shared" si="162"/>
        <v>600.65769999999998</v>
      </c>
      <c r="H171" s="1617">
        <f t="shared" si="162"/>
        <v>314.88</v>
      </c>
      <c r="I171" s="1617">
        <f t="shared" si="162"/>
        <v>209.8777</v>
      </c>
      <c r="J171" s="1617">
        <f t="shared" si="162"/>
        <v>0</v>
      </c>
      <c r="K171" s="1617">
        <f t="shared" si="162"/>
        <v>7.92</v>
      </c>
      <c r="L171" s="1617">
        <f t="shared" si="162"/>
        <v>1.42</v>
      </c>
      <c r="M171" s="1617">
        <f t="shared" si="162"/>
        <v>171.04</v>
      </c>
      <c r="N171" s="1617">
        <f t="shared" si="162"/>
        <v>10.64</v>
      </c>
      <c r="O171" s="1617">
        <f t="shared" si="162"/>
        <v>8.34</v>
      </c>
      <c r="P171" s="1617">
        <f t="shared" si="162"/>
        <v>8.0076999999999998</v>
      </c>
      <c r="Q171" s="1617">
        <f t="shared" si="162"/>
        <v>0</v>
      </c>
      <c r="R171" s="1617">
        <f t="shared" si="162"/>
        <v>0</v>
      </c>
      <c r="S171" s="1617">
        <f t="shared" si="162"/>
        <v>2.5099999999999998</v>
      </c>
      <c r="T171" s="1617">
        <f t="shared" si="162"/>
        <v>75.899999999999991</v>
      </c>
      <c r="U171" s="1617">
        <f t="shared" si="162"/>
        <v>643.22485323741012</v>
      </c>
      <c r="V171" s="1617">
        <f t="shared" si="162"/>
        <v>337.53323741007193</v>
      </c>
      <c r="W171" s="1617">
        <f t="shared" si="162"/>
        <v>224.33611510791366</v>
      </c>
      <c r="X171" s="1617">
        <f t="shared" si="162"/>
        <v>0</v>
      </c>
      <c r="Y171" s="1617">
        <f t="shared" si="162"/>
        <v>8.4897841726618708</v>
      </c>
      <c r="Z171" s="1617">
        <f t="shared" si="162"/>
        <v>1.5221582733812948</v>
      </c>
      <c r="AA171" s="1617">
        <f t="shared" si="162"/>
        <v>183.34503597122301</v>
      </c>
      <c r="AB171" s="1617">
        <f t="shared" si="162"/>
        <v>11.405467625899282</v>
      </c>
      <c r="AC171" s="1617">
        <f t="shared" si="162"/>
        <v>8.94</v>
      </c>
      <c r="AD171" s="1617">
        <f t="shared" si="162"/>
        <v>7.9430935251798571</v>
      </c>
      <c r="AE171" s="1617">
        <f t="shared" si="162"/>
        <v>0</v>
      </c>
      <c r="AF171" s="1617">
        <f t="shared" si="162"/>
        <v>0</v>
      </c>
      <c r="AG171" s="1617">
        <f t="shared" si="162"/>
        <v>2.6905755395683459</v>
      </c>
      <c r="AH171" s="1617">
        <f t="shared" si="162"/>
        <v>81.355500719424455</v>
      </c>
      <c r="AI171" s="1617">
        <f t="shared" si="162"/>
        <v>42.567153237410068</v>
      </c>
      <c r="AJ171" s="1617">
        <f t="shared" si="162"/>
        <v>510.80583884892081</v>
      </c>
      <c r="AK171" s="1448">
        <f t="shared" si="144"/>
        <v>0.63533064533447858</v>
      </c>
      <c r="AL171" s="1431">
        <f t="shared" ref="AL171:AL234" si="163">U171/G171*100</f>
        <v>107.08675727247152</v>
      </c>
    </row>
    <row r="172" spans="1:38" s="1444" customFormat="1" ht="21" hidden="1" customHeight="1">
      <c r="A172" s="1375"/>
      <c r="B172" s="764" t="s">
        <v>2660</v>
      </c>
      <c r="C172" s="1455"/>
      <c r="D172" s="1455"/>
      <c r="E172" s="1455"/>
      <c r="F172" s="1455"/>
      <c r="G172" s="1614">
        <f t="shared" ref="G172:G177" si="164">H172+I172+T172</f>
        <v>0</v>
      </c>
      <c r="H172" s="1617"/>
      <c r="I172" s="1614">
        <f t="shared" ref="I172:I177" si="165">SUM(J172:S172)</f>
        <v>0</v>
      </c>
      <c r="J172" s="1617"/>
      <c r="K172" s="1617"/>
      <c r="L172" s="1617"/>
      <c r="M172" s="1617"/>
      <c r="N172" s="1617"/>
      <c r="O172" s="1617"/>
      <c r="P172" s="1617"/>
      <c r="Q172" s="1617"/>
      <c r="R172" s="1617"/>
      <c r="S172" s="1617"/>
      <c r="T172" s="1621"/>
      <c r="U172" s="1614">
        <f t="shared" ref="U172:U177" si="166">V172+W172+AH172</f>
        <v>0</v>
      </c>
      <c r="V172" s="1617"/>
      <c r="W172" s="1614">
        <f t="shared" ref="W172:W177" si="167">SUM(X172:AG172)</f>
        <v>0</v>
      </c>
      <c r="X172" s="1617"/>
      <c r="Y172" s="1617"/>
      <c r="Z172" s="1617"/>
      <c r="AA172" s="1617"/>
      <c r="AB172" s="1617"/>
      <c r="AC172" s="1617"/>
      <c r="AD172" s="1617"/>
      <c r="AE172" s="1617"/>
      <c r="AF172" s="1617"/>
      <c r="AG172" s="1617"/>
      <c r="AH172" s="1621"/>
      <c r="AI172" s="1621">
        <f t="shared" ref="AI172:AI177" si="168">U172-G172</f>
        <v>0</v>
      </c>
      <c r="AJ172" s="1366">
        <f t="shared" ref="AJ172:AJ177" si="169">AI172*12</f>
        <v>0</v>
      </c>
      <c r="AK172" s="1448" t="e">
        <f t="shared" si="144"/>
        <v>#DIV/0!</v>
      </c>
      <c r="AL172" s="1431" t="e">
        <f t="shared" si="163"/>
        <v>#DIV/0!</v>
      </c>
    </row>
    <row r="173" spans="1:38" s="1444" customFormat="1" ht="27.75" hidden="1" customHeight="1">
      <c r="A173" s="1375"/>
      <c r="B173" s="764" t="s">
        <v>2661</v>
      </c>
      <c r="C173" s="1461"/>
      <c r="D173" s="1461"/>
      <c r="E173" s="1461"/>
      <c r="F173" s="1461"/>
      <c r="G173" s="1620">
        <f t="shared" si="164"/>
        <v>0</v>
      </c>
      <c r="H173" s="1624"/>
      <c r="I173" s="1620">
        <f t="shared" si="165"/>
        <v>0</v>
      </c>
      <c r="J173" s="1624"/>
      <c r="K173" s="1624"/>
      <c r="L173" s="1624"/>
      <c r="M173" s="1624"/>
      <c r="N173" s="1624"/>
      <c r="O173" s="1624"/>
      <c r="P173" s="1617"/>
      <c r="Q173" s="1617"/>
      <c r="R173" s="1624"/>
      <c r="S173" s="1624"/>
      <c r="T173" s="1621">
        <f>(H173+K173+L173+R173)*23.5%</f>
        <v>0</v>
      </c>
      <c r="U173" s="1620">
        <f t="shared" si="166"/>
        <v>0</v>
      </c>
      <c r="V173" s="1624">
        <f>(H173/1.39)*1.49</f>
        <v>0</v>
      </c>
      <c r="W173" s="1620">
        <f t="shared" si="167"/>
        <v>0</v>
      </c>
      <c r="X173" s="1620">
        <f t="shared" ref="X173:AG173" si="170">(J173/1.39)*1.49</f>
        <v>0</v>
      </c>
      <c r="Y173" s="1620">
        <f t="shared" si="170"/>
        <v>0</v>
      </c>
      <c r="Z173" s="1620">
        <f t="shared" si="170"/>
        <v>0</v>
      </c>
      <c r="AA173" s="1620">
        <f t="shared" si="170"/>
        <v>0</v>
      </c>
      <c r="AB173" s="1620">
        <f t="shared" si="170"/>
        <v>0</v>
      </c>
      <c r="AC173" s="1620">
        <f t="shared" si="170"/>
        <v>0</v>
      </c>
      <c r="AD173" s="1620">
        <f t="shared" si="170"/>
        <v>0</v>
      </c>
      <c r="AE173" s="1620">
        <f t="shared" si="170"/>
        <v>0</v>
      </c>
      <c r="AF173" s="1620">
        <f t="shared" si="170"/>
        <v>0</v>
      </c>
      <c r="AG173" s="1620">
        <f t="shared" si="170"/>
        <v>0</v>
      </c>
      <c r="AH173" s="1620">
        <f>(V173+Y173+Z173+AF173)*23.5%</f>
        <v>0</v>
      </c>
      <c r="AI173" s="1621">
        <f t="shared" si="168"/>
        <v>0</v>
      </c>
      <c r="AJ173" s="1366">
        <f t="shared" si="169"/>
        <v>0</v>
      </c>
      <c r="AK173" s="1448" t="e">
        <f t="shared" si="144"/>
        <v>#DIV/0!</v>
      </c>
      <c r="AL173" s="1431" t="e">
        <f t="shared" si="163"/>
        <v>#DIV/0!</v>
      </c>
    </row>
    <row r="174" spans="1:38" s="1444" customFormat="1" ht="27.75" hidden="1" customHeight="1">
      <c r="A174" s="1375"/>
      <c r="B174" s="764" t="s">
        <v>2662</v>
      </c>
      <c r="C174" s="1481">
        <v>17</v>
      </c>
      <c r="D174" s="1481">
        <v>17</v>
      </c>
      <c r="E174" s="1481"/>
      <c r="F174" s="1481">
        <v>15</v>
      </c>
      <c r="G174" s="1646">
        <f t="shared" si="164"/>
        <v>159.84</v>
      </c>
      <c r="H174" s="1647">
        <v>65.650000000000006</v>
      </c>
      <c r="I174" s="1648">
        <f t="shared" ref="I174:I176" si="171">SUM(J174:S174)</f>
        <v>78.040000000000006</v>
      </c>
      <c r="J174" s="1647">
        <f>SUM(J316,J513)</f>
        <v>0</v>
      </c>
      <c r="K174" s="1647">
        <v>3.06</v>
      </c>
      <c r="L174" s="1647">
        <f>SUM(L316,L513)</f>
        <v>0</v>
      </c>
      <c r="M174" s="1647">
        <v>54.05</v>
      </c>
      <c r="N174" s="1647">
        <v>10.64</v>
      </c>
      <c r="O174" s="1647">
        <v>8.34</v>
      </c>
      <c r="P174" s="1647"/>
      <c r="Q174" s="1647">
        <f>SUM(Q316,Q513)</f>
        <v>0</v>
      </c>
      <c r="R174" s="1647">
        <f>SUM(R316,R513)</f>
        <v>0</v>
      </c>
      <c r="S174" s="1647">
        <v>1.95</v>
      </c>
      <c r="T174" s="1649">
        <v>16.149999999999999</v>
      </c>
      <c r="U174" s="1646">
        <f t="shared" si="166"/>
        <v>171.33590395683456</v>
      </c>
      <c r="V174" s="1648">
        <f t="shared" ref="V174:V176" si="172">(H174/1.39)*1.49</f>
        <v>70.373021582733827</v>
      </c>
      <c r="W174" s="1648">
        <f t="shared" ref="W174:W175" si="173">SUM(X174:AG174)</f>
        <v>83.654388489208628</v>
      </c>
      <c r="X174" s="1648">
        <v>0</v>
      </c>
      <c r="Y174" s="1648">
        <v>3.2801438848920865</v>
      </c>
      <c r="Z174" s="1648">
        <v>0</v>
      </c>
      <c r="AA174" s="1648">
        <v>57.938489208633094</v>
      </c>
      <c r="AB174" s="1648">
        <v>11.405467625899282</v>
      </c>
      <c r="AC174" s="1648">
        <v>8.94</v>
      </c>
      <c r="AD174" s="1648">
        <v>0</v>
      </c>
      <c r="AE174" s="1648">
        <v>0</v>
      </c>
      <c r="AF174" s="1648">
        <v>0</v>
      </c>
      <c r="AG174" s="1648">
        <v>2.0902877697841729</v>
      </c>
      <c r="AH174" s="1648">
        <v>17.308493884892087</v>
      </c>
      <c r="AI174" s="1621">
        <f t="shared" si="168"/>
        <v>11.495903956834553</v>
      </c>
      <c r="AJ174" s="1366">
        <f t="shared" si="169"/>
        <v>137.95084748201464</v>
      </c>
      <c r="AK174" s="1448">
        <f t="shared" si="144"/>
        <v>0.76639359712230359</v>
      </c>
      <c r="AL174" s="1431">
        <f t="shared" si="163"/>
        <v>107.19213210512673</v>
      </c>
    </row>
    <row r="175" spans="1:38" s="1444" customFormat="1" ht="27.75" hidden="1" customHeight="1">
      <c r="A175" s="1375"/>
      <c r="B175" s="764" t="s">
        <v>2663</v>
      </c>
      <c r="C175" s="1481">
        <v>57</v>
      </c>
      <c r="D175" s="1481">
        <v>57</v>
      </c>
      <c r="E175" s="1481"/>
      <c r="F175" s="1481">
        <v>47</v>
      </c>
      <c r="G175" s="1646">
        <f t="shared" si="164"/>
        <v>396.82769999999999</v>
      </c>
      <c r="H175" s="1647">
        <v>221.54</v>
      </c>
      <c r="I175" s="1648">
        <f t="shared" si="171"/>
        <v>122.2077</v>
      </c>
      <c r="J175" s="1647">
        <f>SUM(J309,J514)</f>
        <v>0</v>
      </c>
      <c r="K175" s="1647">
        <v>3.89</v>
      </c>
      <c r="L175" s="1647">
        <v>0.45</v>
      </c>
      <c r="M175" s="1647">
        <v>116.99</v>
      </c>
      <c r="N175" s="1647">
        <f>SUM(N309,N514)</f>
        <v>0</v>
      </c>
      <c r="O175" s="1647">
        <f>SUM(O309,O514)</f>
        <v>0</v>
      </c>
      <c r="P175" s="1647">
        <f>SUM(P309,P514)</f>
        <v>0.5976999999999999</v>
      </c>
      <c r="Q175" s="1647">
        <f>SUM(Q309,Q514)</f>
        <v>0</v>
      </c>
      <c r="R175" s="1647">
        <f>SUM(R309,R514)</f>
        <v>0</v>
      </c>
      <c r="S175" s="1647">
        <v>0.28000000000000003</v>
      </c>
      <c r="T175" s="1649">
        <v>53.08</v>
      </c>
      <c r="U175" s="1646">
        <f t="shared" si="166"/>
        <v>424.73768489208629</v>
      </c>
      <c r="V175" s="1648">
        <f t="shared" si="172"/>
        <v>237.47812949640286</v>
      </c>
      <c r="W175" s="1648">
        <f t="shared" si="173"/>
        <v>130.35892086330935</v>
      </c>
      <c r="X175" s="1648">
        <v>0</v>
      </c>
      <c r="Y175" s="1648">
        <v>4.1698561151079145</v>
      </c>
      <c r="Z175" s="1648">
        <v>0.48237410071942449</v>
      </c>
      <c r="AA175" s="1648">
        <v>125.40654676258993</v>
      </c>
      <c r="AB175" s="1648">
        <v>0</v>
      </c>
      <c r="AC175" s="1648">
        <v>0</v>
      </c>
      <c r="AD175" s="1648">
        <v>0</v>
      </c>
      <c r="AE175" s="1648">
        <v>0</v>
      </c>
      <c r="AF175" s="1648">
        <v>0</v>
      </c>
      <c r="AG175" s="1648">
        <v>0.30014388489208638</v>
      </c>
      <c r="AH175" s="1648">
        <v>56.900634532374092</v>
      </c>
      <c r="AI175" s="1621">
        <f t="shared" si="168"/>
        <v>27.9099848920863</v>
      </c>
      <c r="AJ175" s="1366">
        <f t="shared" si="169"/>
        <v>334.9198187050356</v>
      </c>
      <c r="AK175" s="1448">
        <f t="shared" si="144"/>
        <v>0.59382946578907025</v>
      </c>
      <c r="AL175" s="1431">
        <f t="shared" si="163"/>
        <v>107.03327537167549</v>
      </c>
    </row>
    <row r="176" spans="1:38" s="1444" customFormat="1" ht="27.75" hidden="1" customHeight="1">
      <c r="A176" s="1375"/>
      <c r="B176" s="764" t="s">
        <v>2664</v>
      </c>
      <c r="C176" s="1482">
        <v>7</v>
      </c>
      <c r="D176" s="1482"/>
      <c r="E176" s="1482">
        <v>7</v>
      </c>
      <c r="F176" s="1482">
        <v>5</v>
      </c>
      <c r="G176" s="1646">
        <f t="shared" si="164"/>
        <v>43.99</v>
      </c>
      <c r="H176" s="1650">
        <v>27.69</v>
      </c>
      <c r="I176" s="1651">
        <f t="shared" si="171"/>
        <v>9.629999999999999</v>
      </c>
      <c r="J176" s="1650">
        <f>SUM(J426,J434,J515)</f>
        <v>0</v>
      </c>
      <c r="K176" s="1650">
        <v>0.97</v>
      </c>
      <c r="L176" s="1650">
        <v>0.97</v>
      </c>
      <c r="M176" s="1650">
        <f>SUM(M426,M434,M515)</f>
        <v>0</v>
      </c>
      <c r="N176" s="1650">
        <f>SUM(N426,N434,N515)</f>
        <v>0</v>
      </c>
      <c r="O176" s="1650">
        <f>SUM(O426,O434,O515)</f>
        <v>0</v>
      </c>
      <c r="P176" s="1650">
        <v>7.41</v>
      </c>
      <c r="Q176" s="1650">
        <f>SUM(Q426,Q434,Q515)</f>
        <v>0</v>
      </c>
      <c r="R176" s="1650">
        <f>SUM(R426,R434,R515)</f>
        <v>0</v>
      </c>
      <c r="S176" s="1650">
        <v>0.28000000000000003</v>
      </c>
      <c r="T176" s="1649">
        <v>6.67</v>
      </c>
      <c r="U176" s="1646">
        <f t="shared" si="166"/>
        <v>47.151264388489217</v>
      </c>
      <c r="V176" s="1648">
        <f t="shared" si="172"/>
        <v>29.682086330935253</v>
      </c>
      <c r="W176" s="1648">
        <f>SUM(X176:AG176)</f>
        <v>10.322805755395684</v>
      </c>
      <c r="X176" s="1648">
        <v>0</v>
      </c>
      <c r="Y176" s="1648">
        <v>1.0397841726618704</v>
      </c>
      <c r="Z176" s="1648">
        <v>1.0397841726618704</v>
      </c>
      <c r="AA176" s="1648">
        <v>0</v>
      </c>
      <c r="AB176" s="1648">
        <v>0</v>
      </c>
      <c r="AC176" s="1648">
        <v>0</v>
      </c>
      <c r="AD176" s="1648">
        <v>7.9430935251798571</v>
      </c>
      <c r="AE176" s="1648">
        <v>0</v>
      </c>
      <c r="AF176" s="1648">
        <v>0</v>
      </c>
      <c r="AG176" s="1648">
        <v>0.30014388489208638</v>
      </c>
      <c r="AH176" s="1648">
        <v>7.1463723021582739</v>
      </c>
      <c r="AI176" s="1621">
        <f t="shared" si="168"/>
        <v>3.1612643884892151</v>
      </c>
      <c r="AJ176" s="1366">
        <f t="shared" si="169"/>
        <v>37.935172661870581</v>
      </c>
      <c r="AK176" s="1448">
        <f t="shared" si="144"/>
        <v>0.632252877697843</v>
      </c>
      <c r="AL176" s="1431">
        <f t="shared" si="163"/>
        <v>107.18632504771361</v>
      </c>
    </row>
    <row r="177" spans="1:38" s="1444" customFormat="1" ht="27.75" hidden="1" customHeight="1">
      <c r="A177" s="1375"/>
      <c r="B177" s="764" t="s">
        <v>2665</v>
      </c>
      <c r="C177" s="1461"/>
      <c r="D177" s="1461"/>
      <c r="E177" s="1461"/>
      <c r="F177" s="1461"/>
      <c r="G177" s="1620">
        <f t="shared" si="164"/>
        <v>0</v>
      </c>
      <c r="H177" s="1624"/>
      <c r="I177" s="1620">
        <f t="shared" si="165"/>
        <v>0</v>
      </c>
      <c r="J177" s="1624"/>
      <c r="K177" s="1624"/>
      <c r="L177" s="1624"/>
      <c r="M177" s="1624"/>
      <c r="N177" s="1624"/>
      <c r="O177" s="1624"/>
      <c r="P177" s="1617"/>
      <c r="Q177" s="1617"/>
      <c r="R177" s="1624"/>
      <c r="S177" s="1624"/>
      <c r="T177" s="1621">
        <f>(H177+K177+L177+R177)*23.5%</f>
        <v>0</v>
      </c>
      <c r="U177" s="1620">
        <f t="shared" si="166"/>
        <v>0</v>
      </c>
      <c r="V177" s="1624">
        <f>(H177/1.39)*1.49</f>
        <v>0</v>
      </c>
      <c r="W177" s="1620">
        <f t="shared" si="167"/>
        <v>0</v>
      </c>
      <c r="X177" s="1620">
        <f t="shared" ref="X177:Z177" si="174">(J177/1.39)*1.49</f>
        <v>0</v>
      </c>
      <c r="Y177" s="1620">
        <f t="shared" si="174"/>
        <v>0</v>
      </c>
      <c r="Z177" s="1620">
        <f t="shared" si="174"/>
        <v>0</v>
      </c>
      <c r="AA177" s="1620">
        <f>(M177/1.39)*1.49</f>
        <v>0</v>
      </c>
      <c r="AB177" s="1620">
        <f t="shared" ref="AB177:AG177" si="175">(N177/1.39)*1.49</f>
        <v>0</v>
      </c>
      <c r="AC177" s="1620">
        <f t="shared" si="175"/>
        <v>0</v>
      </c>
      <c r="AD177" s="1620">
        <f t="shared" si="175"/>
        <v>0</v>
      </c>
      <c r="AE177" s="1620">
        <f t="shared" si="175"/>
        <v>0</v>
      </c>
      <c r="AF177" s="1620">
        <f t="shared" si="175"/>
        <v>0</v>
      </c>
      <c r="AG177" s="1620">
        <f t="shared" si="175"/>
        <v>0</v>
      </c>
      <c r="AH177" s="1620">
        <f>(V177+Y177+Z177+AF177)*23.5%</f>
        <v>0</v>
      </c>
      <c r="AI177" s="1621">
        <f t="shared" si="168"/>
        <v>0</v>
      </c>
      <c r="AJ177" s="1366">
        <f t="shared" si="169"/>
        <v>0</v>
      </c>
      <c r="AK177" s="1448" t="e">
        <f t="shared" si="144"/>
        <v>#DIV/0!</v>
      </c>
      <c r="AL177" s="1431" t="e">
        <f t="shared" si="163"/>
        <v>#DIV/0!</v>
      </c>
    </row>
    <row r="178" spans="1:38" s="1444" customFormat="1" ht="27.75" customHeight="1">
      <c r="A178" s="1445">
        <v>8</v>
      </c>
      <c r="B178" s="1446" t="s">
        <v>2536</v>
      </c>
      <c r="C178" s="1447">
        <f>SUM(C179,C210:C220,C221)</f>
        <v>646</v>
      </c>
      <c r="D178" s="1447">
        <f t="shared" ref="D178:AJ178" si="176">SUM(D179,D210:D220,D221)</f>
        <v>459</v>
      </c>
      <c r="E178" s="1447">
        <f t="shared" si="176"/>
        <v>105</v>
      </c>
      <c r="F178" s="1447">
        <f t="shared" si="176"/>
        <v>603</v>
      </c>
      <c r="G178" s="1652">
        <f t="shared" si="176"/>
        <v>4010.0665599314998</v>
      </c>
      <c r="H178" s="1652">
        <f t="shared" si="176"/>
        <v>2884.9146999999998</v>
      </c>
      <c r="I178" s="1652">
        <f t="shared" si="176"/>
        <v>427.91355959999999</v>
      </c>
      <c r="J178" s="1652">
        <f t="shared" si="176"/>
        <v>0</v>
      </c>
      <c r="K178" s="1652">
        <f t="shared" si="176"/>
        <v>71.587000000000003</v>
      </c>
      <c r="L178" s="1652">
        <f t="shared" si="176"/>
        <v>15.075106</v>
      </c>
      <c r="M178" s="1652">
        <f t="shared" si="176"/>
        <v>32.706533199999996</v>
      </c>
      <c r="N178" s="1652">
        <f t="shared" si="176"/>
        <v>128.39202039999998</v>
      </c>
      <c r="O178" s="1652">
        <f t="shared" si="176"/>
        <v>22.934999999999999</v>
      </c>
      <c r="P178" s="1652">
        <f t="shared" si="176"/>
        <v>116.46229849999999</v>
      </c>
      <c r="Q178" s="1652">
        <f t="shared" si="176"/>
        <v>0.753</v>
      </c>
      <c r="R178" s="1652">
        <f t="shared" si="176"/>
        <v>20.478661499999998</v>
      </c>
      <c r="S178" s="1652">
        <f t="shared" si="176"/>
        <v>19.523939999999996</v>
      </c>
      <c r="T178" s="1652">
        <f t="shared" si="176"/>
        <v>697.23830033149989</v>
      </c>
      <c r="U178" s="1652">
        <f t="shared" si="176"/>
        <v>4300.964369872615</v>
      </c>
      <c r="V178" s="1652">
        <f t="shared" si="176"/>
        <v>3096.1468136690655</v>
      </c>
      <c r="W178" s="1652">
        <f t="shared" si="176"/>
        <v>456.45299554244599</v>
      </c>
      <c r="X178" s="1652">
        <f t="shared" si="176"/>
        <v>0</v>
      </c>
      <c r="Y178" s="1652">
        <f t="shared" si="176"/>
        <v>76.737359712230202</v>
      </c>
      <c r="Z178" s="1652">
        <f t="shared" si="176"/>
        <v>15.712645999999999</v>
      </c>
      <c r="AA178" s="1652">
        <f t="shared" si="176"/>
        <v>35.059521199999999</v>
      </c>
      <c r="AB178" s="1652">
        <f t="shared" si="176"/>
        <v>137.62885639999999</v>
      </c>
      <c r="AC178" s="1652">
        <f t="shared" si="176"/>
        <v>22.934999999999999</v>
      </c>
      <c r="AD178" s="1652">
        <f t="shared" si="176"/>
        <v>124.84088112589927</v>
      </c>
      <c r="AE178" s="1652">
        <f t="shared" si="176"/>
        <v>0.8069568345323741</v>
      </c>
      <c r="AF178" s="1652">
        <f t="shared" si="176"/>
        <v>21.951946499999998</v>
      </c>
      <c r="AG178" s="1652">
        <f t="shared" si="176"/>
        <v>20.779827769784163</v>
      </c>
      <c r="AH178" s="1652">
        <f t="shared" si="176"/>
        <v>748.36456066110452</v>
      </c>
      <c r="AI178" s="1652">
        <f t="shared" si="176"/>
        <v>290.89780994111533</v>
      </c>
      <c r="AJ178" s="1652">
        <f t="shared" si="176"/>
        <v>3490.7737192933846</v>
      </c>
      <c r="AK178" s="1448">
        <f t="shared" si="144"/>
        <v>0.48241759525889771</v>
      </c>
      <c r="AL178" s="1431">
        <f t="shared" si="163"/>
        <v>107.25418906628035</v>
      </c>
    </row>
    <row r="179" spans="1:38" s="1444" customFormat="1" ht="28.5" hidden="1" customHeight="1">
      <c r="A179" s="1375">
        <v>18</v>
      </c>
      <c r="B179" s="764" t="s">
        <v>2666</v>
      </c>
      <c r="C179" s="560">
        <f>SUM(C180:C181,C184,C187,C190,C193,C196,C199:C205,C208:C209)</f>
        <v>463</v>
      </c>
      <c r="D179" s="560">
        <f t="shared" ref="D179:AJ179" si="177">SUM(D180:D181,D184,D187,D190,D193,D196,D199:D205,D208:D209)</f>
        <v>359</v>
      </c>
      <c r="E179" s="560">
        <f t="shared" si="177"/>
        <v>104</v>
      </c>
      <c r="F179" s="560">
        <f t="shared" si="177"/>
        <v>431</v>
      </c>
      <c r="G179" s="1617">
        <f t="shared" si="177"/>
        <v>2993.2568035815002</v>
      </c>
      <c r="H179" s="1617">
        <f t="shared" si="177"/>
        <v>2116.5390999999995</v>
      </c>
      <c r="I179" s="1617">
        <f t="shared" si="177"/>
        <v>365.64594959999994</v>
      </c>
      <c r="J179" s="1617">
        <f t="shared" si="177"/>
        <v>0</v>
      </c>
      <c r="K179" s="1617">
        <f t="shared" si="177"/>
        <v>43.368000000000002</v>
      </c>
      <c r="L179" s="1617">
        <f t="shared" si="177"/>
        <v>14.242496000000001</v>
      </c>
      <c r="M179" s="1617">
        <f t="shared" si="177"/>
        <v>32.706533199999996</v>
      </c>
      <c r="N179" s="1617">
        <f t="shared" si="177"/>
        <v>128.39202039999998</v>
      </c>
      <c r="O179" s="1617">
        <f t="shared" si="177"/>
        <v>22.934999999999999</v>
      </c>
      <c r="P179" s="1617">
        <f t="shared" si="177"/>
        <v>88.308298499999992</v>
      </c>
      <c r="Q179" s="1617">
        <f t="shared" si="177"/>
        <v>0</v>
      </c>
      <c r="R179" s="1617">
        <f t="shared" si="177"/>
        <v>20.478661499999998</v>
      </c>
      <c r="S179" s="1617">
        <f t="shared" si="177"/>
        <v>15.214939999999999</v>
      </c>
      <c r="T179" s="1617">
        <f t="shared" si="177"/>
        <v>511.07175398149991</v>
      </c>
      <c r="U179" s="1617">
        <f t="shared" si="177"/>
        <v>3205.2852901664996</v>
      </c>
      <c r="V179" s="1617">
        <f t="shared" si="177"/>
        <v>2268.8081000000002</v>
      </c>
      <c r="W179" s="1617">
        <f t="shared" si="177"/>
        <v>390.30141359999993</v>
      </c>
      <c r="X179" s="1617">
        <f t="shared" si="177"/>
        <v>0</v>
      </c>
      <c r="Y179" s="1617">
        <f t="shared" si="177"/>
        <v>46.488</v>
      </c>
      <c r="Z179" s="1617">
        <f t="shared" si="177"/>
        <v>15.267135999999999</v>
      </c>
      <c r="AA179" s="1617">
        <f t="shared" si="177"/>
        <v>35.059521199999999</v>
      </c>
      <c r="AB179" s="1617">
        <f t="shared" si="177"/>
        <v>137.62885639999999</v>
      </c>
      <c r="AC179" s="1617">
        <f t="shared" si="177"/>
        <v>22.934999999999999</v>
      </c>
      <c r="AD179" s="1617">
        <f t="shared" si="177"/>
        <v>94.661413499999995</v>
      </c>
      <c r="AE179" s="1617">
        <f t="shared" si="177"/>
        <v>0</v>
      </c>
      <c r="AF179" s="1617">
        <f t="shared" si="177"/>
        <v>21.951946499999998</v>
      </c>
      <c r="AG179" s="1617">
        <f t="shared" si="177"/>
        <v>16.309539999999998</v>
      </c>
      <c r="AH179" s="1617">
        <f t="shared" si="177"/>
        <v>546.17577656650008</v>
      </c>
      <c r="AI179" s="1617">
        <f t="shared" si="177"/>
        <v>212.02848658500011</v>
      </c>
      <c r="AJ179" s="1617">
        <f t="shared" si="177"/>
        <v>2544.3418390200018</v>
      </c>
      <c r="AK179" s="1448">
        <f t="shared" si="144"/>
        <v>0.49194544451276129</v>
      </c>
      <c r="AL179" s="1431">
        <f t="shared" si="163"/>
        <v>107.08353811578419</v>
      </c>
    </row>
    <row r="180" spans="1:38" s="1444" customFormat="1" ht="28.5" hidden="1" customHeight="1">
      <c r="A180" s="1375"/>
      <c r="B180" s="764" t="s">
        <v>2667</v>
      </c>
      <c r="C180" s="1483">
        <f>+D180+E180</f>
        <v>73</v>
      </c>
      <c r="D180" s="1483">
        <v>73</v>
      </c>
      <c r="E180" s="1483"/>
      <c r="F180" s="1483">
        <v>73</v>
      </c>
      <c r="G180" s="1653">
        <f>H180+I180+T180</f>
        <v>483.27440630999996</v>
      </c>
      <c r="H180" s="1654">
        <f>+(265.56-1.18)*1.39</f>
        <v>367.48819999999995</v>
      </c>
      <c r="I180" s="1653">
        <f>SUM(J180:S180)</f>
        <v>27.967856399999999</v>
      </c>
      <c r="J180" s="1653"/>
      <c r="K180" s="1653">
        <f>4.1*1.39</f>
        <v>5.698999999999999</v>
      </c>
      <c r="L180" s="1653">
        <f>0.3654*1.39</f>
        <v>0.50790599999999997</v>
      </c>
      <c r="M180" s="1653"/>
      <c r="N180" s="1653">
        <f>19.3648*1.39*70%</f>
        <v>18.841950399999998</v>
      </c>
      <c r="O180" s="1653"/>
      <c r="P180" s="1655"/>
      <c r="Q180" s="1655"/>
      <c r="R180" s="1653"/>
      <c r="S180" s="1653">
        <f>2.1*1.39</f>
        <v>2.919</v>
      </c>
      <c r="T180" s="1653">
        <f>(H180+K180+L180+R180)*0.235</f>
        <v>87.818349909999981</v>
      </c>
      <c r="U180" s="1653">
        <f>V180+W180+AH180</f>
        <v>518.04234921</v>
      </c>
      <c r="V180" s="1653">
        <f>+(265.56-1.18)*1.49</f>
        <v>393.92619999999999</v>
      </c>
      <c r="W180" s="1653">
        <f>SUM(X180:AG180)</f>
        <v>29.979932399999996</v>
      </c>
      <c r="X180" s="1653"/>
      <c r="Y180" s="1653">
        <f>4.1*1.49</f>
        <v>6.1089999999999991</v>
      </c>
      <c r="Z180" s="1653">
        <f>0.3654*1.49</f>
        <v>0.54444599999999999</v>
      </c>
      <c r="AA180" s="1653"/>
      <c r="AB180" s="1653">
        <f>19.3648*1.49*70%</f>
        <v>20.197486399999995</v>
      </c>
      <c r="AC180" s="1653"/>
      <c r="AD180" s="1655"/>
      <c r="AE180" s="1655"/>
      <c r="AF180" s="1653"/>
      <c r="AG180" s="1653">
        <f>2.1*1.49</f>
        <v>3.129</v>
      </c>
      <c r="AH180" s="1653">
        <f>(V180+Y180+Z180+AF180)*0.235</f>
        <v>94.136216809999993</v>
      </c>
      <c r="AI180" s="1621">
        <f>U180-G180</f>
        <v>34.767942900000037</v>
      </c>
      <c r="AJ180" s="1366">
        <f>AI180*12</f>
        <v>417.21531480000044</v>
      </c>
      <c r="AK180" s="1448">
        <f t="shared" si="144"/>
        <v>0.47627319041095939</v>
      </c>
      <c r="AL180" s="1431">
        <f t="shared" si="163"/>
        <v>107.19424460431655</v>
      </c>
    </row>
    <row r="181" spans="1:38" s="1444" customFormat="1" ht="28.5" hidden="1" customHeight="1">
      <c r="A181" s="1375"/>
      <c r="B181" s="764" t="s">
        <v>2668</v>
      </c>
      <c r="C181" s="560">
        <f>C182+C183</f>
        <v>41</v>
      </c>
      <c r="D181" s="560">
        <f t="shared" ref="D181:AJ181" si="178">D182+D183</f>
        <v>34</v>
      </c>
      <c r="E181" s="560">
        <f t="shared" si="178"/>
        <v>7</v>
      </c>
      <c r="F181" s="560">
        <f t="shared" si="178"/>
        <v>40</v>
      </c>
      <c r="G181" s="1617">
        <f t="shared" si="178"/>
        <v>314.91972884</v>
      </c>
      <c r="H181" s="1617">
        <f t="shared" si="178"/>
        <v>213.57350000000002</v>
      </c>
      <c r="I181" s="1617">
        <f t="shared" si="178"/>
        <v>49.442786499999997</v>
      </c>
      <c r="J181" s="1617">
        <f t="shared" si="178"/>
        <v>0</v>
      </c>
      <c r="K181" s="1617">
        <f t="shared" si="178"/>
        <v>3.7530000000000001</v>
      </c>
      <c r="L181" s="1617">
        <f t="shared" si="178"/>
        <v>5.2881159999999987</v>
      </c>
      <c r="M181" s="1617">
        <f t="shared" si="178"/>
        <v>9.6118499999999987</v>
      </c>
      <c r="N181" s="1617">
        <f t="shared" si="178"/>
        <v>16.901009999999999</v>
      </c>
      <c r="O181" s="1617">
        <f t="shared" si="178"/>
        <v>0</v>
      </c>
      <c r="P181" s="1617">
        <f t="shared" si="178"/>
        <v>10.274810500000001</v>
      </c>
      <c r="Q181" s="1617">
        <f t="shared" si="178"/>
        <v>0</v>
      </c>
      <c r="R181" s="1617">
        <f t="shared" si="178"/>
        <v>0</v>
      </c>
      <c r="S181" s="1617">
        <f t="shared" si="178"/>
        <v>3.6139999999999994</v>
      </c>
      <c r="T181" s="1617">
        <f t="shared" si="178"/>
        <v>51.903442339999998</v>
      </c>
      <c r="U181" s="1617">
        <f t="shared" si="178"/>
        <v>337.57582444000002</v>
      </c>
      <c r="V181" s="1617">
        <f t="shared" si="178"/>
        <v>228.93850000000003</v>
      </c>
      <c r="W181" s="1617">
        <f t="shared" si="178"/>
        <v>52.999821500000003</v>
      </c>
      <c r="X181" s="1617">
        <f t="shared" si="178"/>
        <v>0</v>
      </c>
      <c r="Y181" s="1617">
        <f t="shared" si="178"/>
        <v>4.0229999999999997</v>
      </c>
      <c r="Z181" s="1617">
        <f t="shared" si="178"/>
        <v>5.6685559999999997</v>
      </c>
      <c r="AA181" s="1617">
        <f t="shared" si="178"/>
        <v>10.30335</v>
      </c>
      <c r="AB181" s="1617">
        <f t="shared" si="178"/>
        <v>18.116910000000001</v>
      </c>
      <c r="AC181" s="1617">
        <f t="shared" si="178"/>
        <v>0</v>
      </c>
      <c r="AD181" s="1617">
        <f t="shared" si="178"/>
        <v>11.014005500000003</v>
      </c>
      <c r="AE181" s="1617">
        <f t="shared" si="178"/>
        <v>0</v>
      </c>
      <c r="AF181" s="1617">
        <f t="shared" si="178"/>
        <v>0</v>
      </c>
      <c r="AG181" s="1617">
        <f t="shared" si="178"/>
        <v>3.8740000000000001</v>
      </c>
      <c r="AH181" s="1617">
        <f t="shared" si="178"/>
        <v>55.637502940000012</v>
      </c>
      <c r="AI181" s="1617">
        <f t="shared" si="178"/>
        <v>22.656095600000022</v>
      </c>
      <c r="AJ181" s="1617">
        <f t="shared" si="178"/>
        <v>271.87314720000029</v>
      </c>
      <c r="AK181" s="1448">
        <f t="shared" si="144"/>
        <v>0.56640239000000059</v>
      </c>
      <c r="AL181" s="1431">
        <f t="shared" si="163"/>
        <v>107.19424460431655</v>
      </c>
    </row>
    <row r="182" spans="1:38" s="1444" customFormat="1" ht="28.5" hidden="1" customHeight="1">
      <c r="A182" s="1375"/>
      <c r="B182" s="764" t="s">
        <v>2669</v>
      </c>
      <c r="C182" s="1483">
        <f>+D182+E182</f>
        <v>7</v>
      </c>
      <c r="D182" s="1483"/>
      <c r="E182" s="1483">
        <v>7</v>
      </c>
      <c r="F182" s="1483">
        <v>6</v>
      </c>
      <c r="G182" s="1653">
        <f>H182+I182+T182</f>
        <v>60.760381950000003</v>
      </c>
      <c r="H182" s="1653">
        <f>(4.4+4.98+3.66+4.98+4.32+4.98)*1.39</f>
        <v>37.974800000000002</v>
      </c>
      <c r="I182" s="1653">
        <f>SUM(J182:S182)</f>
        <v>13.5382525</v>
      </c>
      <c r="J182" s="1653"/>
      <c r="K182" s="1653">
        <f>+(0.7+0.5+0.3+0.2)*1.39</f>
        <v>2.363</v>
      </c>
      <c r="L182" s="1653">
        <f>0.5478*1.39</f>
        <v>0.76144199999999984</v>
      </c>
      <c r="M182" s="1653"/>
      <c r="N182" s="1653"/>
      <c r="O182" s="1653"/>
      <c r="P182" s="1655">
        <f>+(H182+K182+L182)*0.25</f>
        <v>10.274810500000001</v>
      </c>
      <c r="Q182" s="1655"/>
      <c r="R182" s="1653"/>
      <c r="S182" s="1656">
        <f>(0.1)*1.39</f>
        <v>0.13899999999999998</v>
      </c>
      <c r="T182" s="1653">
        <f>+(H182+K182+L182)*0.225</f>
        <v>9.2473294500000005</v>
      </c>
      <c r="U182" s="1653">
        <f>V182+W182+AH182</f>
        <v>65.131632450000012</v>
      </c>
      <c r="V182" s="1653">
        <f>(4.4+4.98+3.66+4.98+4.32+4.98)*1.49</f>
        <v>40.706800000000008</v>
      </c>
      <c r="W182" s="1653">
        <f>SUM(X182:AG182)</f>
        <v>14.512227500000002</v>
      </c>
      <c r="X182" s="1653"/>
      <c r="Y182" s="1653">
        <f>+(0.7+0.5+0.3+0.2)*1.49</f>
        <v>2.5329999999999999</v>
      </c>
      <c r="Z182" s="1653">
        <f>0.5478*1.49</f>
        <v>0.81622199999999989</v>
      </c>
      <c r="AA182" s="1653"/>
      <c r="AB182" s="1653"/>
      <c r="AC182" s="1653"/>
      <c r="AD182" s="1655">
        <f>+(V182+Y182+Z182)*0.25</f>
        <v>11.014005500000003</v>
      </c>
      <c r="AE182" s="1655"/>
      <c r="AF182" s="1653"/>
      <c r="AG182" s="1656">
        <f>(0.1)*1.49</f>
        <v>0.14899999999999999</v>
      </c>
      <c r="AH182" s="1653">
        <f>+(V182+Y182+Z182)*0.225</f>
        <v>9.912604950000004</v>
      </c>
      <c r="AI182" s="1621">
        <f>U182-G182</f>
        <v>4.3712505000000093</v>
      </c>
      <c r="AJ182" s="1366">
        <f t="shared" ref="AJ182:AJ183" si="179">AI182*12</f>
        <v>52.455006000000111</v>
      </c>
      <c r="AK182" s="1448"/>
      <c r="AL182" s="1431">
        <f t="shared" si="163"/>
        <v>107.19424460431657</v>
      </c>
    </row>
    <row r="183" spans="1:38" s="1444" customFormat="1" ht="28.5" hidden="1" customHeight="1">
      <c r="A183" s="1375"/>
      <c r="B183" s="764" t="s">
        <v>2670</v>
      </c>
      <c r="C183" s="1483">
        <f>+D183+E183</f>
        <v>34</v>
      </c>
      <c r="D183" s="1483">
        <v>34</v>
      </c>
      <c r="E183" s="1483"/>
      <c r="F183" s="1483">
        <v>34</v>
      </c>
      <c r="G183" s="1653">
        <f>H183+I183+T183</f>
        <v>254.15934689000002</v>
      </c>
      <c r="H183" s="1653">
        <f>(154.65-27.32-1)*1.39</f>
        <v>175.59870000000001</v>
      </c>
      <c r="I183" s="1653">
        <f>SUM(J183:S183)</f>
        <v>35.904533999999998</v>
      </c>
      <c r="J183" s="1653"/>
      <c r="K183" s="1653">
        <f>1*1.39</f>
        <v>1.39</v>
      </c>
      <c r="L183" s="1653">
        <f>(3.8044-0.5478)*1.39</f>
        <v>4.526673999999999</v>
      </c>
      <c r="M183" s="1653">
        <f>6.915*1.39</f>
        <v>9.6118499999999987</v>
      </c>
      <c r="N183" s="1653">
        <f>+(17.37*1.39)*70%</f>
        <v>16.901009999999999</v>
      </c>
      <c r="O183" s="1653"/>
      <c r="P183" s="1655"/>
      <c r="Q183" s="1655"/>
      <c r="R183" s="1653"/>
      <c r="S183" s="1653">
        <f>(1.9+0.6)*1.39</f>
        <v>3.4749999999999996</v>
      </c>
      <c r="T183" s="1653">
        <f>+(H183+K183+L183)*0.235</f>
        <v>42.656112889999996</v>
      </c>
      <c r="U183" s="1653">
        <f>V183+W183+AH183</f>
        <v>272.44419199000004</v>
      </c>
      <c r="V183" s="1653">
        <f>(154.65-27.32-1)*1.49</f>
        <v>188.23170000000002</v>
      </c>
      <c r="W183" s="1653">
        <f>SUM(X183:AG183)</f>
        <v>38.487594000000001</v>
      </c>
      <c r="X183" s="1653"/>
      <c r="Y183" s="1653">
        <f>1*1.49</f>
        <v>1.49</v>
      </c>
      <c r="Z183" s="1653">
        <f>(3.8044-0.5478)*1.49</f>
        <v>4.8523339999999999</v>
      </c>
      <c r="AA183" s="1653">
        <f>6.915*1.49</f>
        <v>10.30335</v>
      </c>
      <c r="AB183" s="1653">
        <f>+(17.37*1.49)*70%</f>
        <v>18.116910000000001</v>
      </c>
      <c r="AC183" s="1653"/>
      <c r="AD183" s="1655"/>
      <c r="AE183" s="1655"/>
      <c r="AF183" s="1653"/>
      <c r="AG183" s="1653">
        <f>(1.9+0.6)*1.49</f>
        <v>3.7250000000000001</v>
      </c>
      <c r="AH183" s="1653">
        <f>+(V183+Y183+Z183)*0.235</f>
        <v>45.724897990000009</v>
      </c>
      <c r="AI183" s="1621">
        <f>U183-G183</f>
        <v>18.284845100000013</v>
      </c>
      <c r="AJ183" s="1366">
        <f t="shared" si="179"/>
        <v>219.41814120000015</v>
      </c>
      <c r="AK183" s="1448"/>
      <c r="AL183" s="1431">
        <f t="shared" si="163"/>
        <v>107.19424460431655</v>
      </c>
    </row>
    <row r="184" spans="1:38" s="1444" customFormat="1" ht="28.5" hidden="1" customHeight="1">
      <c r="A184" s="1375"/>
      <c r="B184" s="764" t="s">
        <v>2671</v>
      </c>
      <c r="C184" s="560">
        <f>C185+C186</f>
        <v>79</v>
      </c>
      <c r="D184" s="560">
        <f t="shared" ref="D184:AJ184" si="180">D185+D186</f>
        <v>68</v>
      </c>
      <c r="E184" s="560">
        <f t="shared" si="180"/>
        <v>11</v>
      </c>
      <c r="F184" s="560">
        <f t="shared" si="180"/>
        <v>79</v>
      </c>
      <c r="G184" s="1617">
        <f t="shared" si="180"/>
        <v>578.80336977999991</v>
      </c>
      <c r="H184" s="1617">
        <f t="shared" si="180"/>
        <v>405.26839999999999</v>
      </c>
      <c r="I184" s="1617">
        <f t="shared" si="180"/>
        <v>76.417223799999988</v>
      </c>
      <c r="J184" s="1617">
        <f t="shared" si="180"/>
        <v>0</v>
      </c>
      <c r="K184" s="1617">
        <f t="shared" si="180"/>
        <v>6.6720000000000006</v>
      </c>
      <c r="L184" s="1617">
        <f t="shared" si="180"/>
        <v>4.0337800000000001</v>
      </c>
      <c r="M184" s="1617">
        <f t="shared" si="180"/>
        <v>6.0231757999999997</v>
      </c>
      <c r="N184" s="1617">
        <f t="shared" si="180"/>
        <v>38.501609999999999</v>
      </c>
      <c r="O184" s="1617">
        <f t="shared" si="180"/>
        <v>0</v>
      </c>
      <c r="P184" s="1617">
        <f t="shared" si="180"/>
        <v>15.904657999999996</v>
      </c>
      <c r="Q184" s="1617">
        <f t="shared" si="180"/>
        <v>0</v>
      </c>
      <c r="R184" s="1617">
        <f t="shared" si="180"/>
        <v>0</v>
      </c>
      <c r="S184" s="1617">
        <f t="shared" si="180"/>
        <v>5.2819999999999991</v>
      </c>
      <c r="T184" s="1617">
        <f t="shared" si="180"/>
        <v>97.117745979999995</v>
      </c>
      <c r="U184" s="1617">
        <f t="shared" si="180"/>
        <v>620.44389997999997</v>
      </c>
      <c r="V184" s="1617">
        <f t="shared" si="180"/>
        <v>434.42440000000005</v>
      </c>
      <c r="W184" s="1617">
        <f t="shared" si="180"/>
        <v>81.914865800000001</v>
      </c>
      <c r="X184" s="1617">
        <f t="shared" si="180"/>
        <v>0</v>
      </c>
      <c r="Y184" s="1617">
        <f t="shared" si="180"/>
        <v>7.152000000000001</v>
      </c>
      <c r="Z184" s="1617">
        <f t="shared" si="180"/>
        <v>4.3239800000000006</v>
      </c>
      <c r="AA184" s="1617">
        <f t="shared" si="180"/>
        <v>6.4564978000000002</v>
      </c>
      <c r="AB184" s="1617">
        <f t="shared" si="180"/>
        <v>41.271509999999999</v>
      </c>
      <c r="AC184" s="1617">
        <f t="shared" si="180"/>
        <v>0</v>
      </c>
      <c r="AD184" s="1617">
        <f t="shared" si="180"/>
        <v>17.048877999999998</v>
      </c>
      <c r="AE184" s="1617">
        <f t="shared" si="180"/>
        <v>0</v>
      </c>
      <c r="AF184" s="1617">
        <f t="shared" si="180"/>
        <v>0</v>
      </c>
      <c r="AG184" s="1617">
        <f t="shared" si="180"/>
        <v>5.6619999999999999</v>
      </c>
      <c r="AH184" s="1617">
        <f t="shared" si="180"/>
        <v>104.10463417999999</v>
      </c>
      <c r="AI184" s="1617">
        <f t="shared" si="180"/>
        <v>41.640530200000029</v>
      </c>
      <c r="AJ184" s="1617">
        <f t="shared" si="180"/>
        <v>499.68636240000035</v>
      </c>
      <c r="AK184" s="1448">
        <f>AI184/F184</f>
        <v>0.52709531898734219</v>
      </c>
      <c r="AL184" s="1431">
        <f t="shared" si="163"/>
        <v>107.19424460431657</v>
      </c>
    </row>
    <row r="185" spans="1:38" s="1444" customFormat="1" ht="28.5" hidden="1" customHeight="1">
      <c r="A185" s="1375"/>
      <c r="B185" s="764" t="s">
        <v>2669</v>
      </c>
      <c r="C185" s="1483">
        <f>+D185+E185</f>
        <v>11</v>
      </c>
      <c r="D185" s="1483"/>
      <c r="E185" s="1483">
        <v>11</v>
      </c>
      <c r="F185" s="1483">
        <v>11</v>
      </c>
      <c r="G185" s="1653">
        <f>H185+I185+T185</f>
        <v>94.25448219999997</v>
      </c>
      <c r="H185" s="1653">
        <f>(4.98+4.98+4.32+3.66+3.66+4.32+3.33+2.46+2.55+4.65+3.66)*1.39</f>
        <v>59.172299999999986</v>
      </c>
      <c r="I185" s="1653">
        <f>SUM(J185:S185)</f>
        <v>20.767989999999998</v>
      </c>
      <c r="J185" s="1653"/>
      <c r="K185" s="1654">
        <f>(0.7+0.5+0.5+0.3+0.2+0.2+0.3+0.2)*1.39</f>
        <v>4.0310000000000006</v>
      </c>
      <c r="L185" s="1653">
        <f>0.2988*1.39</f>
        <v>0.41533199999999998</v>
      </c>
      <c r="M185" s="1653"/>
      <c r="N185" s="1653"/>
      <c r="O185" s="1653"/>
      <c r="P185" s="1655">
        <f>+(H185+K185+L185)*0.25</f>
        <v>15.904657999999996</v>
      </c>
      <c r="Q185" s="1655"/>
      <c r="R185" s="1653"/>
      <c r="S185" s="1653">
        <f>0.3*1.39</f>
        <v>0.41699999999999998</v>
      </c>
      <c r="T185" s="1653">
        <f>+(H185+K185+L185)*0.225</f>
        <v>14.314192199999997</v>
      </c>
      <c r="U185" s="1653">
        <f>V185+W185+AH185</f>
        <v>101.03538019999998</v>
      </c>
      <c r="V185" s="1653">
        <f>(4.98+4.98+4.32+3.66+3.66+4.32+3.33+2.46+2.55+4.65+3.66)*1.49</f>
        <v>63.429299999999991</v>
      </c>
      <c r="W185" s="1653">
        <f>SUM(X185:AG185)</f>
        <v>22.262089999999997</v>
      </c>
      <c r="X185" s="1653"/>
      <c r="Y185" s="1653">
        <f>(0.7+0.5+0.5+0.3+0.2+0.2+0.3+0.2)*1.49</f>
        <v>4.3210000000000006</v>
      </c>
      <c r="Z185" s="1653">
        <f>0.2988*1.49</f>
        <v>0.445212</v>
      </c>
      <c r="AA185" s="1653"/>
      <c r="AB185" s="1653"/>
      <c r="AC185" s="1653"/>
      <c r="AD185" s="1655">
        <f>+(V185+Y185+Z185)*0.25</f>
        <v>17.048877999999998</v>
      </c>
      <c r="AE185" s="1655"/>
      <c r="AF185" s="1653"/>
      <c r="AG185" s="1653">
        <f>0.3*1.49</f>
        <v>0.44700000000000001</v>
      </c>
      <c r="AH185" s="1653">
        <f>+(V185+Y185+Z185)*0.225</f>
        <v>15.343990199999999</v>
      </c>
      <c r="AI185" s="1621">
        <f>U185-G185</f>
        <v>6.7808980000000076</v>
      </c>
      <c r="AJ185" s="1366">
        <f t="shared" ref="AJ185:AJ186" si="181">AI185*12</f>
        <v>81.370776000000092</v>
      </c>
      <c r="AK185" s="1448"/>
      <c r="AL185" s="1431">
        <f t="shared" si="163"/>
        <v>107.19424460431655</v>
      </c>
    </row>
    <row r="186" spans="1:38" s="1444" customFormat="1" ht="28.5" hidden="1" customHeight="1">
      <c r="A186" s="1375"/>
      <c r="B186" s="764" t="s">
        <v>2670</v>
      </c>
      <c r="C186" s="1483">
        <f>+D186+E186</f>
        <v>68</v>
      </c>
      <c r="D186" s="1483">
        <v>68</v>
      </c>
      <c r="E186" s="1483"/>
      <c r="F186" s="1483">
        <v>68</v>
      </c>
      <c r="G186" s="1653">
        <f>H186+I186+T186</f>
        <v>484.54888757999998</v>
      </c>
      <c r="H186" s="1653">
        <f>(291.56-42.57)*1.39</f>
        <v>346.09609999999998</v>
      </c>
      <c r="I186" s="1653">
        <f>SUM(J186:S186)</f>
        <v>55.649233799999998</v>
      </c>
      <c r="J186" s="1653"/>
      <c r="K186" s="1653">
        <f>1.9*1.39</f>
        <v>2.6409999999999996</v>
      </c>
      <c r="L186" s="1653">
        <f>(2.902-0.2988)*1.39</f>
        <v>3.6184479999999999</v>
      </c>
      <c r="M186" s="1653">
        <f>4.33322*1.39</f>
        <v>6.0231757999999997</v>
      </c>
      <c r="N186" s="1653">
        <f>+(39.57*1.39)*70%</f>
        <v>38.501609999999999</v>
      </c>
      <c r="O186" s="1653"/>
      <c r="P186" s="1655"/>
      <c r="Q186" s="1655"/>
      <c r="R186" s="1653"/>
      <c r="S186" s="1653">
        <f>+(2.9+0.6)*1.39</f>
        <v>4.8649999999999993</v>
      </c>
      <c r="T186" s="1653">
        <f>+(H186+K186+L186)*0.235</f>
        <v>82.803553780000001</v>
      </c>
      <c r="U186" s="1653">
        <f>V186+W186+AH186</f>
        <v>519.40851978000001</v>
      </c>
      <c r="V186" s="1653">
        <f>(291.56-42.57)*1.49</f>
        <v>370.99510000000004</v>
      </c>
      <c r="W186" s="1653">
        <f>SUM(X186:AG186)</f>
        <v>59.652775800000001</v>
      </c>
      <c r="X186" s="1653"/>
      <c r="Y186" s="1653">
        <f>1.9*1.49</f>
        <v>2.831</v>
      </c>
      <c r="Z186" s="1653">
        <f>(2.902-0.2988)*1.49</f>
        <v>3.8787680000000004</v>
      </c>
      <c r="AA186" s="1653">
        <f>4.33322*1.49</f>
        <v>6.4564978000000002</v>
      </c>
      <c r="AB186" s="1653">
        <f>+(39.57*1.49)*70%</f>
        <v>41.271509999999999</v>
      </c>
      <c r="AC186" s="1653"/>
      <c r="AD186" s="1655"/>
      <c r="AE186" s="1655"/>
      <c r="AF186" s="1653"/>
      <c r="AG186" s="1653">
        <f>+(2.9+0.6)*1.49</f>
        <v>5.2149999999999999</v>
      </c>
      <c r="AH186" s="1653">
        <f>+(V186+Y186+Z186)*0.235</f>
        <v>88.760643979999998</v>
      </c>
      <c r="AI186" s="1621">
        <f>U186-G186</f>
        <v>34.859632200000021</v>
      </c>
      <c r="AJ186" s="1366">
        <f t="shared" si="181"/>
        <v>418.31558640000026</v>
      </c>
      <c r="AK186" s="1448"/>
      <c r="AL186" s="1431">
        <f t="shared" si="163"/>
        <v>107.19424460431655</v>
      </c>
    </row>
    <row r="187" spans="1:38" s="1444" customFormat="1" ht="28.5" hidden="1" customHeight="1">
      <c r="A187" s="1375"/>
      <c r="B187" s="764" t="s">
        <v>2672</v>
      </c>
      <c r="C187" s="560">
        <f>C188+C189</f>
        <v>38</v>
      </c>
      <c r="D187" s="560">
        <f t="shared" ref="D187:AJ187" si="182">D188+D189</f>
        <v>28</v>
      </c>
      <c r="E187" s="560">
        <f t="shared" si="182"/>
        <v>10</v>
      </c>
      <c r="F187" s="560">
        <f t="shared" si="182"/>
        <v>35</v>
      </c>
      <c r="G187" s="1617">
        <f t="shared" si="182"/>
        <v>273.83292435149997</v>
      </c>
      <c r="H187" s="1617">
        <f t="shared" si="182"/>
        <v>171.72059999999999</v>
      </c>
      <c r="I187" s="1617">
        <f t="shared" si="182"/>
        <v>55.909775399999994</v>
      </c>
      <c r="J187" s="1617">
        <f t="shared" si="182"/>
        <v>0</v>
      </c>
      <c r="K187" s="1617">
        <f t="shared" si="182"/>
        <v>5.0039999999999996</v>
      </c>
      <c r="L187" s="1617">
        <f t="shared" si="182"/>
        <v>1.7133139999999998</v>
      </c>
      <c r="M187" s="1617">
        <f t="shared" si="182"/>
        <v>17.071507400000002</v>
      </c>
      <c r="N187" s="1617">
        <f t="shared" si="182"/>
        <v>0</v>
      </c>
      <c r="O187" s="1617">
        <f t="shared" si="182"/>
        <v>0</v>
      </c>
      <c r="P187" s="1617">
        <f t="shared" si="182"/>
        <v>11.364292499999999</v>
      </c>
      <c r="Q187" s="1617">
        <f t="shared" si="182"/>
        <v>0</v>
      </c>
      <c r="R187" s="1617">
        <f t="shared" si="182"/>
        <v>20.478661499999998</v>
      </c>
      <c r="S187" s="1617">
        <f t="shared" si="182"/>
        <v>0.27799999999999997</v>
      </c>
      <c r="T187" s="1617">
        <f t="shared" si="182"/>
        <v>46.202548951499992</v>
      </c>
      <c r="U187" s="1617">
        <f t="shared" si="182"/>
        <v>293.53313473650002</v>
      </c>
      <c r="V187" s="1617">
        <f t="shared" si="182"/>
        <v>184.0746</v>
      </c>
      <c r="W187" s="1617">
        <f t="shared" si="182"/>
        <v>59.932061399999995</v>
      </c>
      <c r="X187" s="1617">
        <f t="shared" si="182"/>
        <v>0</v>
      </c>
      <c r="Y187" s="1617">
        <f t="shared" si="182"/>
        <v>5.3639999999999999</v>
      </c>
      <c r="Z187" s="1617">
        <f t="shared" si="182"/>
        <v>1.8365739999999997</v>
      </c>
      <c r="AA187" s="1617">
        <f t="shared" si="182"/>
        <v>18.2996734</v>
      </c>
      <c r="AB187" s="1617">
        <f t="shared" si="182"/>
        <v>0</v>
      </c>
      <c r="AC187" s="1617">
        <f t="shared" si="182"/>
        <v>0</v>
      </c>
      <c r="AD187" s="1617">
        <f t="shared" si="182"/>
        <v>12.181867499999999</v>
      </c>
      <c r="AE187" s="1617">
        <f t="shared" si="182"/>
        <v>0</v>
      </c>
      <c r="AF187" s="1617">
        <f t="shared" si="182"/>
        <v>21.951946499999998</v>
      </c>
      <c r="AG187" s="1617">
        <f t="shared" si="182"/>
        <v>0.29799999999999999</v>
      </c>
      <c r="AH187" s="1617">
        <f t="shared" si="182"/>
        <v>49.526473336499997</v>
      </c>
      <c r="AI187" s="1617">
        <f t="shared" si="182"/>
        <v>19.70021038500002</v>
      </c>
      <c r="AJ187" s="1617">
        <f t="shared" si="182"/>
        <v>236.40252462000024</v>
      </c>
      <c r="AK187" s="1448">
        <f>AI187/F187</f>
        <v>0.56286315385714347</v>
      </c>
      <c r="AL187" s="1431">
        <f t="shared" si="163"/>
        <v>107.19424460431657</v>
      </c>
    </row>
    <row r="188" spans="1:38" s="1444" customFormat="1" ht="28.5" hidden="1" customHeight="1">
      <c r="A188" s="1375"/>
      <c r="B188" s="764" t="s">
        <v>2669</v>
      </c>
      <c r="C188" s="1483">
        <f>+D188+E188</f>
        <v>10</v>
      </c>
      <c r="D188" s="1483"/>
      <c r="E188" s="1483">
        <v>10</v>
      </c>
      <c r="F188" s="1483">
        <v>7</v>
      </c>
      <c r="G188" s="1653">
        <f>H188+I188+T188</f>
        <v>82.435785147499999</v>
      </c>
      <c r="H188" s="1653">
        <f>29.32*1.39</f>
        <v>40.754799999999996</v>
      </c>
      <c r="I188" s="1653">
        <f>SUM(J188:S188)</f>
        <v>29.466943599999997</v>
      </c>
      <c r="J188" s="1653"/>
      <c r="K188" s="1653">
        <f>2.8*1.39</f>
        <v>3.8919999999999995</v>
      </c>
      <c r="L188" s="1653">
        <f>(0.2842+0.2988)*1.39</f>
        <v>0.81036999999999992</v>
      </c>
      <c r="M188" s="1656">
        <f>(0.469+0.416+0.515+0.47442+0.55788+0.7575)*1.39</f>
        <v>4.4338219999999993</v>
      </c>
      <c r="N188" s="1653"/>
      <c r="O188" s="1653"/>
      <c r="P188" s="1655">
        <f>(H188+K188+L188)*0.25</f>
        <v>11.364292499999999</v>
      </c>
      <c r="Q188" s="1655"/>
      <c r="R188" s="1656">
        <f>(0.7072+1.1845+1.28093+1.56206+1.616)*1.39</f>
        <v>8.8274591000000004</v>
      </c>
      <c r="S188" s="1653">
        <f>0.1*1.39</f>
        <v>0.13899999999999998</v>
      </c>
      <c r="T188" s="1653">
        <f>(H188+K188+L188+R188)*0.225</f>
        <v>12.214041547499999</v>
      </c>
      <c r="U188" s="1653">
        <f>V188+W188+AH188</f>
        <v>88.366417172499993</v>
      </c>
      <c r="V188" s="1653">
        <f>29.32*1.49</f>
        <v>43.686799999999998</v>
      </c>
      <c r="W188" s="1653">
        <f>SUM(X188:AG188)</f>
        <v>31.586867599999998</v>
      </c>
      <c r="X188" s="1653"/>
      <c r="Y188" s="1653">
        <f>2.8*1.49</f>
        <v>4.1719999999999997</v>
      </c>
      <c r="Z188" s="1653">
        <f>(0.2842+0.2988)*1.49</f>
        <v>0.86866999999999994</v>
      </c>
      <c r="AA188" s="1656">
        <f>(0.469+0.416+0.515+0.47442+0.55788+0.7575)*1.49</f>
        <v>4.752802</v>
      </c>
      <c r="AB188" s="1653"/>
      <c r="AC188" s="1653"/>
      <c r="AD188" s="1655">
        <f>(V188+Y188+Z188)*0.25</f>
        <v>12.181867499999999</v>
      </c>
      <c r="AE188" s="1655"/>
      <c r="AF188" s="1656">
        <f>(0.7072+1.1845+1.28093+1.56206+1.616)*1.49</f>
        <v>9.4625281000000001</v>
      </c>
      <c r="AG188" s="1653">
        <f>0.1*1.49</f>
        <v>0.14899999999999999</v>
      </c>
      <c r="AH188" s="1653">
        <f>(V188+Y188+Z188+AF188)*0.225</f>
        <v>13.092749572499999</v>
      </c>
      <c r="AI188" s="1621">
        <f>U188-G188</f>
        <v>5.9306320249999942</v>
      </c>
      <c r="AJ188" s="1366">
        <f t="shared" ref="AJ188:AJ189" si="183">AI188*12</f>
        <v>71.16758429999993</v>
      </c>
      <c r="AK188" s="1448"/>
      <c r="AL188" s="1431">
        <f t="shared" si="163"/>
        <v>107.19424460431655</v>
      </c>
    </row>
    <row r="189" spans="1:38" s="1444" customFormat="1" ht="28.5" hidden="1" customHeight="1">
      <c r="A189" s="1375"/>
      <c r="B189" s="764" t="s">
        <v>2673</v>
      </c>
      <c r="C189" s="1483">
        <v>28</v>
      </c>
      <c r="D189" s="1483">
        <v>28</v>
      </c>
      <c r="E189" s="1483"/>
      <c r="F189" s="1483">
        <v>28</v>
      </c>
      <c r="G189" s="1653">
        <f>H189+I189+T189</f>
        <v>191.39713920399998</v>
      </c>
      <c r="H189" s="1653">
        <f>(123.54-29.32)*1.39</f>
        <v>130.9658</v>
      </c>
      <c r="I189" s="1653">
        <f>SUM(J189:S189)</f>
        <v>26.442831799999997</v>
      </c>
      <c r="J189" s="1653"/>
      <c r="K189" s="1653">
        <f>(3.6-2.8)*1.39</f>
        <v>1.1120000000000003</v>
      </c>
      <c r="L189" s="1653">
        <f>(1.2326-0.583)*1.39</f>
        <v>0.90294399999999986</v>
      </c>
      <c r="M189" s="1656">
        <f>(4.35966-3.1898+5.1405+2.7815)*1.39</f>
        <v>12.637685400000001</v>
      </c>
      <c r="N189" s="1653"/>
      <c r="O189" s="1653"/>
      <c r="P189" s="1655"/>
      <c r="Q189" s="1655"/>
      <c r="R189" s="1656">
        <f>(14.73285-6.35069)*1.39</f>
        <v>11.651202399999997</v>
      </c>
      <c r="S189" s="1653">
        <f>0.1*1.39</f>
        <v>0.13899999999999998</v>
      </c>
      <c r="T189" s="1653">
        <f>(H189+K189+L189+R189)*0.235</f>
        <v>33.988507403999989</v>
      </c>
      <c r="U189" s="1653">
        <f>V189+W189+AH189</f>
        <v>205.16671756400001</v>
      </c>
      <c r="V189" s="1653">
        <f>(123.54-29.32)*1.49</f>
        <v>140.3878</v>
      </c>
      <c r="W189" s="1653">
        <f>SUM(X189:AG189)</f>
        <v>28.345193800000001</v>
      </c>
      <c r="X189" s="1653"/>
      <c r="Y189" s="1653">
        <f>(3.6-2.8)*1.49</f>
        <v>1.1920000000000004</v>
      </c>
      <c r="Z189" s="1653">
        <f>(1.2326-0.583)*1.49</f>
        <v>0.96790399999999988</v>
      </c>
      <c r="AA189" s="1656">
        <f>(4.35966-3.1898+5.1405+2.7815)*1.49</f>
        <v>13.546871400000001</v>
      </c>
      <c r="AB189" s="1653"/>
      <c r="AC189" s="1653"/>
      <c r="AD189" s="1655"/>
      <c r="AE189" s="1655"/>
      <c r="AF189" s="1656">
        <f>(14.73285-6.35069)*1.49</f>
        <v>12.489418399999998</v>
      </c>
      <c r="AG189" s="1653">
        <f>0.1*1.49</f>
        <v>0.14899999999999999</v>
      </c>
      <c r="AH189" s="1653">
        <f>(V189+Y189+Z189+AF189)*0.235</f>
        <v>36.433723764</v>
      </c>
      <c r="AI189" s="1621">
        <f>U189-G189</f>
        <v>13.769578360000025</v>
      </c>
      <c r="AJ189" s="1366">
        <f t="shared" si="183"/>
        <v>165.23494032000031</v>
      </c>
      <c r="AK189" s="1448"/>
      <c r="AL189" s="1431">
        <f t="shared" si="163"/>
        <v>107.19424460431657</v>
      </c>
    </row>
    <row r="190" spans="1:38" s="1444" customFormat="1" ht="28.5" hidden="1" customHeight="1">
      <c r="A190" s="1375"/>
      <c r="B190" s="764" t="s">
        <v>2674</v>
      </c>
      <c r="C190" s="560">
        <f>C191+C192</f>
        <v>14</v>
      </c>
      <c r="D190" s="560">
        <f t="shared" ref="D190:AJ190" si="184">D191+D192</f>
        <v>0</v>
      </c>
      <c r="E190" s="560">
        <f t="shared" si="184"/>
        <v>14</v>
      </c>
      <c r="F190" s="560">
        <f t="shared" si="184"/>
        <v>12</v>
      </c>
      <c r="G190" s="1617">
        <f t="shared" si="184"/>
        <v>105.57883999999999</v>
      </c>
      <c r="H190" s="1617">
        <f t="shared" si="184"/>
        <v>67.359399999999994</v>
      </c>
      <c r="I190" s="1617">
        <f t="shared" si="184"/>
        <v>22.156599999999997</v>
      </c>
      <c r="J190" s="1617">
        <f t="shared" si="184"/>
        <v>0</v>
      </c>
      <c r="K190" s="1617">
        <f t="shared" si="184"/>
        <v>4.0309999999999997</v>
      </c>
      <c r="L190" s="1617">
        <f t="shared" si="184"/>
        <v>0</v>
      </c>
      <c r="M190" s="1617">
        <f t="shared" si="184"/>
        <v>0</v>
      </c>
      <c r="N190" s="1617">
        <f t="shared" si="184"/>
        <v>0</v>
      </c>
      <c r="O190" s="1617">
        <f t="shared" si="184"/>
        <v>0</v>
      </c>
      <c r="P190" s="1617">
        <f t="shared" si="184"/>
        <v>17.8476</v>
      </c>
      <c r="Q190" s="1617">
        <f t="shared" si="184"/>
        <v>0</v>
      </c>
      <c r="R190" s="1617">
        <f t="shared" si="184"/>
        <v>0</v>
      </c>
      <c r="S190" s="1617">
        <f t="shared" si="184"/>
        <v>0.27799999999999997</v>
      </c>
      <c r="T190" s="1617">
        <f t="shared" si="184"/>
        <v>16.062840000000001</v>
      </c>
      <c r="U190" s="1617">
        <f t="shared" si="184"/>
        <v>113.17443999999999</v>
      </c>
      <c r="V190" s="1617">
        <f t="shared" si="184"/>
        <v>72.205399999999997</v>
      </c>
      <c r="W190" s="1617">
        <f t="shared" si="184"/>
        <v>23.750599999999995</v>
      </c>
      <c r="X190" s="1617">
        <f t="shared" si="184"/>
        <v>0</v>
      </c>
      <c r="Y190" s="1617">
        <f t="shared" si="184"/>
        <v>4.3209999999999997</v>
      </c>
      <c r="Z190" s="1617">
        <f t="shared" si="184"/>
        <v>0</v>
      </c>
      <c r="AA190" s="1617">
        <f t="shared" si="184"/>
        <v>0</v>
      </c>
      <c r="AB190" s="1617">
        <f t="shared" si="184"/>
        <v>0</v>
      </c>
      <c r="AC190" s="1617">
        <f t="shared" si="184"/>
        <v>0</v>
      </c>
      <c r="AD190" s="1617">
        <f t="shared" si="184"/>
        <v>19.131599999999999</v>
      </c>
      <c r="AE190" s="1617">
        <f t="shared" si="184"/>
        <v>0</v>
      </c>
      <c r="AF190" s="1617">
        <f t="shared" si="184"/>
        <v>0</v>
      </c>
      <c r="AG190" s="1617">
        <f t="shared" si="184"/>
        <v>0.29799999999999999</v>
      </c>
      <c r="AH190" s="1617">
        <f t="shared" si="184"/>
        <v>17.218440000000001</v>
      </c>
      <c r="AI190" s="1617">
        <f t="shared" si="184"/>
        <v>7.5956000000000046</v>
      </c>
      <c r="AJ190" s="1617">
        <f t="shared" si="184"/>
        <v>91.147200000000055</v>
      </c>
      <c r="AK190" s="1448">
        <f>AI190/F190</f>
        <v>0.63296666666666701</v>
      </c>
      <c r="AL190" s="1431">
        <f t="shared" si="163"/>
        <v>107.19424460431655</v>
      </c>
    </row>
    <row r="191" spans="1:38" s="1444" customFormat="1" ht="28.5" hidden="1" customHeight="1">
      <c r="A191" s="1375"/>
      <c r="B191" s="764" t="s">
        <v>2669</v>
      </c>
      <c r="C191" s="1483">
        <f>+D191+E191</f>
        <v>14</v>
      </c>
      <c r="D191" s="1483"/>
      <c r="E191" s="1483">
        <v>14</v>
      </c>
      <c r="F191" s="1483">
        <v>12</v>
      </c>
      <c r="G191" s="1653">
        <f>H191+I191+T191</f>
        <v>105.57883999999999</v>
      </c>
      <c r="H191" s="1653">
        <f>(48.46)*1.39</f>
        <v>67.359399999999994</v>
      </c>
      <c r="I191" s="1653">
        <f>SUM(J191:S191)</f>
        <v>22.156599999999997</v>
      </c>
      <c r="J191" s="1653"/>
      <c r="K191" s="1653">
        <f>2.9*1.39</f>
        <v>4.0309999999999997</v>
      </c>
      <c r="L191" s="1653"/>
      <c r="M191" s="1653"/>
      <c r="N191" s="1653"/>
      <c r="O191" s="1653"/>
      <c r="P191" s="1655">
        <f>+(H191+K191)*0.25</f>
        <v>17.8476</v>
      </c>
      <c r="Q191" s="1655"/>
      <c r="R191" s="1653"/>
      <c r="S191" s="1653">
        <f>0.2*1.39</f>
        <v>0.27799999999999997</v>
      </c>
      <c r="T191" s="1653">
        <f>+(H191+K191)*0.225</f>
        <v>16.062840000000001</v>
      </c>
      <c r="U191" s="1653">
        <f>V191+W191+AH191</f>
        <v>113.17443999999999</v>
      </c>
      <c r="V191" s="1653">
        <f>(48.46)*1.49</f>
        <v>72.205399999999997</v>
      </c>
      <c r="W191" s="1653">
        <f>SUM(X191:AG191)</f>
        <v>23.750599999999995</v>
      </c>
      <c r="X191" s="1653"/>
      <c r="Y191" s="1653">
        <f>2.9*1.49</f>
        <v>4.3209999999999997</v>
      </c>
      <c r="Z191" s="1653"/>
      <c r="AA191" s="1653"/>
      <c r="AB191" s="1653"/>
      <c r="AC191" s="1653"/>
      <c r="AD191" s="1655">
        <f>+(V191+Y191)*0.25</f>
        <v>19.131599999999999</v>
      </c>
      <c r="AE191" s="1655"/>
      <c r="AF191" s="1653"/>
      <c r="AG191" s="1653">
        <f>0.2*1.49</f>
        <v>0.29799999999999999</v>
      </c>
      <c r="AH191" s="1653">
        <f>+(V191+Y191)*0.225</f>
        <v>17.218440000000001</v>
      </c>
      <c r="AI191" s="1621">
        <f>U191-G191</f>
        <v>7.5956000000000046</v>
      </c>
      <c r="AJ191" s="1366">
        <f t="shared" ref="AJ191:AJ192" si="185">AI191*12</f>
        <v>91.147200000000055</v>
      </c>
      <c r="AK191" s="1448"/>
      <c r="AL191" s="1431">
        <f t="shared" si="163"/>
        <v>107.19424460431655</v>
      </c>
    </row>
    <row r="192" spans="1:38" s="1444" customFormat="1" ht="28.5" hidden="1" customHeight="1">
      <c r="A192" s="1375"/>
      <c r="B192" s="764" t="s">
        <v>2670</v>
      </c>
      <c r="C192" s="1484">
        <f>+D192+E192</f>
        <v>0</v>
      </c>
      <c r="D192" s="1484"/>
      <c r="E192" s="1484"/>
      <c r="F192" s="1484"/>
      <c r="G192" s="1657">
        <f>H192+I192+T192</f>
        <v>0</v>
      </c>
      <c r="H192" s="1657"/>
      <c r="I192" s="1657">
        <f>SUM(J192:S192)</f>
        <v>0</v>
      </c>
      <c r="J192" s="1657"/>
      <c r="K192" s="1657"/>
      <c r="L192" s="1657"/>
      <c r="M192" s="1657"/>
      <c r="N192" s="1657"/>
      <c r="O192" s="1657"/>
      <c r="P192" s="1658"/>
      <c r="Q192" s="1658"/>
      <c r="R192" s="1657"/>
      <c r="S192" s="1657"/>
      <c r="T192" s="1657">
        <f>+(H192+K192)*0.235</f>
        <v>0</v>
      </c>
      <c r="U192" s="1657">
        <f>V192+W192+AH192</f>
        <v>0</v>
      </c>
      <c r="V192" s="1657"/>
      <c r="W192" s="1657">
        <f>SUM(X192:AG192)</f>
        <v>0</v>
      </c>
      <c r="X192" s="1657"/>
      <c r="Y192" s="1657"/>
      <c r="Z192" s="1657"/>
      <c r="AA192" s="1657"/>
      <c r="AB192" s="1657"/>
      <c r="AC192" s="1657"/>
      <c r="AD192" s="1658"/>
      <c r="AE192" s="1658"/>
      <c r="AF192" s="1657"/>
      <c r="AG192" s="1657"/>
      <c r="AH192" s="1657">
        <f>+(V192+Y192)*0.235</f>
        <v>0</v>
      </c>
      <c r="AI192" s="1621">
        <f>U192-G192</f>
        <v>0</v>
      </c>
      <c r="AJ192" s="1366">
        <f t="shared" si="185"/>
        <v>0</v>
      </c>
      <c r="AK192" s="1448"/>
      <c r="AL192" s="1431" t="e">
        <f t="shared" si="163"/>
        <v>#DIV/0!</v>
      </c>
    </row>
    <row r="193" spans="1:38" s="1444" customFormat="1" ht="28.5" hidden="1" customHeight="1">
      <c r="A193" s="1375"/>
      <c r="B193" s="764" t="s">
        <v>2675</v>
      </c>
      <c r="C193" s="560">
        <f>C194+C195</f>
        <v>21</v>
      </c>
      <c r="D193" s="560">
        <f t="shared" ref="D193:AJ193" si="186">D194+D195</f>
        <v>10</v>
      </c>
      <c r="E193" s="560">
        <f t="shared" si="186"/>
        <v>11</v>
      </c>
      <c r="F193" s="560">
        <f t="shared" si="186"/>
        <v>17</v>
      </c>
      <c r="G193" s="1617">
        <f t="shared" si="186"/>
        <v>116.89874284999999</v>
      </c>
      <c r="H193" s="1617">
        <f t="shared" si="186"/>
        <v>79.396799999999985</v>
      </c>
      <c r="I193" s="1617">
        <f t="shared" si="186"/>
        <v>18.2844075</v>
      </c>
      <c r="J193" s="1617">
        <f t="shared" si="186"/>
        <v>0</v>
      </c>
      <c r="K193" s="1617">
        <f t="shared" si="186"/>
        <v>3.7529999999999997</v>
      </c>
      <c r="L193" s="1617">
        <f t="shared" si="186"/>
        <v>0.89988599999999985</v>
      </c>
      <c r="M193" s="1617">
        <f t="shared" si="186"/>
        <v>0</v>
      </c>
      <c r="N193" s="1617">
        <f t="shared" si="186"/>
        <v>0</v>
      </c>
      <c r="O193" s="1617">
        <f t="shared" si="186"/>
        <v>0</v>
      </c>
      <c r="P193" s="1617">
        <f t="shared" si="186"/>
        <v>13.353521499999999</v>
      </c>
      <c r="Q193" s="1617">
        <f t="shared" si="186"/>
        <v>0</v>
      </c>
      <c r="R193" s="1617">
        <f t="shared" si="186"/>
        <v>0</v>
      </c>
      <c r="S193" s="1617">
        <f t="shared" si="186"/>
        <v>0.27799999999999997</v>
      </c>
      <c r="T193" s="1617">
        <f t="shared" si="186"/>
        <v>19.217535349999999</v>
      </c>
      <c r="U193" s="1617">
        <f t="shared" si="186"/>
        <v>125.30872435000001</v>
      </c>
      <c r="V193" s="1617">
        <f t="shared" si="186"/>
        <v>85.108800000000002</v>
      </c>
      <c r="W193" s="1617">
        <f t="shared" si="186"/>
        <v>19.599832500000002</v>
      </c>
      <c r="X193" s="1617">
        <f t="shared" si="186"/>
        <v>0</v>
      </c>
      <c r="Y193" s="1617">
        <f t="shared" si="186"/>
        <v>4.0229999999999997</v>
      </c>
      <c r="Z193" s="1617">
        <f t="shared" si="186"/>
        <v>0.96462599999999998</v>
      </c>
      <c r="AA193" s="1617">
        <f t="shared" si="186"/>
        <v>0</v>
      </c>
      <c r="AB193" s="1617">
        <f t="shared" si="186"/>
        <v>0</v>
      </c>
      <c r="AC193" s="1617">
        <f t="shared" si="186"/>
        <v>0</v>
      </c>
      <c r="AD193" s="1617">
        <f t="shared" si="186"/>
        <v>14.314206500000001</v>
      </c>
      <c r="AE193" s="1617">
        <f t="shared" si="186"/>
        <v>0</v>
      </c>
      <c r="AF193" s="1617">
        <f t="shared" si="186"/>
        <v>0</v>
      </c>
      <c r="AG193" s="1617">
        <f t="shared" si="186"/>
        <v>0.29799999999999999</v>
      </c>
      <c r="AH193" s="1617">
        <f t="shared" si="186"/>
        <v>20.600091849999998</v>
      </c>
      <c r="AI193" s="1617">
        <f t="shared" si="186"/>
        <v>8.4099815000000149</v>
      </c>
      <c r="AJ193" s="1617">
        <f t="shared" si="186"/>
        <v>100.91977800000018</v>
      </c>
      <c r="AK193" s="1448">
        <f>AI193/F193</f>
        <v>0.49470479411764795</v>
      </c>
      <c r="AL193" s="1431">
        <f t="shared" si="163"/>
        <v>107.19424460431657</v>
      </c>
    </row>
    <row r="194" spans="1:38" s="1444" customFormat="1" ht="28.5" hidden="1" customHeight="1">
      <c r="A194" s="1375"/>
      <c r="B194" s="764" t="s">
        <v>2676</v>
      </c>
      <c r="C194" s="1483">
        <f>+D194+E194</f>
        <v>11</v>
      </c>
      <c r="D194" s="1483"/>
      <c r="E194" s="1483">
        <v>11</v>
      </c>
      <c r="F194" s="1483">
        <v>10</v>
      </c>
      <c r="G194" s="1653">
        <f>H194+I194+T194</f>
        <v>78.924776849999986</v>
      </c>
      <c r="H194" s="1653">
        <f>(35.38)*1.39</f>
        <v>49.178199999999997</v>
      </c>
      <c r="I194" s="1653">
        <f>SUM(J194:S194)</f>
        <v>17.728407499999999</v>
      </c>
      <c r="J194" s="1653"/>
      <c r="K194" s="1653">
        <f>(2.4)*1.39</f>
        <v>3.3359999999999999</v>
      </c>
      <c r="L194" s="1653">
        <f>0.6474*1.39</f>
        <v>0.89988599999999985</v>
      </c>
      <c r="M194" s="1653"/>
      <c r="N194" s="1653"/>
      <c r="O194" s="1653"/>
      <c r="P194" s="1655">
        <f>(H194+K194+L194)*0.25</f>
        <v>13.353521499999999</v>
      </c>
      <c r="Q194" s="1655"/>
      <c r="R194" s="1653"/>
      <c r="S194" s="1653">
        <f>0.1*1.39</f>
        <v>0.13899999999999998</v>
      </c>
      <c r="T194" s="1653">
        <f>(H194+K194+L194+R194)*0.225</f>
        <v>12.018169349999999</v>
      </c>
      <c r="U194" s="1653">
        <f>V194+W194+AH194</f>
        <v>84.602818350000007</v>
      </c>
      <c r="V194" s="1653">
        <f>(35.38)*1.49</f>
        <v>52.716200000000001</v>
      </c>
      <c r="W194" s="1653">
        <f>SUM(X194:AG194)</f>
        <v>19.003832500000001</v>
      </c>
      <c r="X194" s="1653"/>
      <c r="Y194" s="1653">
        <f>(2.4)*1.49</f>
        <v>3.5760000000000001</v>
      </c>
      <c r="Z194" s="1653">
        <f>0.6474*1.49</f>
        <v>0.96462599999999998</v>
      </c>
      <c r="AA194" s="1653"/>
      <c r="AB194" s="1653"/>
      <c r="AC194" s="1653"/>
      <c r="AD194" s="1655">
        <f>(V194+Y194+Z194)*0.25</f>
        <v>14.314206500000001</v>
      </c>
      <c r="AE194" s="1655"/>
      <c r="AF194" s="1653"/>
      <c r="AG194" s="1653">
        <f>0.1*1.49</f>
        <v>0.14899999999999999</v>
      </c>
      <c r="AH194" s="1653">
        <f>(V194+Y194+Z194+AF194)*0.225</f>
        <v>12.882785850000001</v>
      </c>
      <c r="AI194" s="1621">
        <f>U194-G194</f>
        <v>5.6780415000000204</v>
      </c>
      <c r="AJ194" s="1366">
        <f t="shared" ref="AJ194:AJ195" si="187">AI194*12</f>
        <v>68.136498000000245</v>
      </c>
      <c r="AK194" s="1448"/>
      <c r="AL194" s="1431">
        <f t="shared" si="163"/>
        <v>107.19424460431657</v>
      </c>
    </row>
    <row r="195" spans="1:38" s="1444" customFormat="1" ht="28.5" hidden="1" customHeight="1">
      <c r="A195" s="1375"/>
      <c r="B195" s="764" t="s">
        <v>2677</v>
      </c>
      <c r="C195" s="1483">
        <f>+D195+E195</f>
        <v>10</v>
      </c>
      <c r="D195" s="1483">
        <v>10</v>
      </c>
      <c r="E195" s="1483"/>
      <c r="F195" s="1483">
        <v>7</v>
      </c>
      <c r="G195" s="1653">
        <f>H195+I195+T195</f>
        <v>37.973965999999997</v>
      </c>
      <c r="H195" s="1653">
        <f>21.74*1.39</f>
        <v>30.218599999999995</v>
      </c>
      <c r="I195" s="1653">
        <f>SUM(J195:S195)</f>
        <v>0.55599999999999994</v>
      </c>
      <c r="J195" s="1653"/>
      <c r="K195" s="1653">
        <f>0.3*1.39</f>
        <v>0.41699999999999998</v>
      </c>
      <c r="L195" s="1653"/>
      <c r="M195" s="1653"/>
      <c r="N195" s="1653"/>
      <c r="O195" s="1653"/>
      <c r="P195" s="1655"/>
      <c r="Q195" s="1655"/>
      <c r="R195" s="1653"/>
      <c r="S195" s="1653">
        <f>0.1*1.39</f>
        <v>0.13899999999999998</v>
      </c>
      <c r="T195" s="1653">
        <f>+(H195+K195)*0.235</f>
        <v>7.1993659999999986</v>
      </c>
      <c r="U195" s="1653">
        <f>V195+W195+AH195</f>
        <v>40.705905999999992</v>
      </c>
      <c r="V195" s="1653">
        <f>21.74*1.49</f>
        <v>32.392599999999995</v>
      </c>
      <c r="W195" s="1653">
        <f>SUM(X195:AG195)</f>
        <v>0.59599999999999997</v>
      </c>
      <c r="X195" s="1653"/>
      <c r="Y195" s="1653">
        <f>0.3*1.49</f>
        <v>0.44700000000000001</v>
      </c>
      <c r="Z195" s="1653"/>
      <c r="AA195" s="1653"/>
      <c r="AB195" s="1653"/>
      <c r="AC195" s="1653"/>
      <c r="AD195" s="1655"/>
      <c r="AE195" s="1655"/>
      <c r="AF195" s="1653"/>
      <c r="AG195" s="1653">
        <f>0.1*1.49</f>
        <v>0.14899999999999999</v>
      </c>
      <c r="AH195" s="1653">
        <f>+(V195+Y195)*0.235</f>
        <v>7.7173059999999989</v>
      </c>
      <c r="AI195" s="1621">
        <f>U195-G195</f>
        <v>2.7319399999999945</v>
      </c>
      <c r="AJ195" s="1366">
        <f t="shared" si="187"/>
        <v>32.783279999999934</v>
      </c>
      <c r="AK195" s="1448"/>
      <c r="AL195" s="1431">
        <f t="shared" si="163"/>
        <v>107.19424460431652</v>
      </c>
    </row>
    <row r="196" spans="1:38" s="1444" customFormat="1" ht="39" hidden="1" customHeight="1">
      <c r="A196" s="1375"/>
      <c r="B196" s="764" t="s">
        <v>2678</v>
      </c>
      <c r="C196" s="560">
        <f>C197+C198</f>
        <v>19</v>
      </c>
      <c r="D196" s="560">
        <f t="shared" ref="D196:AJ196" si="188">D197+D198</f>
        <v>13</v>
      </c>
      <c r="E196" s="560">
        <f t="shared" si="188"/>
        <v>6</v>
      </c>
      <c r="F196" s="560">
        <f t="shared" si="188"/>
        <v>17</v>
      </c>
      <c r="G196" s="1617">
        <f t="shared" si="188"/>
        <v>119.6298774</v>
      </c>
      <c r="H196" s="1617">
        <f t="shared" si="188"/>
        <v>85.234800000000007</v>
      </c>
      <c r="I196" s="1617">
        <f t="shared" si="188"/>
        <v>13.513579999999999</v>
      </c>
      <c r="J196" s="1617">
        <f t="shared" si="188"/>
        <v>0</v>
      </c>
      <c r="K196" s="1617">
        <f t="shared" si="188"/>
        <v>4.17</v>
      </c>
      <c r="L196" s="1617">
        <f t="shared" si="188"/>
        <v>0.83066399999999996</v>
      </c>
      <c r="M196" s="1617">
        <f t="shared" si="188"/>
        <v>0</v>
      </c>
      <c r="N196" s="1617">
        <f t="shared" si="188"/>
        <v>0</v>
      </c>
      <c r="O196" s="1617">
        <f t="shared" si="188"/>
        <v>0</v>
      </c>
      <c r="P196" s="1617">
        <f t="shared" si="188"/>
        <v>8.095915999999999</v>
      </c>
      <c r="Q196" s="1617">
        <f t="shared" si="188"/>
        <v>0</v>
      </c>
      <c r="R196" s="1617">
        <f t="shared" si="188"/>
        <v>0</v>
      </c>
      <c r="S196" s="1617">
        <f t="shared" si="188"/>
        <v>0.41699999999999993</v>
      </c>
      <c r="T196" s="1617">
        <f t="shared" si="188"/>
        <v>20.881497400000001</v>
      </c>
      <c r="U196" s="1617">
        <f t="shared" si="188"/>
        <v>128.23634340000001</v>
      </c>
      <c r="V196" s="1617">
        <f t="shared" si="188"/>
        <v>91.366800000000012</v>
      </c>
      <c r="W196" s="1617">
        <f t="shared" si="188"/>
        <v>14.48578</v>
      </c>
      <c r="X196" s="1617">
        <f t="shared" si="188"/>
        <v>0</v>
      </c>
      <c r="Y196" s="1617">
        <f t="shared" si="188"/>
        <v>4.47</v>
      </c>
      <c r="Z196" s="1617">
        <f t="shared" si="188"/>
        <v>0.89042399999999999</v>
      </c>
      <c r="AA196" s="1617">
        <f t="shared" si="188"/>
        <v>0</v>
      </c>
      <c r="AB196" s="1617">
        <f t="shared" si="188"/>
        <v>0</v>
      </c>
      <c r="AC196" s="1617">
        <f t="shared" si="188"/>
        <v>0</v>
      </c>
      <c r="AD196" s="1617">
        <f t="shared" si="188"/>
        <v>8.6783560000000008</v>
      </c>
      <c r="AE196" s="1617">
        <f t="shared" si="188"/>
        <v>0</v>
      </c>
      <c r="AF196" s="1617">
        <f t="shared" si="188"/>
        <v>0</v>
      </c>
      <c r="AG196" s="1617">
        <f t="shared" si="188"/>
        <v>0.44699999999999995</v>
      </c>
      <c r="AH196" s="1617">
        <f t="shared" si="188"/>
        <v>22.383763399999999</v>
      </c>
      <c r="AI196" s="1617">
        <f t="shared" si="188"/>
        <v>8.6064660000000046</v>
      </c>
      <c r="AJ196" s="1617">
        <f t="shared" si="188"/>
        <v>103.27759200000006</v>
      </c>
      <c r="AK196" s="1448">
        <f>AI196/F196</f>
        <v>0.50626270588235323</v>
      </c>
      <c r="AL196" s="1431">
        <f t="shared" si="163"/>
        <v>107.19424460431655</v>
      </c>
    </row>
    <row r="197" spans="1:38" s="1444" customFormat="1" ht="28.5" hidden="1" customHeight="1">
      <c r="A197" s="1375"/>
      <c r="B197" s="764" t="s">
        <v>2669</v>
      </c>
      <c r="C197" s="1485">
        <f>+D197+E197</f>
        <v>6</v>
      </c>
      <c r="D197" s="1485"/>
      <c r="E197" s="1485">
        <v>6</v>
      </c>
      <c r="F197" s="1485">
        <v>5</v>
      </c>
      <c r="G197" s="1653">
        <f>H197+I197+T197</f>
        <v>48.043904399999995</v>
      </c>
      <c r="H197" s="1653">
        <f>(4.98+4.74+3.33+3.99+3.66)*1.39</f>
        <v>28.772999999999996</v>
      </c>
      <c r="I197" s="1653">
        <f>SUM(J197:S197)</f>
        <v>11.984579999999999</v>
      </c>
      <c r="J197" s="1653"/>
      <c r="K197" s="1656">
        <f>+(0.5+0.7+0.3+0.2+0.3)*1.39</f>
        <v>2.78</v>
      </c>
      <c r="L197" s="1656">
        <f>0.5976*1.39</f>
        <v>0.83066399999999996</v>
      </c>
      <c r="M197" s="1653"/>
      <c r="N197" s="1653"/>
      <c r="O197" s="1653"/>
      <c r="P197" s="1655">
        <f>+(H197+K197+L197)*0.25</f>
        <v>8.095915999999999</v>
      </c>
      <c r="Q197" s="1655"/>
      <c r="R197" s="1653"/>
      <c r="S197" s="1656">
        <f>0.2*1.39</f>
        <v>0.27799999999999997</v>
      </c>
      <c r="T197" s="1653">
        <f>+(H197+L197+K197)*0.225</f>
        <v>7.2863243999999989</v>
      </c>
      <c r="U197" s="1653">
        <f>V197+W197+AH197</f>
        <v>51.5003004</v>
      </c>
      <c r="V197" s="1653">
        <f>(4.98+4.74+3.33+3.99+3.66)*1.49</f>
        <v>30.843</v>
      </c>
      <c r="W197" s="1653">
        <f>SUM(X197:AG197)</f>
        <v>12.846780000000001</v>
      </c>
      <c r="X197" s="1653"/>
      <c r="Y197" s="1656">
        <f>+(0.5+0.7+0.3+0.2+0.3)*1.49</f>
        <v>2.98</v>
      </c>
      <c r="Z197" s="1656">
        <f>0.5976*1.49</f>
        <v>0.89042399999999999</v>
      </c>
      <c r="AA197" s="1653"/>
      <c r="AB197" s="1653"/>
      <c r="AC197" s="1653"/>
      <c r="AD197" s="1655">
        <f>+(V197+Y197+Z197)*0.25</f>
        <v>8.6783560000000008</v>
      </c>
      <c r="AE197" s="1655"/>
      <c r="AF197" s="1653"/>
      <c r="AG197" s="1656">
        <f>0.2*1.49</f>
        <v>0.29799999999999999</v>
      </c>
      <c r="AH197" s="1653">
        <f>+(V197+Z197+Y197)*0.225</f>
        <v>7.8105203999999997</v>
      </c>
      <c r="AI197" s="1621">
        <f t="shared" ref="AI197:AI204" si="189">U197-G197</f>
        <v>3.4563960000000051</v>
      </c>
      <c r="AJ197" s="1366">
        <f t="shared" ref="AJ197:AJ198" si="190">AI197*12</f>
        <v>41.476752000000062</v>
      </c>
      <c r="AK197" s="1448"/>
      <c r="AL197" s="1431">
        <f t="shared" si="163"/>
        <v>107.19424460431657</v>
      </c>
    </row>
    <row r="198" spans="1:38" s="1444" customFormat="1" ht="28.5" hidden="1" customHeight="1">
      <c r="A198" s="1375"/>
      <c r="B198" s="764" t="s">
        <v>2670</v>
      </c>
      <c r="C198" s="1485">
        <f>+D198+E198</f>
        <v>13</v>
      </c>
      <c r="D198" s="1485">
        <v>13</v>
      </c>
      <c r="E198" s="1485"/>
      <c r="F198" s="1485">
        <v>12</v>
      </c>
      <c r="G198" s="1653">
        <f>H198+I198+T198</f>
        <v>71.58597300000001</v>
      </c>
      <c r="H198" s="1653">
        <f>(62.82-1.5-20.7)*1.39</f>
        <v>56.461800000000004</v>
      </c>
      <c r="I198" s="1653">
        <f>SUM(J198:S198)</f>
        <v>1.5289999999999999</v>
      </c>
      <c r="J198" s="1653"/>
      <c r="K198" s="1653">
        <f>1*1.39</f>
        <v>1.39</v>
      </c>
      <c r="L198" s="1653"/>
      <c r="M198" s="1653"/>
      <c r="N198" s="1653"/>
      <c r="O198" s="1653"/>
      <c r="P198" s="1655"/>
      <c r="Q198" s="1655"/>
      <c r="R198" s="1653"/>
      <c r="S198" s="1653">
        <f>0.1*1.39</f>
        <v>0.13899999999999998</v>
      </c>
      <c r="T198" s="1653">
        <f>+(H198+K198)*0.235</f>
        <v>13.595173000000001</v>
      </c>
      <c r="U198" s="1653">
        <f>V198+W198+AH198</f>
        <v>76.736043000000009</v>
      </c>
      <c r="V198" s="1653">
        <f>(62.82-1.5-20.7)*1.49</f>
        <v>60.523800000000008</v>
      </c>
      <c r="W198" s="1653">
        <f>SUM(X198:AG198)</f>
        <v>1.639</v>
      </c>
      <c r="X198" s="1653"/>
      <c r="Y198" s="1653">
        <f>1*1.49</f>
        <v>1.49</v>
      </c>
      <c r="Z198" s="1653"/>
      <c r="AA198" s="1653"/>
      <c r="AB198" s="1653"/>
      <c r="AC198" s="1653"/>
      <c r="AD198" s="1655"/>
      <c r="AE198" s="1655"/>
      <c r="AF198" s="1653"/>
      <c r="AG198" s="1653">
        <f>0.1*1.49</f>
        <v>0.14899999999999999</v>
      </c>
      <c r="AH198" s="1653">
        <f>+(V198+Y198)*0.235</f>
        <v>14.573243000000002</v>
      </c>
      <c r="AI198" s="1621">
        <f t="shared" si="189"/>
        <v>5.1500699999999995</v>
      </c>
      <c r="AJ198" s="1366">
        <f t="shared" si="190"/>
        <v>61.800839999999994</v>
      </c>
      <c r="AK198" s="1448"/>
      <c r="AL198" s="1431">
        <f t="shared" si="163"/>
        <v>107.19424460431655</v>
      </c>
    </row>
    <row r="199" spans="1:38" s="1444" customFormat="1" ht="28.5" hidden="1" customHeight="1">
      <c r="A199" s="1375"/>
      <c r="B199" s="764" t="s">
        <v>2679</v>
      </c>
      <c r="C199" s="1455"/>
      <c r="D199" s="1455"/>
      <c r="E199" s="1455"/>
      <c r="F199" s="1455"/>
      <c r="G199" s="1614">
        <f>H199+I199+T199</f>
        <v>0</v>
      </c>
      <c r="H199" s="1659"/>
      <c r="I199" s="1614">
        <f>SUM(J199:S199)</f>
        <v>0</v>
      </c>
      <c r="J199" s="1617"/>
      <c r="K199" s="1659"/>
      <c r="L199" s="1617"/>
      <c r="M199" s="1617"/>
      <c r="N199" s="1659"/>
      <c r="O199" s="1617"/>
      <c r="P199" s="1617"/>
      <c r="Q199" s="1617"/>
      <c r="R199" s="1617"/>
      <c r="S199" s="1659"/>
      <c r="T199" s="1659">
        <f>+(H199+K199+L199)*23.5%</f>
        <v>0</v>
      </c>
      <c r="U199" s="1614">
        <f>V199+W199+AH199</f>
        <v>0</v>
      </c>
      <c r="V199" s="1659"/>
      <c r="W199" s="1614">
        <f>SUM(X199:AG199)</f>
        <v>0</v>
      </c>
      <c r="X199" s="1617"/>
      <c r="Y199" s="1659"/>
      <c r="Z199" s="1617"/>
      <c r="AA199" s="1617"/>
      <c r="AB199" s="1659"/>
      <c r="AC199" s="1617"/>
      <c r="AD199" s="1617"/>
      <c r="AE199" s="1617"/>
      <c r="AF199" s="1617"/>
      <c r="AG199" s="1659"/>
      <c r="AH199" s="1659">
        <f>+(V199+Y199+Z199)*23.5%</f>
        <v>0</v>
      </c>
      <c r="AI199" s="1621">
        <f t="shared" si="189"/>
        <v>0</v>
      </c>
      <c r="AJ199" s="1621">
        <f>AI199*6</f>
        <v>0</v>
      </c>
      <c r="AK199" s="1448" t="e">
        <f t="shared" ref="AK199:AK205" si="191">AI199/F199</f>
        <v>#DIV/0!</v>
      </c>
      <c r="AL199" s="1431" t="e">
        <f t="shared" si="163"/>
        <v>#DIV/0!</v>
      </c>
    </row>
    <row r="200" spans="1:38" s="1444" customFormat="1" ht="28.5" hidden="1" customHeight="1">
      <c r="A200" s="1375"/>
      <c r="B200" s="764" t="s">
        <v>2680</v>
      </c>
      <c r="C200" s="1455"/>
      <c r="D200" s="1455"/>
      <c r="E200" s="1455"/>
      <c r="F200" s="1455"/>
      <c r="G200" s="1614">
        <f>H200+I200+T200</f>
        <v>0</v>
      </c>
      <c r="H200" s="1617"/>
      <c r="I200" s="1614">
        <f>SUM(J200:S200)</f>
        <v>0</v>
      </c>
      <c r="J200" s="1617"/>
      <c r="K200" s="1617"/>
      <c r="L200" s="1617"/>
      <c r="M200" s="1617"/>
      <c r="N200" s="1617"/>
      <c r="O200" s="1617"/>
      <c r="P200" s="1617"/>
      <c r="Q200" s="1617"/>
      <c r="R200" s="1617"/>
      <c r="S200" s="1617"/>
      <c r="T200" s="1659">
        <f>+(H200+K200+L200)*23.5%</f>
        <v>0</v>
      </c>
      <c r="U200" s="1614">
        <f>V200+W200+AH200</f>
        <v>0</v>
      </c>
      <c r="V200" s="1617"/>
      <c r="W200" s="1614">
        <f>SUM(X200:AG200)</f>
        <v>0</v>
      </c>
      <c r="X200" s="1617"/>
      <c r="Y200" s="1617"/>
      <c r="Z200" s="1617"/>
      <c r="AA200" s="1617"/>
      <c r="AB200" s="1617"/>
      <c r="AC200" s="1617"/>
      <c r="AD200" s="1617"/>
      <c r="AE200" s="1617"/>
      <c r="AF200" s="1617"/>
      <c r="AG200" s="1617"/>
      <c r="AH200" s="1659">
        <f>+(V200+Y200+Z200)*23.5%</f>
        <v>0</v>
      </c>
      <c r="AI200" s="1621">
        <f t="shared" si="189"/>
        <v>0</v>
      </c>
      <c r="AJ200" s="1366">
        <f t="shared" ref="AJ200:AJ204" si="192">AI200*12</f>
        <v>0</v>
      </c>
      <c r="AK200" s="1448" t="e">
        <f t="shared" si="191"/>
        <v>#DIV/0!</v>
      </c>
      <c r="AL200" s="1431" t="e">
        <f t="shared" si="163"/>
        <v>#DIV/0!</v>
      </c>
    </row>
    <row r="201" spans="1:38" s="1444" customFormat="1" ht="28.5" hidden="1" customHeight="1">
      <c r="A201" s="1375"/>
      <c r="B201" s="764" t="s">
        <v>2681</v>
      </c>
      <c r="C201" s="1483">
        <f>+D201+E201</f>
        <v>20</v>
      </c>
      <c r="D201" s="1483">
        <v>20</v>
      </c>
      <c r="E201" s="1483"/>
      <c r="F201" s="1483">
        <v>20</v>
      </c>
      <c r="G201" s="1653">
        <f>+H201+I201+T201</f>
        <v>126.87961004999997</v>
      </c>
      <c r="H201" s="1653">
        <f>+(73.16-2.76)*1.39</f>
        <v>97.85599999999998</v>
      </c>
      <c r="I201" s="1653">
        <f>+K201+L201+M201+N201+O201+P201+Q201+R201+S201</f>
        <v>5.8977699999999995</v>
      </c>
      <c r="J201" s="1653"/>
      <c r="K201" s="1653">
        <f>2.9*1.39</f>
        <v>4.0309999999999997</v>
      </c>
      <c r="L201" s="1653">
        <f>0.697*1.39</f>
        <v>0.96882999999999986</v>
      </c>
      <c r="M201" s="1653"/>
      <c r="N201" s="1653"/>
      <c r="O201" s="1653"/>
      <c r="P201" s="1655"/>
      <c r="Q201" s="1655"/>
      <c r="R201" s="1653"/>
      <c r="S201" s="1653">
        <f>+(0.2+0.446)*1.39</f>
        <v>0.89793999999999996</v>
      </c>
      <c r="T201" s="1653">
        <f>+(70.31-2.76+2.6+0.647)*1.39*0.235</f>
        <v>23.125840049999997</v>
      </c>
      <c r="U201" s="1653">
        <f>+V201+W201+AH201</f>
        <v>134.34391004999998</v>
      </c>
      <c r="V201" s="1653">
        <f>+(73.16-2.76)*1.49</f>
        <v>104.89599999999999</v>
      </c>
      <c r="W201" s="1653">
        <f>+Y201+Z201+AA201+AB201+AC201+AD201+AE201+AF201+AG201</f>
        <v>6.3220699999999992</v>
      </c>
      <c r="X201" s="1653"/>
      <c r="Y201" s="1653">
        <f>2.9*1.49</f>
        <v>4.3209999999999997</v>
      </c>
      <c r="Z201" s="1653">
        <f>0.697*1.49</f>
        <v>1.03853</v>
      </c>
      <c r="AA201" s="1653"/>
      <c r="AB201" s="1653"/>
      <c r="AC201" s="1653"/>
      <c r="AD201" s="1655"/>
      <c r="AE201" s="1655"/>
      <c r="AF201" s="1653"/>
      <c r="AG201" s="1653">
        <f>+(0.2+0.446)*1.49</f>
        <v>0.96254000000000006</v>
      </c>
      <c r="AH201" s="1653">
        <f>+(70.31-2.76+2.6+0.647)*1.39*0.235</f>
        <v>23.125840049999997</v>
      </c>
      <c r="AI201" s="1621">
        <f t="shared" si="189"/>
        <v>7.4643000000000086</v>
      </c>
      <c r="AJ201" s="1366">
        <f t="shared" si="192"/>
        <v>89.571600000000103</v>
      </c>
      <c r="AK201" s="1448">
        <f t="shared" si="191"/>
        <v>0.37321500000000041</v>
      </c>
      <c r="AL201" s="1431">
        <f t="shared" si="163"/>
        <v>105.88297835803446</v>
      </c>
    </row>
    <row r="202" spans="1:38" s="1444" customFormat="1" ht="28.5" hidden="1" customHeight="1">
      <c r="A202" s="1375"/>
      <c r="B202" s="764" t="s">
        <v>2682</v>
      </c>
      <c r="C202" s="1483">
        <f>+D202+E202</f>
        <v>6</v>
      </c>
      <c r="D202" s="1483">
        <v>6</v>
      </c>
      <c r="E202" s="1483"/>
      <c r="F202" s="1483">
        <v>6</v>
      </c>
      <c r="G202" s="1653">
        <f>H202+I202+T202</f>
        <v>28.273225499999995</v>
      </c>
      <c r="H202" s="1653">
        <f>16.47*1.39</f>
        <v>22.893299999999996</v>
      </c>
      <c r="I202" s="1653">
        <f>SUM(J202:S202)</f>
        <v>0</v>
      </c>
      <c r="J202" s="1653"/>
      <c r="K202" s="1653"/>
      <c r="L202" s="1653"/>
      <c r="M202" s="1653"/>
      <c r="N202" s="1653"/>
      <c r="O202" s="1653"/>
      <c r="P202" s="1655"/>
      <c r="Q202" s="1655"/>
      <c r="R202" s="1653"/>
      <c r="S202" s="1653"/>
      <c r="T202" s="1653">
        <f>+(H202+K202)*0.235</f>
        <v>5.3799254999999988</v>
      </c>
      <c r="U202" s="1653">
        <f>V202+W202+AH202</f>
        <v>30.307270499999998</v>
      </c>
      <c r="V202" s="1653">
        <f>16.47*1.49</f>
        <v>24.540299999999998</v>
      </c>
      <c r="W202" s="1653">
        <f>SUM(X202:AG202)</f>
        <v>0</v>
      </c>
      <c r="X202" s="1653"/>
      <c r="Y202" s="1653"/>
      <c r="Z202" s="1653"/>
      <c r="AA202" s="1653"/>
      <c r="AB202" s="1653"/>
      <c r="AC202" s="1653"/>
      <c r="AD202" s="1655"/>
      <c r="AE202" s="1655"/>
      <c r="AF202" s="1653"/>
      <c r="AG202" s="1653"/>
      <c r="AH202" s="1653">
        <f>+(V202+Y202)*0.235</f>
        <v>5.7669704999999993</v>
      </c>
      <c r="AI202" s="1621">
        <f t="shared" si="189"/>
        <v>2.0340450000000025</v>
      </c>
      <c r="AJ202" s="1366">
        <f t="shared" si="192"/>
        <v>24.408540000000031</v>
      </c>
      <c r="AK202" s="1448">
        <f t="shared" si="191"/>
        <v>0.33900750000000041</v>
      </c>
      <c r="AL202" s="1431">
        <f t="shared" si="163"/>
        <v>107.19424460431655</v>
      </c>
    </row>
    <row r="203" spans="1:38" s="1444" customFormat="1" ht="28.5" hidden="1" customHeight="1">
      <c r="A203" s="1375"/>
      <c r="B203" s="764" t="s">
        <v>2683</v>
      </c>
      <c r="C203" s="1455"/>
      <c r="D203" s="1455"/>
      <c r="E203" s="1455"/>
      <c r="F203" s="1455"/>
      <c r="G203" s="1614">
        <f>H203+I203+T203</f>
        <v>0</v>
      </c>
      <c r="H203" s="1659"/>
      <c r="I203" s="1614">
        <f>SUM(J203:S203)</f>
        <v>0</v>
      </c>
      <c r="J203" s="1617"/>
      <c r="K203" s="1659"/>
      <c r="L203" s="1659"/>
      <c r="M203" s="1617"/>
      <c r="N203" s="1617"/>
      <c r="O203" s="1617"/>
      <c r="P203" s="1617"/>
      <c r="Q203" s="1617"/>
      <c r="R203" s="1617"/>
      <c r="S203" s="1659"/>
      <c r="T203" s="1659">
        <f>+(H203+K203+L203)*23.5%</f>
        <v>0</v>
      </c>
      <c r="U203" s="1614">
        <f>V203+W203+AH203</f>
        <v>0</v>
      </c>
      <c r="V203" s="1659"/>
      <c r="W203" s="1614">
        <f>SUM(X203:AG203)</f>
        <v>0</v>
      </c>
      <c r="X203" s="1617"/>
      <c r="Y203" s="1659"/>
      <c r="Z203" s="1659"/>
      <c r="AA203" s="1617"/>
      <c r="AB203" s="1617"/>
      <c r="AC203" s="1617"/>
      <c r="AD203" s="1617"/>
      <c r="AE203" s="1617"/>
      <c r="AF203" s="1617"/>
      <c r="AG203" s="1659"/>
      <c r="AH203" s="1659">
        <f>+(V203+Y203+Z203)*23.5%</f>
        <v>0</v>
      </c>
      <c r="AI203" s="1621">
        <f t="shared" si="189"/>
        <v>0</v>
      </c>
      <c r="AJ203" s="1366">
        <f t="shared" si="192"/>
        <v>0</v>
      </c>
      <c r="AK203" s="1448" t="e">
        <f t="shared" si="191"/>
        <v>#DIV/0!</v>
      </c>
      <c r="AL203" s="1431" t="e">
        <f t="shared" si="163"/>
        <v>#DIV/0!</v>
      </c>
    </row>
    <row r="204" spans="1:38" s="1444" customFormat="1" ht="28.5" hidden="1" customHeight="1">
      <c r="A204" s="1375"/>
      <c r="B204" s="764" t="s">
        <v>2684</v>
      </c>
      <c r="C204" s="1455"/>
      <c r="D204" s="1455"/>
      <c r="E204" s="1455"/>
      <c r="F204" s="1455"/>
      <c r="G204" s="1614">
        <f>H204+I204+T204</f>
        <v>0</v>
      </c>
      <c r="H204" s="1617"/>
      <c r="I204" s="1614">
        <f>SUM(J204:S204)</f>
        <v>0</v>
      </c>
      <c r="J204" s="1617"/>
      <c r="K204" s="1617"/>
      <c r="L204" s="1617"/>
      <c r="M204" s="1617"/>
      <c r="N204" s="1617"/>
      <c r="O204" s="1617"/>
      <c r="P204" s="1617"/>
      <c r="Q204" s="1617"/>
      <c r="R204" s="1617"/>
      <c r="S204" s="1617"/>
      <c r="T204" s="1621"/>
      <c r="U204" s="1614">
        <f>V204+W204+AH204</f>
        <v>0</v>
      </c>
      <c r="V204" s="1617"/>
      <c r="W204" s="1614">
        <f>SUM(X204:AG204)</f>
        <v>0</v>
      </c>
      <c r="X204" s="1617"/>
      <c r="Y204" s="1617"/>
      <c r="Z204" s="1617"/>
      <c r="AA204" s="1617"/>
      <c r="AB204" s="1617"/>
      <c r="AC204" s="1617"/>
      <c r="AD204" s="1617"/>
      <c r="AE204" s="1617"/>
      <c r="AF204" s="1617"/>
      <c r="AG204" s="1617"/>
      <c r="AH204" s="1621"/>
      <c r="AI204" s="1621">
        <f t="shared" si="189"/>
        <v>0</v>
      </c>
      <c r="AJ204" s="1366">
        <f t="shared" si="192"/>
        <v>0</v>
      </c>
      <c r="AK204" s="1448" t="e">
        <f t="shared" si="191"/>
        <v>#DIV/0!</v>
      </c>
      <c r="AL204" s="1431" t="e">
        <f t="shared" si="163"/>
        <v>#DIV/0!</v>
      </c>
    </row>
    <row r="205" spans="1:38" s="1444" customFormat="1" ht="28.5" hidden="1" customHeight="1">
      <c r="A205" s="1375"/>
      <c r="B205" s="764" t="s">
        <v>2685</v>
      </c>
      <c r="C205" s="560">
        <f>C206+C207</f>
        <v>45</v>
      </c>
      <c r="D205" s="560">
        <f t="shared" ref="D205:AJ205" si="193">D206+D207</f>
        <v>0</v>
      </c>
      <c r="E205" s="560">
        <f t="shared" si="193"/>
        <v>45</v>
      </c>
      <c r="F205" s="560">
        <f t="shared" si="193"/>
        <v>43</v>
      </c>
      <c r="G205" s="1617">
        <f t="shared" si="193"/>
        <v>271.57694900000001</v>
      </c>
      <c r="H205" s="1617">
        <f t="shared" si="193"/>
        <v>203.7184</v>
      </c>
      <c r="I205" s="1617">
        <f t="shared" si="193"/>
        <v>18.973499999999998</v>
      </c>
      <c r="J205" s="1617">
        <f t="shared" si="193"/>
        <v>0</v>
      </c>
      <c r="K205" s="1617">
        <f t="shared" si="193"/>
        <v>6.2549999999999999</v>
      </c>
      <c r="L205" s="1617">
        <f t="shared" si="193"/>
        <v>0</v>
      </c>
      <c r="M205" s="1617">
        <f t="shared" si="193"/>
        <v>0</v>
      </c>
      <c r="N205" s="1617">
        <f t="shared" si="193"/>
        <v>0</v>
      </c>
      <c r="O205" s="1617">
        <f t="shared" si="193"/>
        <v>0</v>
      </c>
      <c r="P205" s="1617">
        <f t="shared" si="193"/>
        <v>11.467499999999999</v>
      </c>
      <c r="Q205" s="1617">
        <f t="shared" si="193"/>
        <v>0</v>
      </c>
      <c r="R205" s="1617">
        <f t="shared" si="193"/>
        <v>0</v>
      </c>
      <c r="S205" s="1617">
        <f t="shared" si="193"/>
        <v>1.2509999999999999</v>
      </c>
      <c r="T205" s="1617">
        <f t="shared" si="193"/>
        <v>48.885049000000009</v>
      </c>
      <c r="U205" s="1617">
        <f t="shared" si="193"/>
        <v>291.11485900000002</v>
      </c>
      <c r="V205" s="1617">
        <f t="shared" si="193"/>
        <v>218.37440000000001</v>
      </c>
      <c r="W205" s="1617">
        <f t="shared" si="193"/>
        <v>20.338500000000003</v>
      </c>
      <c r="X205" s="1617">
        <f t="shared" si="193"/>
        <v>0</v>
      </c>
      <c r="Y205" s="1617">
        <f t="shared" si="193"/>
        <v>6.7050000000000001</v>
      </c>
      <c r="Z205" s="1617">
        <f t="shared" si="193"/>
        <v>0</v>
      </c>
      <c r="AA205" s="1617">
        <f t="shared" si="193"/>
        <v>0</v>
      </c>
      <c r="AB205" s="1617">
        <f t="shared" si="193"/>
        <v>0</v>
      </c>
      <c r="AC205" s="1617">
        <f t="shared" si="193"/>
        <v>0</v>
      </c>
      <c r="AD205" s="1617">
        <f t="shared" si="193"/>
        <v>12.2925</v>
      </c>
      <c r="AE205" s="1617">
        <f t="shared" si="193"/>
        <v>0</v>
      </c>
      <c r="AF205" s="1617">
        <f t="shared" si="193"/>
        <v>0</v>
      </c>
      <c r="AG205" s="1617">
        <f t="shared" si="193"/>
        <v>1.341</v>
      </c>
      <c r="AH205" s="1617">
        <f t="shared" si="193"/>
        <v>52.401959000000005</v>
      </c>
      <c r="AI205" s="1617">
        <f t="shared" si="193"/>
        <v>19.537909999999982</v>
      </c>
      <c r="AJ205" s="1617">
        <f t="shared" si="193"/>
        <v>234.45491999999979</v>
      </c>
      <c r="AK205" s="1448">
        <f t="shared" si="191"/>
        <v>0.45436999999999961</v>
      </c>
      <c r="AL205" s="1431">
        <f t="shared" si="163"/>
        <v>107.19424460431655</v>
      </c>
    </row>
    <row r="206" spans="1:38" s="1444" customFormat="1" ht="28.5" hidden="1" customHeight="1">
      <c r="A206" s="1375"/>
      <c r="B206" s="764" t="s">
        <v>2669</v>
      </c>
      <c r="C206" s="1483">
        <f>+D206+E206</f>
        <v>9</v>
      </c>
      <c r="D206" s="1483"/>
      <c r="E206" s="1483">
        <v>9</v>
      </c>
      <c r="F206" s="1483">
        <v>8</v>
      </c>
      <c r="G206" s="1653">
        <f t="shared" ref="G206:G220" si="194">H206+I206+T206</f>
        <v>67.797250000000005</v>
      </c>
      <c r="H206" s="1653">
        <f>(3.99+3.99+3.33+3.99+3+3.99+4.32+3.99)*1.39</f>
        <v>42.533999999999999</v>
      </c>
      <c r="I206" s="1653">
        <f t="shared" ref="I206:I220" si="195">SUM(J206:S206)</f>
        <v>14.942499999999999</v>
      </c>
      <c r="J206" s="1653"/>
      <c r="K206" s="1653">
        <f>(0.7+0.5+0.3+0.3+0.3+0.3)*1.39</f>
        <v>3.3359999999999999</v>
      </c>
      <c r="L206" s="1653"/>
      <c r="M206" s="1653"/>
      <c r="N206" s="1653"/>
      <c r="O206" s="1653"/>
      <c r="P206" s="1655">
        <f>+(H206+K206)*0.25</f>
        <v>11.467499999999999</v>
      </c>
      <c r="Q206" s="1655"/>
      <c r="R206" s="1653"/>
      <c r="S206" s="1653">
        <f>(0.1)*1.39</f>
        <v>0.13899999999999998</v>
      </c>
      <c r="T206" s="1655">
        <f>+(H206+K206)*0.225</f>
        <v>10.32075</v>
      </c>
      <c r="U206" s="1653">
        <f t="shared" ref="U206:U220" si="196">V206+W206+AH206</f>
        <v>72.674750000000003</v>
      </c>
      <c r="V206" s="1653">
        <f>(3.99+3.99+3.33+3.99+3+3.99+4.32+3.99)*1.49</f>
        <v>45.594000000000001</v>
      </c>
      <c r="W206" s="1653">
        <f t="shared" ref="W206:W220" si="197">SUM(X206:AG206)</f>
        <v>16.017500000000002</v>
      </c>
      <c r="X206" s="1653"/>
      <c r="Y206" s="1653">
        <f>(0.7+0.5+0.3+0.3+0.3+0.3)*1.49</f>
        <v>3.5760000000000001</v>
      </c>
      <c r="Z206" s="1653"/>
      <c r="AA206" s="1653"/>
      <c r="AB206" s="1653"/>
      <c r="AC206" s="1653"/>
      <c r="AD206" s="1655">
        <f>+(V206+Y206)*0.25</f>
        <v>12.2925</v>
      </c>
      <c r="AE206" s="1655"/>
      <c r="AF206" s="1653"/>
      <c r="AG206" s="1653">
        <f>(0.1)*1.49</f>
        <v>0.14899999999999999</v>
      </c>
      <c r="AH206" s="1655">
        <f>+(V206+Y206)*0.225</f>
        <v>11.06325</v>
      </c>
      <c r="AI206" s="1621">
        <f t="shared" ref="AI206:AI220" si="198">U206-G206</f>
        <v>4.8774999999999977</v>
      </c>
      <c r="AJ206" s="1366">
        <f t="shared" ref="AJ206:AJ220" si="199">AI206*12</f>
        <v>58.529999999999973</v>
      </c>
      <c r="AK206" s="1448"/>
      <c r="AL206" s="1431">
        <f t="shared" si="163"/>
        <v>107.19424460431655</v>
      </c>
    </row>
    <row r="207" spans="1:38" s="1444" customFormat="1" ht="28.5" hidden="1" customHeight="1">
      <c r="A207" s="1375"/>
      <c r="B207" s="764" t="s">
        <v>2670</v>
      </c>
      <c r="C207" s="1483">
        <f>+D207+E207</f>
        <v>36</v>
      </c>
      <c r="D207" s="1483"/>
      <c r="E207" s="1483">
        <v>36</v>
      </c>
      <c r="F207" s="1483">
        <v>35</v>
      </c>
      <c r="G207" s="1653">
        <f t="shared" si="194"/>
        <v>203.77969900000002</v>
      </c>
      <c r="H207" s="1653">
        <f>(174.08-27.52-30.6)*1.39</f>
        <v>161.18440000000001</v>
      </c>
      <c r="I207" s="1653">
        <f t="shared" si="195"/>
        <v>4.0309999999999997</v>
      </c>
      <c r="J207" s="1653"/>
      <c r="K207" s="1653">
        <f>(4.5-2.4)*1.39</f>
        <v>2.919</v>
      </c>
      <c r="L207" s="1653"/>
      <c r="M207" s="1653"/>
      <c r="N207" s="1653"/>
      <c r="O207" s="1653"/>
      <c r="P207" s="1655"/>
      <c r="Q207" s="1655"/>
      <c r="R207" s="1653"/>
      <c r="S207" s="1653">
        <f>+(0.1+0.7)*1.39</f>
        <v>1.1119999999999999</v>
      </c>
      <c r="T207" s="1655">
        <f>+(H207+K207)*0.235</f>
        <v>38.564299000000005</v>
      </c>
      <c r="U207" s="1653">
        <f t="shared" si="196"/>
        <v>218.44010900000001</v>
      </c>
      <c r="V207" s="1653">
        <f>(174.08-27.52-30.6)*1.49</f>
        <v>172.78040000000001</v>
      </c>
      <c r="W207" s="1653">
        <f t="shared" si="197"/>
        <v>4.3209999999999997</v>
      </c>
      <c r="X207" s="1653"/>
      <c r="Y207" s="1653">
        <f>(4.5-2.4)*1.49</f>
        <v>3.129</v>
      </c>
      <c r="Z207" s="1653"/>
      <c r="AA207" s="1653"/>
      <c r="AB207" s="1653"/>
      <c r="AC207" s="1653"/>
      <c r="AD207" s="1655"/>
      <c r="AE207" s="1655"/>
      <c r="AF207" s="1653"/>
      <c r="AG207" s="1653">
        <f>+(0.1+0.7)*1.49</f>
        <v>1.1919999999999999</v>
      </c>
      <c r="AH207" s="1655">
        <f>+(V207+Y207)*0.235</f>
        <v>41.338709000000001</v>
      </c>
      <c r="AI207" s="1621">
        <f t="shared" si="198"/>
        <v>14.660409999999985</v>
      </c>
      <c r="AJ207" s="1366">
        <f t="shared" si="199"/>
        <v>175.92491999999982</v>
      </c>
      <c r="AK207" s="1448"/>
      <c r="AL207" s="1431">
        <f t="shared" si="163"/>
        <v>107.19424460431655</v>
      </c>
    </row>
    <row r="208" spans="1:38" s="1444" customFormat="1" ht="28.5" hidden="1" customHeight="1">
      <c r="A208" s="1375"/>
      <c r="B208" s="764" t="s">
        <v>2686</v>
      </c>
      <c r="C208" s="1455"/>
      <c r="D208" s="1455"/>
      <c r="E208" s="1455"/>
      <c r="F208" s="1455"/>
      <c r="G208" s="1614">
        <f t="shared" si="194"/>
        <v>0</v>
      </c>
      <c r="H208" s="1617"/>
      <c r="I208" s="1614">
        <f t="shared" si="195"/>
        <v>0</v>
      </c>
      <c r="J208" s="1617"/>
      <c r="K208" s="1617"/>
      <c r="L208" s="1617"/>
      <c r="M208" s="1617"/>
      <c r="N208" s="1617"/>
      <c r="O208" s="1617"/>
      <c r="P208" s="1617"/>
      <c r="Q208" s="1617"/>
      <c r="R208" s="1617"/>
      <c r="S208" s="1617"/>
      <c r="T208" s="1621"/>
      <c r="U208" s="1614">
        <f t="shared" si="196"/>
        <v>0</v>
      </c>
      <c r="V208" s="1617"/>
      <c r="W208" s="1614">
        <f t="shared" si="197"/>
        <v>0</v>
      </c>
      <c r="X208" s="1617"/>
      <c r="Y208" s="1617"/>
      <c r="Z208" s="1617"/>
      <c r="AA208" s="1617"/>
      <c r="AB208" s="1617"/>
      <c r="AC208" s="1617"/>
      <c r="AD208" s="1617"/>
      <c r="AE208" s="1617"/>
      <c r="AF208" s="1617"/>
      <c r="AG208" s="1617"/>
      <c r="AH208" s="1621"/>
      <c r="AI208" s="1621">
        <f t="shared" si="198"/>
        <v>0</v>
      </c>
      <c r="AJ208" s="1366">
        <f t="shared" si="199"/>
        <v>0</v>
      </c>
      <c r="AK208" s="1448" t="e">
        <f t="shared" ref="AK208:AK243" si="200">AI208/F208</f>
        <v>#DIV/0!</v>
      </c>
      <c r="AL208" s="1431" t="e">
        <f t="shared" si="163"/>
        <v>#DIV/0!</v>
      </c>
    </row>
    <row r="209" spans="1:38" s="1444" customFormat="1" ht="28.5" hidden="1" customHeight="1">
      <c r="A209" s="1375"/>
      <c r="B209" s="764" t="s">
        <v>2687</v>
      </c>
      <c r="C209" s="1486">
        <f>+D209+E209</f>
        <v>107</v>
      </c>
      <c r="D209" s="1486">
        <v>107</v>
      </c>
      <c r="E209" s="1486"/>
      <c r="F209" s="1486">
        <v>89</v>
      </c>
      <c r="G209" s="1653">
        <f t="shared" si="194"/>
        <v>573.58912950000001</v>
      </c>
      <c r="H209" s="1653">
        <f>289.23*1.39</f>
        <v>402.02969999999999</v>
      </c>
      <c r="I209" s="1653">
        <f t="shared" si="195"/>
        <v>77.082449999999994</v>
      </c>
      <c r="J209" s="1653"/>
      <c r="K209" s="1653"/>
      <c r="L209" s="1653"/>
      <c r="M209" s="1653"/>
      <c r="N209" s="1660">
        <f>+(55.65*1.39)*70%</f>
        <v>54.147449999999992</v>
      </c>
      <c r="O209" s="1660">
        <f>33*0.5*1.39</f>
        <v>22.934999999999999</v>
      </c>
      <c r="P209" s="1655"/>
      <c r="Q209" s="1655"/>
      <c r="R209" s="1653"/>
      <c r="S209" s="1653"/>
      <c r="T209" s="1653">
        <f>(H209+K209+L209+R209)*0.235</f>
        <v>94.476979499999999</v>
      </c>
      <c r="U209" s="1653">
        <f t="shared" si="196"/>
        <v>613.20453450000002</v>
      </c>
      <c r="V209" s="1653">
        <f>289.23*1.49</f>
        <v>430.95270000000005</v>
      </c>
      <c r="W209" s="1653">
        <f t="shared" si="197"/>
        <v>80.977949999999993</v>
      </c>
      <c r="X209" s="1653"/>
      <c r="Y209" s="1653"/>
      <c r="Z209" s="1653"/>
      <c r="AA209" s="1653"/>
      <c r="AB209" s="1660">
        <f>+(55.65*1.49)*70%</f>
        <v>58.04294999999999</v>
      </c>
      <c r="AC209" s="1660">
        <f>33*0.5*1.39</f>
        <v>22.934999999999999</v>
      </c>
      <c r="AD209" s="1655"/>
      <c r="AE209" s="1655"/>
      <c r="AF209" s="1653"/>
      <c r="AG209" s="1653"/>
      <c r="AH209" s="1653">
        <f>(V209+Y209+Z209+AF209)*0.235</f>
        <v>101.27388450000001</v>
      </c>
      <c r="AI209" s="1621">
        <f t="shared" si="198"/>
        <v>39.61540500000001</v>
      </c>
      <c r="AJ209" s="1366">
        <f t="shared" si="199"/>
        <v>475.38486000000012</v>
      </c>
      <c r="AK209" s="1448">
        <f t="shared" si="200"/>
        <v>0.44511691011235965</v>
      </c>
      <c r="AL209" s="1431">
        <f t="shared" si="163"/>
        <v>106.90658224895806</v>
      </c>
    </row>
    <row r="210" spans="1:38" s="1444" customFormat="1" ht="39" hidden="1" customHeight="1">
      <c r="A210" s="1375">
        <v>19</v>
      </c>
      <c r="B210" s="764" t="s">
        <v>2688</v>
      </c>
      <c r="C210" s="1486">
        <f>+D210+E210</f>
        <v>27</v>
      </c>
      <c r="D210" s="1476">
        <v>26</v>
      </c>
      <c r="E210" s="1476">
        <v>1</v>
      </c>
      <c r="F210" s="1476">
        <v>27</v>
      </c>
      <c r="G210" s="1637">
        <f t="shared" si="194"/>
        <v>152.77064999999999</v>
      </c>
      <c r="H210" s="1638">
        <f>6.59+112.41</f>
        <v>119</v>
      </c>
      <c r="I210" s="1637">
        <f t="shared" si="195"/>
        <v>5</v>
      </c>
      <c r="J210" s="1638"/>
      <c r="K210" s="1638">
        <f>0.97+2.78</f>
        <v>3.75</v>
      </c>
      <c r="L210" s="1661"/>
      <c r="M210" s="1638"/>
      <c r="N210" s="1638"/>
      <c r="O210" s="1638"/>
      <c r="P210" s="1638"/>
      <c r="Q210" s="1638">
        <v>0.42</v>
      </c>
      <c r="R210" s="1638"/>
      <c r="S210" s="1638">
        <v>0.83</v>
      </c>
      <c r="T210" s="1621">
        <f>(6.59+0.97)*22.5%+(112.41+2.78)*23.5%</f>
        <v>28.77065</v>
      </c>
      <c r="U210" s="1637">
        <f t="shared" si="196"/>
        <v>163.74795</v>
      </c>
      <c r="V210" s="1638">
        <f>7.06+120.49</f>
        <v>127.55</v>
      </c>
      <c r="W210" s="1637">
        <f>SUM(X210:AG210)</f>
        <v>5.3599999999999994</v>
      </c>
      <c r="X210" s="1638"/>
      <c r="Y210" s="1638">
        <f>1.04+2.98</f>
        <v>4.0199999999999996</v>
      </c>
      <c r="Z210" s="1661"/>
      <c r="AA210" s="1638"/>
      <c r="AB210" s="1638"/>
      <c r="AC210" s="1638"/>
      <c r="AD210" s="1638"/>
      <c r="AE210" s="1638">
        <v>0.45</v>
      </c>
      <c r="AF210" s="1638"/>
      <c r="AG210" s="1638">
        <v>0.89</v>
      </c>
      <c r="AH210" s="1621">
        <f>(7.06+1.04)*22.5%+(120.49+2.98)*23.5%</f>
        <v>30.837949999999999</v>
      </c>
      <c r="AI210" s="1621">
        <f t="shared" si="198"/>
        <v>10.977300000000014</v>
      </c>
      <c r="AJ210" s="1366">
        <f t="shared" si="199"/>
        <v>131.72760000000017</v>
      </c>
      <c r="AK210" s="1448">
        <f t="shared" si="200"/>
        <v>0.40656666666666719</v>
      </c>
      <c r="AL210" s="1431">
        <f t="shared" si="163"/>
        <v>107.18547705334763</v>
      </c>
    </row>
    <row r="211" spans="1:38" s="1444" customFormat="1" ht="35.25" hidden="1" customHeight="1">
      <c r="A211" s="1375">
        <v>20</v>
      </c>
      <c r="B211" s="764" t="s">
        <v>2689</v>
      </c>
      <c r="C211" s="1487">
        <f>+D211+E211</f>
        <v>4</v>
      </c>
      <c r="D211" s="1476">
        <v>4</v>
      </c>
      <c r="E211" s="1476"/>
      <c r="F211" s="1476">
        <v>4</v>
      </c>
      <c r="G211" s="1637">
        <f t="shared" si="194"/>
        <v>30.748537499999998</v>
      </c>
      <c r="H211" s="1659">
        <f>1.39*16.95</f>
        <v>23.560499999999998</v>
      </c>
      <c r="I211" s="1637">
        <f t="shared" si="195"/>
        <v>1.39</v>
      </c>
      <c r="J211" s="1638"/>
      <c r="K211" s="1662">
        <f>1.39*0.5</f>
        <v>0.69499999999999995</v>
      </c>
      <c r="L211" s="1662">
        <f>1.39*0.3</f>
        <v>0.41699999999999998</v>
      </c>
      <c r="M211" s="1638"/>
      <c r="N211" s="1638"/>
      <c r="O211" s="1638"/>
      <c r="P211" s="1638"/>
      <c r="Q211" s="1638"/>
      <c r="R211" s="1638"/>
      <c r="S211" s="1662">
        <f>1.39*0.2</f>
        <v>0.27799999999999997</v>
      </c>
      <c r="T211" s="1621">
        <f>(H211+K211+L211)*23.5%</f>
        <v>5.7980374999999995</v>
      </c>
      <c r="U211" s="1637">
        <f t="shared" si="196"/>
        <v>32.408617499999998</v>
      </c>
      <c r="V211" s="1659">
        <f>1.49*16.95</f>
        <v>25.255499999999998</v>
      </c>
      <c r="W211" s="1637">
        <f t="shared" si="197"/>
        <v>1.0429999999999999</v>
      </c>
      <c r="X211" s="1638"/>
      <c r="Y211" s="1662">
        <f>1.49*0.5</f>
        <v>0.745</v>
      </c>
      <c r="Z211" s="1638"/>
      <c r="AA211" s="1638"/>
      <c r="AB211" s="1638"/>
      <c r="AC211" s="1638"/>
      <c r="AD211" s="1638"/>
      <c r="AE211" s="1638"/>
      <c r="AF211" s="1638"/>
      <c r="AG211" s="1662">
        <f>1.49*0.2</f>
        <v>0.29799999999999999</v>
      </c>
      <c r="AH211" s="1621">
        <f>(V211+Y211+Z211)*23.5%</f>
        <v>6.1101174999999994</v>
      </c>
      <c r="AI211" s="1621">
        <f t="shared" si="198"/>
        <v>1.6600800000000007</v>
      </c>
      <c r="AJ211" s="1366">
        <f t="shared" si="199"/>
        <v>19.920960000000008</v>
      </c>
      <c r="AK211" s="1448">
        <f t="shared" si="200"/>
        <v>0.41502000000000017</v>
      </c>
      <c r="AL211" s="1431">
        <f t="shared" si="163"/>
        <v>105.39889092286097</v>
      </c>
    </row>
    <row r="212" spans="1:38" s="1444" customFormat="1" ht="47.25" hidden="1" customHeight="1">
      <c r="A212" s="1375">
        <v>21</v>
      </c>
      <c r="B212" s="764" t="s">
        <v>2690</v>
      </c>
      <c r="C212" s="1455">
        <f t="shared" ref="C212:C216" si="201">D212+E212</f>
        <v>8</v>
      </c>
      <c r="D212" s="1455">
        <v>8</v>
      </c>
      <c r="E212" s="1455"/>
      <c r="F212" s="1455">
        <v>5</v>
      </c>
      <c r="G212" s="1614">
        <f t="shared" si="194"/>
        <v>26.594244499999995</v>
      </c>
      <c r="H212" s="1617">
        <f>15.33*1.39</f>
        <v>21.308699999999998</v>
      </c>
      <c r="I212" s="1614">
        <f t="shared" si="195"/>
        <v>0.27799999999999997</v>
      </c>
      <c r="J212" s="1617"/>
      <c r="K212" s="1617"/>
      <c r="L212" s="1617"/>
      <c r="M212" s="1617"/>
      <c r="N212" s="1617"/>
      <c r="O212" s="1617"/>
      <c r="P212" s="1617"/>
      <c r="Q212" s="1617"/>
      <c r="R212" s="1617"/>
      <c r="S212" s="1617">
        <f>0.2*1.39</f>
        <v>0.27799999999999997</v>
      </c>
      <c r="T212" s="1621">
        <f>(H212+K212)*23.5%</f>
        <v>5.007544499999999</v>
      </c>
      <c r="U212" s="1614">
        <f t="shared" si="196"/>
        <v>28.507499499999998</v>
      </c>
      <c r="V212" s="1617">
        <f>15.33*1.49</f>
        <v>22.841699999999999</v>
      </c>
      <c r="W212" s="1614">
        <f t="shared" si="197"/>
        <v>0.29799999999999999</v>
      </c>
      <c r="X212" s="1617"/>
      <c r="Y212" s="1617"/>
      <c r="Z212" s="1617"/>
      <c r="AA212" s="1617"/>
      <c r="AB212" s="1617"/>
      <c r="AC212" s="1617"/>
      <c r="AD212" s="1617"/>
      <c r="AE212" s="1617"/>
      <c r="AF212" s="1617"/>
      <c r="AG212" s="1617">
        <f>0.2*1.49</f>
        <v>0.29799999999999999</v>
      </c>
      <c r="AH212" s="1621">
        <f>(V212+Y212)*23.5%</f>
        <v>5.3677994999999994</v>
      </c>
      <c r="AI212" s="1621">
        <f t="shared" si="198"/>
        <v>1.913255000000003</v>
      </c>
      <c r="AJ212" s="1366">
        <f t="shared" si="199"/>
        <v>22.959060000000036</v>
      </c>
      <c r="AK212" s="1448">
        <f t="shared" si="200"/>
        <v>0.38265100000000063</v>
      </c>
      <c r="AL212" s="1431">
        <f t="shared" si="163"/>
        <v>107.19424460431657</v>
      </c>
    </row>
    <row r="213" spans="1:38" s="1444" customFormat="1" ht="47.25" hidden="1" customHeight="1">
      <c r="A213" s="1375">
        <v>22</v>
      </c>
      <c r="B213" s="764" t="s">
        <v>2691</v>
      </c>
      <c r="C213" s="560">
        <v>28</v>
      </c>
      <c r="D213" s="560"/>
      <c r="E213" s="560"/>
      <c r="F213" s="560">
        <v>28</v>
      </c>
      <c r="G213" s="1614">
        <v>146.29089350000001</v>
      </c>
      <c r="H213" s="1663">
        <v>113.2989</v>
      </c>
      <c r="I213" s="1620">
        <v>5.2819999999999991</v>
      </c>
      <c r="J213" s="1663"/>
      <c r="K213" s="1663">
        <v>5.0039999999999996</v>
      </c>
      <c r="L213" s="1663"/>
      <c r="M213" s="1663"/>
      <c r="N213" s="1663"/>
      <c r="O213" s="1663"/>
      <c r="P213" s="1663"/>
      <c r="Q213" s="1663"/>
      <c r="R213" s="1663"/>
      <c r="S213" s="1663">
        <v>0.27799999999999997</v>
      </c>
      <c r="T213" s="1663">
        <v>27.709993500000003</v>
      </c>
      <c r="U213" s="1620">
        <v>161.38555049999999</v>
      </c>
      <c r="V213" s="1663">
        <v>125.14509999999999</v>
      </c>
      <c r="W213" s="1620">
        <v>5.6619999999999999</v>
      </c>
      <c r="X213" s="1663"/>
      <c r="Y213" s="1663">
        <v>5.3639999999999999</v>
      </c>
      <c r="Z213" s="1663"/>
      <c r="AA213" s="1663"/>
      <c r="AB213" s="1663"/>
      <c r="AC213" s="1663"/>
      <c r="AD213" s="1663"/>
      <c r="AE213" s="1663"/>
      <c r="AF213" s="1663"/>
      <c r="AG213" s="1663">
        <v>0.29799999999999999</v>
      </c>
      <c r="AH213" s="1664">
        <v>30.578450499999995</v>
      </c>
      <c r="AI213" s="1621">
        <f t="shared" si="198"/>
        <v>15.094656999999984</v>
      </c>
      <c r="AJ213" s="1366">
        <f t="shared" si="199"/>
        <v>181.13588399999981</v>
      </c>
      <c r="AK213" s="1448">
        <f t="shared" si="200"/>
        <v>0.53909489285714229</v>
      </c>
      <c r="AL213" s="1431">
        <f t="shared" si="163"/>
        <v>110.31824786824478</v>
      </c>
    </row>
    <row r="214" spans="1:38" s="1444" customFormat="1" ht="47.25" hidden="1" customHeight="1">
      <c r="A214" s="1375">
        <v>23</v>
      </c>
      <c r="B214" s="764" t="s">
        <v>2692</v>
      </c>
      <c r="C214" s="1367">
        <f t="shared" si="201"/>
        <v>0</v>
      </c>
      <c r="D214" s="1455"/>
      <c r="E214" s="1455"/>
      <c r="F214" s="1455"/>
      <c r="G214" s="1614">
        <f t="shared" si="194"/>
        <v>0</v>
      </c>
      <c r="H214" s="1617"/>
      <c r="I214" s="1614">
        <f t="shared" si="195"/>
        <v>0</v>
      </c>
      <c r="J214" s="1617"/>
      <c r="K214" s="1617"/>
      <c r="L214" s="1617"/>
      <c r="M214" s="1617"/>
      <c r="N214" s="1617"/>
      <c r="O214" s="1617"/>
      <c r="P214" s="1617"/>
      <c r="Q214" s="1617"/>
      <c r="R214" s="1617"/>
      <c r="S214" s="1617"/>
      <c r="T214" s="1621">
        <f>(H214+K214+L214)*23.5%</f>
        <v>0</v>
      </c>
      <c r="U214" s="1614">
        <f t="shared" si="196"/>
        <v>0</v>
      </c>
      <c r="V214" s="1617"/>
      <c r="W214" s="1614">
        <f t="shared" si="197"/>
        <v>0</v>
      </c>
      <c r="X214" s="1617"/>
      <c r="Y214" s="1617"/>
      <c r="Z214" s="1617"/>
      <c r="AA214" s="1617"/>
      <c r="AB214" s="1617"/>
      <c r="AC214" s="1617"/>
      <c r="AD214" s="1617"/>
      <c r="AE214" s="1617"/>
      <c r="AF214" s="1617"/>
      <c r="AG214" s="1617"/>
      <c r="AH214" s="1621">
        <f>(V214+Y214+Z214)*23.5%</f>
        <v>0</v>
      </c>
      <c r="AI214" s="1621">
        <f t="shared" si="198"/>
        <v>0</v>
      </c>
      <c r="AJ214" s="1366">
        <f t="shared" si="199"/>
        <v>0</v>
      </c>
      <c r="AK214" s="1448" t="e">
        <f t="shared" si="200"/>
        <v>#DIV/0!</v>
      </c>
      <c r="AL214" s="1431" t="e">
        <f t="shared" si="163"/>
        <v>#DIV/0!</v>
      </c>
    </row>
    <row r="215" spans="1:38" s="1444" customFormat="1" ht="47.25" hidden="1" customHeight="1">
      <c r="A215" s="1375">
        <v>24</v>
      </c>
      <c r="B215" s="1488" t="s">
        <v>3441</v>
      </c>
      <c r="C215" s="1455">
        <f t="shared" si="201"/>
        <v>15</v>
      </c>
      <c r="D215" s="1455">
        <v>15</v>
      </c>
      <c r="E215" s="1455"/>
      <c r="F215" s="1455">
        <v>15</v>
      </c>
      <c r="G215" s="1614">
        <f t="shared" si="194"/>
        <v>100.66769199999999</v>
      </c>
      <c r="H215" s="1617">
        <f>(5.42+51.86)*1.39</f>
        <v>79.619199999999992</v>
      </c>
      <c r="I215" s="1614">
        <f t="shared" si="195"/>
        <v>1.946</v>
      </c>
      <c r="J215" s="1617"/>
      <c r="K215" s="1617">
        <f>(0.7+0.5)*1.39</f>
        <v>1.6679999999999999</v>
      </c>
      <c r="L215" s="1617"/>
      <c r="M215" s="1617"/>
      <c r="N215" s="1617"/>
      <c r="O215" s="1617"/>
      <c r="P215" s="1617"/>
      <c r="Q215" s="1617"/>
      <c r="R215" s="1617"/>
      <c r="S215" s="1617">
        <f>0.2*1.39</f>
        <v>0.27799999999999997</v>
      </c>
      <c r="T215" s="1621">
        <f>(H215+K215)*23.5%</f>
        <v>19.102491999999998</v>
      </c>
      <c r="U215" s="1614">
        <f t="shared" si="196"/>
        <v>107.909972</v>
      </c>
      <c r="V215" s="1617">
        <f>(5.42+51.86)*1.49</f>
        <v>85.347200000000001</v>
      </c>
      <c r="W215" s="1614">
        <f t="shared" si="197"/>
        <v>2.0859999999999999</v>
      </c>
      <c r="X215" s="1617"/>
      <c r="Y215" s="1617">
        <f>(0.7+0.5)*1.49</f>
        <v>1.788</v>
      </c>
      <c r="Z215" s="1617"/>
      <c r="AA215" s="1617"/>
      <c r="AB215" s="1617"/>
      <c r="AC215" s="1617"/>
      <c r="AD215" s="1617"/>
      <c r="AE215" s="1617"/>
      <c r="AF215" s="1617"/>
      <c r="AG215" s="1617">
        <f>0.2*1.49</f>
        <v>0.29799999999999999</v>
      </c>
      <c r="AH215" s="1621">
        <f>(V215+Y215)*23.5%</f>
        <v>20.476771999999997</v>
      </c>
      <c r="AI215" s="1621">
        <f t="shared" si="198"/>
        <v>7.242280000000008</v>
      </c>
      <c r="AJ215" s="1366">
        <f t="shared" si="199"/>
        <v>86.907360000000097</v>
      </c>
      <c r="AK215" s="1448">
        <f t="shared" si="200"/>
        <v>0.48281866666666723</v>
      </c>
      <c r="AL215" s="1431">
        <f t="shared" si="163"/>
        <v>107.19424460431655</v>
      </c>
    </row>
    <row r="216" spans="1:38" s="1444" customFormat="1" ht="47.25" hidden="1" customHeight="1">
      <c r="A216" s="1375">
        <v>25</v>
      </c>
      <c r="B216" s="764" t="s">
        <v>2694</v>
      </c>
      <c r="C216" s="1367">
        <f t="shared" si="201"/>
        <v>0</v>
      </c>
      <c r="D216" s="1455"/>
      <c r="E216" s="1455"/>
      <c r="F216" s="1455"/>
      <c r="G216" s="1614">
        <f t="shared" si="194"/>
        <v>0</v>
      </c>
      <c r="H216" s="1617"/>
      <c r="I216" s="1614">
        <f t="shared" si="195"/>
        <v>0</v>
      </c>
      <c r="J216" s="1617"/>
      <c r="K216" s="1617"/>
      <c r="L216" s="1617"/>
      <c r="M216" s="1617"/>
      <c r="N216" s="1617"/>
      <c r="O216" s="1617"/>
      <c r="P216" s="1617"/>
      <c r="Q216" s="1617"/>
      <c r="R216" s="1617"/>
      <c r="S216" s="1617"/>
      <c r="T216" s="1621">
        <f>(H216+K216+L216)*22.5%</f>
        <v>0</v>
      </c>
      <c r="U216" s="1614">
        <f t="shared" si="196"/>
        <v>0</v>
      </c>
      <c r="V216" s="1617"/>
      <c r="W216" s="1614">
        <f t="shared" si="197"/>
        <v>0</v>
      </c>
      <c r="X216" s="1617"/>
      <c r="Y216" s="1617"/>
      <c r="Z216" s="1617"/>
      <c r="AA216" s="1617"/>
      <c r="AB216" s="1617"/>
      <c r="AC216" s="1617"/>
      <c r="AD216" s="1617"/>
      <c r="AE216" s="1617"/>
      <c r="AF216" s="1617"/>
      <c r="AG216" s="1617"/>
      <c r="AH216" s="1621">
        <f>(V216+Y216+Z216)*22.5%</f>
        <v>0</v>
      </c>
      <c r="AI216" s="1621">
        <f t="shared" si="198"/>
        <v>0</v>
      </c>
      <c r="AJ216" s="1366">
        <f t="shared" si="199"/>
        <v>0</v>
      </c>
      <c r="AK216" s="1448" t="e">
        <f t="shared" si="200"/>
        <v>#DIV/0!</v>
      </c>
      <c r="AL216" s="1431" t="e">
        <f t="shared" si="163"/>
        <v>#DIV/0!</v>
      </c>
    </row>
    <row r="217" spans="1:38" s="1444" customFormat="1" ht="36.75" hidden="1" customHeight="1">
      <c r="A217" s="1375">
        <v>26</v>
      </c>
      <c r="B217" s="764" t="s">
        <v>2695</v>
      </c>
      <c r="C217" s="1489">
        <v>13</v>
      </c>
      <c r="D217" s="1489">
        <v>13</v>
      </c>
      <c r="E217" s="1489"/>
      <c r="F217" s="1489">
        <v>10</v>
      </c>
      <c r="G217" s="1665">
        <f t="shared" si="194"/>
        <v>49.712000000000003</v>
      </c>
      <c r="H217" s="1666">
        <v>39.445</v>
      </c>
      <c r="I217" s="1666">
        <f>SUM(J217:S217)</f>
        <v>0.83399999999999996</v>
      </c>
      <c r="J217" s="1666"/>
      <c r="K217" s="1666">
        <v>0.69499999999999995</v>
      </c>
      <c r="L217" s="1666"/>
      <c r="M217" s="1666"/>
      <c r="N217" s="1666"/>
      <c r="O217" s="1666"/>
      <c r="P217" s="1667"/>
      <c r="Q217" s="1667"/>
      <c r="R217" s="1666"/>
      <c r="S217" s="1666">
        <v>0.13900000000000001</v>
      </c>
      <c r="T217" s="1666">
        <v>9.4329999999999998</v>
      </c>
      <c r="U217" s="1666">
        <f>V217+W217+AH217</f>
        <v>53.289000000000001</v>
      </c>
      <c r="V217" s="1666">
        <v>42.283000000000001</v>
      </c>
      <c r="W217" s="1666">
        <f>SUM(X217:AG217)</f>
        <v>0.89400000000000002</v>
      </c>
      <c r="X217" s="1666"/>
      <c r="Y217" s="1666">
        <v>0.745</v>
      </c>
      <c r="Z217" s="1666"/>
      <c r="AA217" s="1666"/>
      <c r="AB217" s="1666"/>
      <c r="AC217" s="1666"/>
      <c r="AD217" s="1667"/>
      <c r="AE217" s="1667"/>
      <c r="AF217" s="1666"/>
      <c r="AG217" s="1666">
        <v>0.14899999999999999</v>
      </c>
      <c r="AH217" s="1666">
        <v>10.112</v>
      </c>
      <c r="AI217" s="1621">
        <f t="shared" si="198"/>
        <v>3.5769999999999982</v>
      </c>
      <c r="AJ217" s="1366">
        <f t="shared" si="199"/>
        <v>42.923999999999978</v>
      </c>
      <c r="AK217" s="1448">
        <f t="shared" si="200"/>
        <v>0.3576999999999998</v>
      </c>
      <c r="AL217" s="1431">
        <f t="shared" si="163"/>
        <v>107.19544576762149</v>
      </c>
    </row>
    <row r="218" spans="1:38" s="1444" customFormat="1" ht="36.75" hidden="1" customHeight="1">
      <c r="A218" s="1375">
        <v>27</v>
      </c>
      <c r="B218" s="1490" t="s">
        <v>2696</v>
      </c>
      <c r="C218" s="1491">
        <v>8</v>
      </c>
      <c r="D218" s="1491">
        <v>8</v>
      </c>
      <c r="E218" s="1491"/>
      <c r="F218" s="1491">
        <v>8</v>
      </c>
      <c r="G218" s="1668">
        <f t="shared" si="194"/>
        <v>38.708999999999996</v>
      </c>
      <c r="H218" s="1669">
        <v>30.690999999999999</v>
      </c>
      <c r="I218" s="1668">
        <f t="shared" ref="I218" si="202">SUM(J218:S218)</f>
        <v>1.1119999999999999</v>
      </c>
      <c r="J218" s="1670"/>
      <c r="K218" s="1669">
        <v>0.69499999999999995</v>
      </c>
      <c r="L218" s="1670"/>
      <c r="M218" s="1670"/>
      <c r="N218" s="1670"/>
      <c r="O218" s="1670"/>
      <c r="P218" s="1671"/>
      <c r="Q218" s="1671"/>
      <c r="R218" s="1670"/>
      <c r="S218" s="1670">
        <v>0.41699999999999998</v>
      </c>
      <c r="T218" s="1672">
        <v>6.9059999999999997</v>
      </c>
      <c r="U218" s="1668">
        <f t="shared" ref="U218" si="203">V218+W218+AH218</f>
        <v>42.570999999999998</v>
      </c>
      <c r="V218" s="1669">
        <v>32.899000000000001</v>
      </c>
      <c r="W218" s="1668">
        <f t="shared" ref="W218" si="204">SUM(X218:AG218)</f>
        <v>1.0429999999999999</v>
      </c>
      <c r="X218" s="1668"/>
      <c r="Y218" s="1669">
        <v>0.745</v>
      </c>
      <c r="Z218" s="1668"/>
      <c r="AA218" s="1668"/>
      <c r="AB218" s="1668"/>
      <c r="AC218" s="1668"/>
      <c r="AD218" s="1668"/>
      <c r="AE218" s="1668"/>
      <c r="AF218" s="1668"/>
      <c r="AG218" s="1668">
        <v>0.29799999999999999</v>
      </c>
      <c r="AH218" s="1668">
        <v>8.6289999999999996</v>
      </c>
      <c r="AI218" s="1621">
        <f t="shared" si="198"/>
        <v>3.8620000000000019</v>
      </c>
      <c r="AJ218" s="1366">
        <f t="shared" si="199"/>
        <v>46.344000000000023</v>
      </c>
      <c r="AK218" s="1448">
        <f t="shared" si="200"/>
        <v>0.48275000000000023</v>
      </c>
      <c r="AL218" s="1431">
        <f t="shared" si="163"/>
        <v>109.97700793097214</v>
      </c>
    </row>
    <row r="219" spans="1:38" s="1444" customFormat="1" ht="36.75" hidden="1" customHeight="1">
      <c r="A219" s="1375">
        <v>28</v>
      </c>
      <c r="B219" s="764" t="s">
        <v>2697</v>
      </c>
      <c r="C219" s="1367">
        <f>D219+E219</f>
        <v>26</v>
      </c>
      <c r="D219" s="1476">
        <v>26</v>
      </c>
      <c r="E219" s="1476"/>
      <c r="F219" s="1476">
        <v>25</v>
      </c>
      <c r="G219" s="1637">
        <f t="shared" si="194"/>
        <v>142.33073884999999</v>
      </c>
      <c r="H219" s="1365">
        <f>79.17*1.39</f>
        <v>110.04629999999999</v>
      </c>
      <c r="I219" s="1637">
        <f>SUM(J219:S219)</f>
        <v>5.2806099999999994</v>
      </c>
      <c r="J219" s="1638"/>
      <c r="K219" s="1365">
        <f>3.2*1.39</f>
        <v>4.4479999999999995</v>
      </c>
      <c r="L219" s="1365">
        <f>0.299*1.39</f>
        <v>0.41560999999999998</v>
      </c>
      <c r="M219" s="1638"/>
      <c r="N219" s="1638"/>
      <c r="O219" s="1638"/>
      <c r="P219" s="1638"/>
      <c r="Q219" s="1638"/>
      <c r="R219" s="1638"/>
      <c r="S219" s="1365">
        <f>0.3*1.39</f>
        <v>0.41699999999999998</v>
      </c>
      <c r="T219" s="1621">
        <f>(H219+K219+L219)*23.5%</f>
        <v>27.003828849999994</v>
      </c>
      <c r="U219" s="1637">
        <f t="shared" si="196"/>
        <v>152.57036035000002</v>
      </c>
      <c r="V219" s="1367">
        <f>79.17*1.49</f>
        <v>117.9633</v>
      </c>
      <c r="W219" s="1637">
        <f t="shared" si="197"/>
        <v>5.6605099999999995</v>
      </c>
      <c r="X219" s="1638"/>
      <c r="Y219" s="1367">
        <f>3.2*1.49</f>
        <v>4.7679999999999998</v>
      </c>
      <c r="Z219" s="1367">
        <f>0.299*1.49</f>
        <v>0.44550999999999996</v>
      </c>
      <c r="AA219" s="1638"/>
      <c r="AB219" s="1638"/>
      <c r="AC219" s="1638"/>
      <c r="AD219" s="1638"/>
      <c r="AE219" s="1638"/>
      <c r="AF219" s="1638"/>
      <c r="AG219" s="1367">
        <f>0.3*1.49</f>
        <v>0.44700000000000001</v>
      </c>
      <c r="AH219" s="1621">
        <f>(V219+Y219+Z219)*23.5%</f>
        <v>28.946550349999999</v>
      </c>
      <c r="AI219" s="1621">
        <f t="shared" si="198"/>
        <v>10.239621500000027</v>
      </c>
      <c r="AJ219" s="1366">
        <f t="shared" si="199"/>
        <v>122.87545800000032</v>
      </c>
      <c r="AK219" s="1448">
        <f t="shared" si="200"/>
        <v>0.40958486000000105</v>
      </c>
      <c r="AL219" s="1431">
        <f t="shared" si="163"/>
        <v>107.19424460431657</v>
      </c>
    </row>
    <row r="220" spans="1:38" s="1444" customFormat="1" ht="36.75" hidden="1" customHeight="1">
      <c r="A220" s="1375">
        <v>29</v>
      </c>
      <c r="B220" s="764" t="s">
        <v>2698</v>
      </c>
      <c r="C220" s="1455"/>
      <c r="D220" s="1455"/>
      <c r="E220" s="1455"/>
      <c r="F220" s="1455"/>
      <c r="G220" s="1614">
        <f t="shared" si="194"/>
        <v>0</v>
      </c>
      <c r="H220" s="1617"/>
      <c r="I220" s="1614">
        <f t="shared" si="195"/>
        <v>0</v>
      </c>
      <c r="J220" s="1617"/>
      <c r="K220" s="1617"/>
      <c r="L220" s="1617"/>
      <c r="M220" s="1617"/>
      <c r="N220" s="1617"/>
      <c r="O220" s="1617"/>
      <c r="P220" s="1617"/>
      <c r="Q220" s="1617"/>
      <c r="R220" s="1617"/>
      <c r="S220" s="1617"/>
      <c r="T220" s="1621"/>
      <c r="U220" s="1614">
        <f t="shared" si="196"/>
        <v>0</v>
      </c>
      <c r="V220" s="1617"/>
      <c r="W220" s="1614">
        <f t="shared" si="197"/>
        <v>0</v>
      </c>
      <c r="X220" s="1617"/>
      <c r="Y220" s="1617"/>
      <c r="Z220" s="1617"/>
      <c r="AA220" s="1617"/>
      <c r="AB220" s="1617"/>
      <c r="AC220" s="1617"/>
      <c r="AD220" s="1617"/>
      <c r="AE220" s="1617"/>
      <c r="AF220" s="1617"/>
      <c r="AG220" s="1617"/>
      <c r="AH220" s="1621"/>
      <c r="AI220" s="1621">
        <f t="shared" si="198"/>
        <v>0</v>
      </c>
      <c r="AJ220" s="1366">
        <f t="shared" si="199"/>
        <v>0</v>
      </c>
      <c r="AK220" s="1448" t="e">
        <f t="shared" si="200"/>
        <v>#DIV/0!</v>
      </c>
      <c r="AL220" s="1431" t="e">
        <f t="shared" si="163"/>
        <v>#DIV/0!</v>
      </c>
    </row>
    <row r="221" spans="1:38" s="1444" customFormat="1" ht="30" customHeight="1">
      <c r="A221" s="1445">
        <v>9</v>
      </c>
      <c r="B221" s="1446" t="s">
        <v>2537</v>
      </c>
      <c r="C221" s="1447">
        <f>C222</f>
        <v>54</v>
      </c>
      <c r="D221" s="1447">
        <f t="shared" ref="D221:AJ221" si="205">D222</f>
        <v>0</v>
      </c>
      <c r="E221" s="1447">
        <f t="shared" si="205"/>
        <v>0</v>
      </c>
      <c r="F221" s="1447">
        <f t="shared" si="205"/>
        <v>50</v>
      </c>
      <c r="G221" s="1616">
        <f t="shared" si="205"/>
        <v>328.98599999999999</v>
      </c>
      <c r="H221" s="1616">
        <f t="shared" si="205"/>
        <v>231.40600000000001</v>
      </c>
      <c r="I221" s="1616">
        <f t="shared" si="205"/>
        <v>41.145000000000003</v>
      </c>
      <c r="J221" s="1616">
        <f t="shared" si="205"/>
        <v>0</v>
      </c>
      <c r="K221" s="1616">
        <f t="shared" si="205"/>
        <v>11.263999999999999</v>
      </c>
      <c r="L221" s="1616">
        <f t="shared" si="205"/>
        <v>0</v>
      </c>
      <c r="M221" s="1616">
        <f t="shared" si="205"/>
        <v>0</v>
      </c>
      <c r="N221" s="1616">
        <f t="shared" si="205"/>
        <v>0</v>
      </c>
      <c r="O221" s="1616">
        <f t="shared" si="205"/>
        <v>0</v>
      </c>
      <c r="P221" s="1616">
        <f t="shared" si="205"/>
        <v>28.154</v>
      </c>
      <c r="Q221" s="1616">
        <f t="shared" si="205"/>
        <v>0.33300000000000002</v>
      </c>
      <c r="R221" s="1616">
        <f t="shared" si="205"/>
        <v>0</v>
      </c>
      <c r="S221" s="1616">
        <f t="shared" si="205"/>
        <v>1.3940000000000001</v>
      </c>
      <c r="T221" s="1616">
        <f t="shared" si="205"/>
        <v>56.435000000000002</v>
      </c>
      <c r="U221" s="1616">
        <f t="shared" si="205"/>
        <v>353.28912985611515</v>
      </c>
      <c r="V221" s="1616">
        <f t="shared" si="205"/>
        <v>248.0539136690648</v>
      </c>
      <c r="W221" s="1616">
        <f t="shared" si="205"/>
        <v>44.105071942446045</v>
      </c>
      <c r="X221" s="1616">
        <f t="shared" si="205"/>
        <v>0</v>
      </c>
      <c r="Y221" s="1616">
        <f t="shared" si="205"/>
        <v>12.074359712230216</v>
      </c>
      <c r="Z221" s="1616">
        <f t="shared" si="205"/>
        <v>0</v>
      </c>
      <c r="AA221" s="1616">
        <f t="shared" si="205"/>
        <v>0</v>
      </c>
      <c r="AB221" s="1616">
        <f t="shared" si="205"/>
        <v>0</v>
      </c>
      <c r="AC221" s="1616">
        <f t="shared" si="205"/>
        <v>0</v>
      </c>
      <c r="AD221" s="1616">
        <f t="shared" si="205"/>
        <v>30.179467625899285</v>
      </c>
      <c r="AE221" s="1616">
        <f t="shared" si="205"/>
        <v>0.35695683453237415</v>
      </c>
      <c r="AF221" s="1616">
        <f t="shared" si="205"/>
        <v>0</v>
      </c>
      <c r="AG221" s="1616">
        <f t="shared" si="205"/>
        <v>1.4942877697841728</v>
      </c>
      <c r="AH221" s="1616">
        <f t="shared" si="205"/>
        <v>61.130144244604317</v>
      </c>
      <c r="AI221" s="1616">
        <f t="shared" si="205"/>
        <v>24.303129856115163</v>
      </c>
      <c r="AJ221" s="1616">
        <f t="shared" si="205"/>
        <v>291.63755827338196</v>
      </c>
      <c r="AK221" s="1448">
        <f t="shared" si="200"/>
        <v>0.48606259712230326</v>
      </c>
      <c r="AL221" s="1431">
        <f t="shared" si="163"/>
        <v>107.3872839136362</v>
      </c>
    </row>
    <row r="222" spans="1:38" s="1444" customFormat="1" ht="39" hidden="1" customHeight="1">
      <c r="A222" s="1375">
        <v>30</v>
      </c>
      <c r="B222" s="764" t="s">
        <v>2699</v>
      </c>
      <c r="C222" s="560">
        <f>SUM(C223:C226)</f>
        <v>54</v>
      </c>
      <c r="D222" s="560">
        <f t="shared" ref="D222:AJ222" si="206">SUM(D223:D226)</f>
        <v>0</v>
      </c>
      <c r="E222" s="560">
        <f t="shared" si="206"/>
        <v>0</v>
      </c>
      <c r="F222" s="560">
        <f t="shared" si="206"/>
        <v>50</v>
      </c>
      <c r="G222" s="1617">
        <f t="shared" si="206"/>
        <v>328.98599999999999</v>
      </c>
      <c r="H222" s="1617">
        <f t="shared" si="206"/>
        <v>231.40600000000001</v>
      </c>
      <c r="I222" s="1617">
        <f t="shared" si="206"/>
        <v>41.145000000000003</v>
      </c>
      <c r="J222" s="1617">
        <f t="shared" si="206"/>
        <v>0</v>
      </c>
      <c r="K222" s="1617">
        <f t="shared" si="206"/>
        <v>11.263999999999999</v>
      </c>
      <c r="L222" s="1617">
        <f t="shared" si="206"/>
        <v>0</v>
      </c>
      <c r="M222" s="1617">
        <f t="shared" si="206"/>
        <v>0</v>
      </c>
      <c r="N222" s="1617">
        <f t="shared" si="206"/>
        <v>0</v>
      </c>
      <c r="O222" s="1617">
        <f t="shared" si="206"/>
        <v>0</v>
      </c>
      <c r="P222" s="1617">
        <f t="shared" si="206"/>
        <v>28.154</v>
      </c>
      <c r="Q222" s="1617">
        <f t="shared" si="206"/>
        <v>0.33300000000000002</v>
      </c>
      <c r="R222" s="1617">
        <f t="shared" si="206"/>
        <v>0</v>
      </c>
      <c r="S222" s="1617">
        <f t="shared" si="206"/>
        <v>1.3940000000000001</v>
      </c>
      <c r="T222" s="1617">
        <f t="shared" si="206"/>
        <v>56.435000000000002</v>
      </c>
      <c r="U222" s="1617">
        <f t="shared" si="206"/>
        <v>353.28912985611515</v>
      </c>
      <c r="V222" s="1617">
        <f t="shared" si="206"/>
        <v>248.0539136690648</v>
      </c>
      <c r="W222" s="1617">
        <f t="shared" si="206"/>
        <v>44.105071942446045</v>
      </c>
      <c r="X222" s="1617">
        <f t="shared" si="206"/>
        <v>0</v>
      </c>
      <c r="Y222" s="1617">
        <f t="shared" si="206"/>
        <v>12.074359712230216</v>
      </c>
      <c r="Z222" s="1617">
        <f t="shared" si="206"/>
        <v>0</v>
      </c>
      <c r="AA222" s="1617">
        <f t="shared" si="206"/>
        <v>0</v>
      </c>
      <c r="AB222" s="1617">
        <f t="shared" si="206"/>
        <v>0</v>
      </c>
      <c r="AC222" s="1617">
        <f t="shared" si="206"/>
        <v>0</v>
      </c>
      <c r="AD222" s="1617">
        <f t="shared" si="206"/>
        <v>30.179467625899285</v>
      </c>
      <c r="AE222" s="1617">
        <f t="shared" si="206"/>
        <v>0.35695683453237415</v>
      </c>
      <c r="AF222" s="1617">
        <f t="shared" si="206"/>
        <v>0</v>
      </c>
      <c r="AG222" s="1617">
        <f t="shared" si="206"/>
        <v>1.4942877697841728</v>
      </c>
      <c r="AH222" s="1617">
        <f t="shared" si="206"/>
        <v>61.130144244604317</v>
      </c>
      <c r="AI222" s="1617">
        <f t="shared" si="206"/>
        <v>24.303129856115163</v>
      </c>
      <c r="AJ222" s="1617">
        <f t="shared" si="206"/>
        <v>291.63755827338196</v>
      </c>
      <c r="AK222" s="1448">
        <f t="shared" si="200"/>
        <v>0.48606259712230326</v>
      </c>
      <c r="AL222" s="1431">
        <f t="shared" si="163"/>
        <v>107.3872839136362</v>
      </c>
    </row>
    <row r="223" spans="1:38" s="1444" customFormat="1" ht="34.5" hidden="1" customHeight="1">
      <c r="A223" s="1375"/>
      <c r="B223" s="764" t="s">
        <v>2700</v>
      </c>
      <c r="C223" s="1494">
        <v>15</v>
      </c>
      <c r="D223" s="1494"/>
      <c r="E223" s="1494"/>
      <c r="F223" s="1494">
        <v>14</v>
      </c>
      <c r="G223" s="1673">
        <f>H223+I223+T223</f>
        <v>102.077</v>
      </c>
      <c r="H223" s="1674">
        <v>64.983000000000004</v>
      </c>
      <c r="I223" s="1673">
        <f>J223+K223+L223+M223+N223+O223+P223+Q223+R223+S223</f>
        <v>21.006000000000004</v>
      </c>
      <c r="J223" s="1674"/>
      <c r="K223" s="1674">
        <v>3.4750000000000001</v>
      </c>
      <c r="L223" s="1674"/>
      <c r="M223" s="1674"/>
      <c r="N223" s="1674"/>
      <c r="O223" s="1674"/>
      <c r="P223" s="1674">
        <v>17.114000000000001</v>
      </c>
      <c r="Q223" s="1674"/>
      <c r="R223" s="1674"/>
      <c r="S223" s="1674">
        <v>0.41699999999999998</v>
      </c>
      <c r="T223" s="1675">
        <v>16.088000000000001</v>
      </c>
      <c r="U223" s="1673">
        <f>V223+W223+AH223</f>
        <v>109.42027244604317</v>
      </c>
      <c r="V223" s="1369">
        <f>(H223/1.39)*1.49</f>
        <v>69.658035971223029</v>
      </c>
      <c r="W223" s="1369">
        <f t="shared" ref="W223" si="207">SUM(X223:AG223)</f>
        <v>22.517223021582737</v>
      </c>
      <c r="X223" s="1674"/>
      <c r="Y223" s="1369">
        <f>(K223/1.39)*1.49</f>
        <v>3.7250000000000005</v>
      </c>
      <c r="Z223" s="1369">
        <f t="shared" ref="Z223:AG223" si="208">(L223/1.39)*1.49</f>
        <v>0</v>
      </c>
      <c r="AA223" s="1369">
        <f t="shared" si="208"/>
        <v>0</v>
      </c>
      <c r="AB223" s="1369">
        <f t="shared" si="208"/>
        <v>0</v>
      </c>
      <c r="AC223" s="1369">
        <f t="shared" si="208"/>
        <v>0</v>
      </c>
      <c r="AD223" s="1369">
        <f t="shared" si="208"/>
        <v>18.345223021582736</v>
      </c>
      <c r="AE223" s="1369">
        <f t="shared" si="208"/>
        <v>0</v>
      </c>
      <c r="AF223" s="1369">
        <f t="shared" si="208"/>
        <v>0</v>
      </c>
      <c r="AG223" s="1369">
        <f t="shared" si="208"/>
        <v>0.44700000000000001</v>
      </c>
      <c r="AH223" s="1369">
        <f t="shared" ref="AH223" si="209">(V223+Y223+Z223+AF223)*23.5%</f>
        <v>17.245013453237409</v>
      </c>
      <c r="AI223" s="1621">
        <f>U223-G223</f>
        <v>7.3432724460431729</v>
      </c>
      <c r="AJ223" s="1366">
        <f t="shared" ref="AJ223:AJ226" si="210">AI223*12</f>
        <v>88.119269352518074</v>
      </c>
      <c r="AK223" s="1448">
        <f t="shared" si="200"/>
        <v>0.5245194604316552</v>
      </c>
      <c r="AL223" s="1431">
        <f t="shared" si="163"/>
        <v>107.19385605576493</v>
      </c>
    </row>
    <row r="224" spans="1:38" s="1444" customFormat="1" ht="34.5" hidden="1" customHeight="1">
      <c r="A224" s="1375"/>
      <c r="B224" s="764" t="s">
        <v>2701</v>
      </c>
      <c r="C224" s="1495">
        <f t="shared" ref="C224" si="211">D224+E224</f>
        <v>0</v>
      </c>
      <c r="D224" s="1496"/>
      <c r="E224" s="1496"/>
      <c r="F224" s="1496"/>
      <c r="G224" s="1676">
        <f>H224+I224+T224</f>
        <v>0</v>
      </c>
      <c r="H224" s="1677"/>
      <c r="I224" s="1676">
        <f>SUM(K224:S224)</f>
        <v>0</v>
      </c>
      <c r="J224" s="1676"/>
      <c r="K224" s="1677"/>
      <c r="L224" s="1677"/>
      <c r="M224" s="1677"/>
      <c r="N224" s="1677"/>
      <c r="O224" s="1677"/>
      <c r="P224" s="1677"/>
      <c r="Q224" s="1677"/>
      <c r="R224" s="1677"/>
      <c r="S224" s="1677"/>
      <c r="T224" s="1677"/>
      <c r="U224" s="1676">
        <f>V224+W224+AH224</f>
        <v>0</v>
      </c>
      <c r="V224" s="1677"/>
      <c r="W224" s="1676">
        <f>SUM(X224:AG224)</f>
        <v>0</v>
      </c>
      <c r="X224" s="1677">
        <v>0</v>
      </c>
      <c r="Y224" s="1677"/>
      <c r="Z224" s="1677"/>
      <c r="AA224" s="1677"/>
      <c r="AB224" s="1677"/>
      <c r="AC224" s="1677"/>
      <c r="AD224" s="1677"/>
      <c r="AE224" s="1677"/>
      <c r="AF224" s="1677"/>
      <c r="AG224" s="1677"/>
      <c r="AH224" s="1677"/>
      <c r="AI224" s="1621">
        <f>U224-G224</f>
        <v>0</v>
      </c>
      <c r="AJ224" s="1366">
        <f t="shared" si="210"/>
        <v>0</v>
      </c>
      <c r="AK224" s="1448" t="e">
        <f t="shared" si="200"/>
        <v>#DIV/0!</v>
      </c>
      <c r="AL224" s="1431" t="e">
        <f t="shared" si="163"/>
        <v>#DIV/0!</v>
      </c>
    </row>
    <row r="225" spans="1:38" s="1444" customFormat="1" ht="34.5" hidden="1" customHeight="1">
      <c r="A225" s="1375"/>
      <c r="B225" s="764" t="s">
        <v>2702</v>
      </c>
      <c r="C225" s="1494">
        <v>13</v>
      </c>
      <c r="D225" s="1494"/>
      <c r="E225" s="1494"/>
      <c r="F225" s="1494">
        <v>10</v>
      </c>
      <c r="G225" s="1673">
        <f>H225+I225+T225</f>
        <v>94.009999999999991</v>
      </c>
      <c r="H225" s="1674">
        <f>40.98+22.68</f>
        <v>63.66</v>
      </c>
      <c r="I225" s="1673">
        <f>J225+K225+L225+M225+N225+O225+P225+Q225+R225+S225</f>
        <v>15.08</v>
      </c>
      <c r="J225" s="1674"/>
      <c r="K225" s="1674">
        <v>3.48</v>
      </c>
      <c r="L225" s="1674"/>
      <c r="M225" s="1674"/>
      <c r="N225" s="1674"/>
      <c r="O225" s="1674"/>
      <c r="P225" s="1674">
        <v>11.04</v>
      </c>
      <c r="Q225" s="1674"/>
      <c r="R225" s="1674"/>
      <c r="S225" s="1674">
        <v>0.56000000000000005</v>
      </c>
      <c r="T225" s="1675">
        <v>15.27</v>
      </c>
      <c r="U225" s="1673">
        <f t="shared" ref="U225" si="212">V225+W225+AH225</f>
        <v>101.31774892086331</v>
      </c>
      <c r="V225" s="1369">
        <f>(H225/1.39)*1.49</f>
        <v>68.239856115107912</v>
      </c>
      <c r="W225" s="1369">
        <f t="shared" ref="W225:W226" si="213">SUM(X225:AG225)</f>
        <v>16.164892086330937</v>
      </c>
      <c r="X225" s="1674"/>
      <c r="Y225" s="1369">
        <f t="shared" ref="Y225:AG226" si="214">(K225/1.39)*1.49</f>
        <v>3.7303597122302157</v>
      </c>
      <c r="Z225" s="1369">
        <f t="shared" si="214"/>
        <v>0</v>
      </c>
      <c r="AA225" s="1369">
        <f t="shared" si="214"/>
        <v>0</v>
      </c>
      <c r="AB225" s="1369">
        <f t="shared" si="214"/>
        <v>0</v>
      </c>
      <c r="AC225" s="1369">
        <f t="shared" si="214"/>
        <v>0</v>
      </c>
      <c r="AD225" s="1369">
        <f t="shared" si="214"/>
        <v>11.834244604316547</v>
      </c>
      <c r="AE225" s="1369">
        <f t="shared" si="214"/>
        <v>0</v>
      </c>
      <c r="AF225" s="1369">
        <f t="shared" si="214"/>
        <v>0</v>
      </c>
      <c r="AG225" s="1369">
        <f t="shared" si="214"/>
        <v>0.60028776978417275</v>
      </c>
      <c r="AH225" s="1369">
        <f t="shared" ref="AH225:AH226" si="215">(V225+Y225+Z225+AF225)*23.5%</f>
        <v>16.913000719424456</v>
      </c>
      <c r="AI225" s="1621">
        <f>U225-G225</f>
        <v>7.3077489208633182</v>
      </c>
      <c r="AJ225" s="1366">
        <f t="shared" si="210"/>
        <v>87.692987050359818</v>
      </c>
      <c r="AK225" s="1448">
        <f t="shared" si="200"/>
        <v>0.73077489208633184</v>
      </c>
      <c r="AL225" s="1431">
        <f t="shared" si="163"/>
        <v>107.77337402495833</v>
      </c>
    </row>
    <row r="226" spans="1:38" s="1444" customFormat="1" ht="34.5" hidden="1" customHeight="1">
      <c r="A226" s="1375"/>
      <c r="B226" s="764" t="s">
        <v>2703</v>
      </c>
      <c r="C226" s="1494">
        <v>26</v>
      </c>
      <c r="D226" s="1494"/>
      <c r="E226" s="1494"/>
      <c r="F226" s="1494">
        <v>26</v>
      </c>
      <c r="G226" s="1673">
        <f>H226+I226+T226</f>
        <v>132.899</v>
      </c>
      <c r="H226" s="1674">
        <v>102.76300000000001</v>
      </c>
      <c r="I226" s="1673">
        <f>J226+K226+L226+M226+N226+O226+P226+Q226+R226+S226</f>
        <v>5.0590000000000002</v>
      </c>
      <c r="J226" s="1674"/>
      <c r="K226" s="1674">
        <v>4.3090000000000002</v>
      </c>
      <c r="L226" s="1674"/>
      <c r="M226" s="1674"/>
      <c r="N226" s="1674"/>
      <c r="O226" s="1674"/>
      <c r="P226" s="1674"/>
      <c r="Q226" s="1674">
        <v>0.33300000000000002</v>
      </c>
      <c r="R226" s="1674"/>
      <c r="S226" s="1674">
        <v>0.41699999999999998</v>
      </c>
      <c r="T226" s="1675">
        <v>25.077000000000002</v>
      </c>
      <c r="U226" s="1673">
        <f>V226+W226+AH226</f>
        <v>142.55110848920867</v>
      </c>
      <c r="V226" s="1369">
        <f>(H226/1.39)*1.49</f>
        <v>110.15602158273384</v>
      </c>
      <c r="W226" s="1369">
        <f t="shared" si="213"/>
        <v>5.4229568345323749</v>
      </c>
      <c r="X226" s="1674"/>
      <c r="Y226" s="1369">
        <f t="shared" si="214"/>
        <v>4.6190000000000007</v>
      </c>
      <c r="Z226" s="1369">
        <f t="shared" si="214"/>
        <v>0</v>
      </c>
      <c r="AA226" s="1369">
        <f t="shared" si="214"/>
        <v>0</v>
      </c>
      <c r="AB226" s="1369">
        <f t="shared" si="214"/>
        <v>0</v>
      </c>
      <c r="AC226" s="1369">
        <f t="shared" si="214"/>
        <v>0</v>
      </c>
      <c r="AD226" s="1369">
        <f t="shared" si="214"/>
        <v>0</v>
      </c>
      <c r="AE226" s="1369">
        <f t="shared" si="214"/>
        <v>0.35695683453237415</v>
      </c>
      <c r="AF226" s="1369">
        <f t="shared" si="214"/>
        <v>0</v>
      </c>
      <c r="AG226" s="1369">
        <f t="shared" si="214"/>
        <v>0.44700000000000001</v>
      </c>
      <c r="AH226" s="1369">
        <f t="shared" si="215"/>
        <v>26.972130071942452</v>
      </c>
      <c r="AI226" s="1621">
        <f>U226-G226</f>
        <v>9.6521084892086719</v>
      </c>
      <c r="AJ226" s="1366">
        <f t="shared" si="210"/>
        <v>115.82530187050406</v>
      </c>
      <c r="AK226" s="1448">
        <f t="shared" si="200"/>
        <v>0.37123494189264122</v>
      </c>
      <c r="AL226" s="1431">
        <f t="shared" si="163"/>
        <v>107.26273974161482</v>
      </c>
    </row>
    <row r="227" spans="1:38" s="1444" customFormat="1" ht="21" customHeight="1">
      <c r="A227" s="1445">
        <v>10</v>
      </c>
      <c r="B227" s="1446" t="s">
        <v>2704</v>
      </c>
      <c r="C227" s="1498">
        <f t="shared" ref="C227:AJ227" si="216">C228+C270+C282+C290</f>
        <v>1219</v>
      </c>
      <c r="D227" s="1498">
        <f t="shared" si="216"/>
        <v>103</v>
      </c>
      <c r="E227" s="1498">
        <f t="shared" si="216"/>
        <v>958</v>
      </c>
      <c r="F227" s="1498">
        <f t="shared" si="216"/>
        <v>1105</v>
      </c>
      <c r="G227" s="1645">
        <f t="shared" si="216"/>
        <v>10024.801477364997</v>
      </c>
      <c r="H227" s="1645">
        <f t="shared" si="216"/>
        <v>6060.9540000000006</v>
      </c>
      <c r="I227" s="1645">
        <f t="shared" si="216"/>
        <v>2479.9771014999997</v>
      </c>
      <c r="J227" s="1645">
        <f t="shared" si="216"/>
        <v>0</v>
      </c>
      <c r="K227" s="1645">
        <f t="shared" si="216"/>
        <v>357.60389999999995</v>
      </c>
      <c r="L227" s="1645">
        <f t="shared" si="216"/>
        <v>38.566332999999993</v>
      </c>
      <c r="M227" s="1645">
        <f t="shared" si="216"/>
        <v>35.957909999999998</v>
      </c>
      <c r="N227" s="1645">
        <f t="shared" si="216"/>
        <v>0</v>
      </c>
      <c r="O227" s="1645">
        <f t="shared" si="216"/>
        <v>0</v>
      </c>
      <c r="P227" s="1645">
        <f t="shared" si="216"/>
        <v>1362.9525665000001</v>
      </c>
      <c r="Q227" s="1645">
        <f t="shared" si="216"/>
        <v>414.68533499999995</v>
      </c>
      <c r="R227" s="1645">
        <f t="shared" si="216"/>
        <v>60.00517</v>
      </c>
      <c r="S227" s="1645">
        <f t="shared" si="216"/>
        <v>210.20588700000005</v>
      </c>
      <c r="T227" s="1645">
        <f t="shared" si="216"/>
        <v>1483.3724778649998</v>
      </c>
      <c r="U227" s="1645">
        <f t="shared" si="216"/>
        <v>10775.167200905647</v>
      </c>
      <c r="V227" s="1645">
        <f t="shared" si="216"/>
        <v>6521.3711877697842</v>
      </c>
      <c r="W227" s="1645">
        <f t="shared" si="216"/>
        <v>2656.1532113920862</v>
      </c>
      <c r="X227" s="1645">
        <f t="shared" si="216"/>
        <v>0</v>
      </c>
      <c r="Y227" s="1645">
        <f t="shared" si="216"/>
        <v>384.67064820143884</v>
      </c>
      <c r="Z227" s="1645">
        <f t="shared" si="216"/>
        <v>41.115883503597125</v>
      </c>
      <c r="AA227" s="1645">
        <f t="shared" si="216"/>
        <v>38.544809999999998</v>
      </c>
      <c r="AB227" s="1645">
        <f t="shared" si="216"/>
        <v>0</v>
      </c>
      <c r="AC227" s="1645">
        <f t="shared" si="216"/>
        <v>0</v>
      </c>
      <c r="AD227" s="1645">
        <f t="shared" si="216"/>
        <v>1463.831880816547</v>
      </c>
      <c r="AE227" s="1645">
        <f t="shared" si="216"/>
        <v>444.51874039568349</v>
      </c>
      <c r="AF227" s="1645">
        <f t="shared" si="216"/>
        <v>64.421674100719429</v>
      </c>
      <c r="AG227" s="1645">
        <f t="shared" si="216"/>
        <v>219.04957437410073</v>
      </c>
      <c r="AH227" s="1645">
        <f t="shared" si="216"/>
        <v>1597.6428017437765</v>
      </c>
      <c r="AI227" s="1645">
        <f t="shared" si="216"/>
        <v>750.3657235406481</v>
      </c>
      <c r="AJ227" s="1645">
        <f t="shared" si="216"/>
        <v>8922.1708924877767</v>
      </c>
      <c r="AK227" s="1448">
        <f t="shared" si="200"/>
        <v>0.67906400320420646</v>
      </c>
      <c r="AL227" s="1431">
        <f t="shared" si="163"/>
        <v>107.48509309870028</v>
      </c>
    </row>
    <row r="228" spans="1:38" s="1502" customFormat="1" ht="21" customHeight="1">
      <c r="A228" s="1499"/>
      <c r="B228" s="1500" t="s">
        <v>2538</v>
      </c>
      <c r="C228" s="1501">
        <f t="shared" ref="C228:AJ228" si="217">SUM(C229,C235:C237,C246:C249,C254:C255,C258,C261:C269)</f>
        <v>819</v>
      </c>
      <c r="D228" s="1501">
        <f t="shared" si="217"/>
        <v>44</v>
      </c>
      <c r="E228" s="1501">
        <f t="shared" si="217"/>
        <v>624</v>
      </c>
      <c r="F228" s="1501">
        <f t="shared" si="217"/>
        <v>757</v>
      </c>
      <c r="G228" s="1678">
        <f t="shared" si="217"/>
        <v>6675.7025799999983</v>
      </c>
      <c r="H228" s="1678">
        <f t="shared" si="217"/>
        <v>4171.5892000000003</v>
      </c>
      <c r="I228" s="1678">
        <f t="shared" si="217"/>
        <v>1495.0525964999997</v>
      </c>
      <c r="J228" s="1678">
        <f t="shared" si="217"/>
        <v>0</v>
      </c>
      <c r="K228" s="1678">
        <f t="shared" si="217"/>
        <v>227.34999999999997</v>
      </c>
      <c r="L228" s="1678">
        <f t="shared" si="217"/>
        <v>29.438758999999997</v>
      </c>
      <c r="M228" s="1678">
        <f t="shared" si="217"/>
        <v>0</v>
      </c>
      <c r="N228" s="1678">
        <f t="shared" si="217"/>
        <v>0</v>
      </c>
      <c r="O228" s="1678">
        <f t="shared" si="217"/>
        <v>0</v>
      </c>
      <c r="P228" s="1678">
        <f t="shared" si="217"/>
        <v>1009.8036065</v>
      </c>
      <c r="Q228" s="1678">
        <f t="shared" si="217"/>
        <v>40.803134999999997</v>
      </c>
      <c r="R228" s="1678">
        <f t="shared" si="217"/>
        <v>45.594901</v>
      </c>
      <c r="S228" s="1678">
        <f t="shared" si="217"/>
        <v>142.06219500000003</v>
      </c>
      <c r="T228" s="1678">
        <f t="shared" si="217"/>
        <v>1009.0607835</v>
      </c>
      <c r="U228" s="1678">
        <f t="shared" si="217"/>
        <v>7185.7775972553954</v>
      </c>
      <c r="V228" s="1678">
        <f t="shared" si="217"/>
        <v>4496.0808625899281</v>
      </c>
      <c r="W228" s="1678">
        <f t="shared" si="217"/>
        <v>1600.3708283345325</v>
      </c>
      <c r="X228" s="1678">
        <f t="shared" si="217"/>
        <v>0</v>
      </c>
      <c r="Y228" s="1678">
        <f t="shared" si="217"/>
        <v>245.04596402877695</v>
      </c>
      <c r="Z228" s="1678">
        <f t="shared" si="217"/>
        <v>31.331649503597124</v>
      </c>
      <c r="AA228" s="1678">
        <f t="shared" si="217"/>
        <v>0</v>
      </c>
      <c r="AB228" s="1678">
        <f t="shared" si="217"/>
        <v>0</v>
      </c>
      <c r="AC228" s="1678">
        <f t="shared" si="217"/>
        <v>0</v>
      </c>
      <c r="AD228" s="1678">
        <f t="shared" si="217"/>
        <v>1085.276520816547</v>
      </c>
      <c r="AE228" s="1678">
        <f t="shared" si="217"/>
        <v>43.738540395683451</v>
      </c>
      <c r="AF228" s="1678">
        <f t="shared" si="217"/>
        <v>48.974695100719423</v>
      </c>
      <c r="AG228" s="1678">
        <f t="shared" si="217"/>
        <v>146.00345848920864</v>
      </c>
      <c r="AH228" s="1678">
        <f t="shared" si="217"/>
        <v>1089.3259063309351</v>
      </c>
      <c r="AI228" s="1678">
        <f t="shared" si="217"/>
        <v>510.07501725539623</v>
      </c>
      <c r="AJ228" s="1678">
        <f t="shared" si="217"/>
        <v>6038.6824170647542</v>
      </c>
      <c r="AK228" s="1448">
        <f t="shared" si="200"/>
        <v>0.67381111922773607</v>
      </c>
      <c r="AL228" s="1431">
        <f t="shared" si="163"/>
        <v>107.64076905977733</v>
      </c>
    </row>
    <row r="229" spans="1:38" s="1431" customFormat="1" ht="27.75" hidden="1" customHeight="1">
      <c r="A229" s="1375">
        <v>31</v>
      </c>
      <c r="B229" s="1453" t="s">
        <v>2705</v>
      </c>
      <c r="C229" s="1455">
        <f>SUM(C230:C232)</f>
        <v>81</v>
      </c>
      <c r="D229" s="1455">
        <f t="shared" ref="D229:AJ229" si="218">SUM(D230:D232)</f>
        <v>0</v>
      </c>
      <c r="E229" s="1455">
        <f t="shared" si="218"/>
        <v>81</v>
      </c>
      <c r="F229" s="1455">
        <f t="shared" si="218"/>
        <v>68</v>
      </c>
      <c r="G229" s="1679">
        <f t="shared" si="218"/>
        <v>603.02284514999997</v>
      </c>
      <c r="H229" s="1679">
        <f t="shared" si="218"/>
        <v>390.9375</v>
      </c>
      <c r="I229" s="1679">
        <f t="shared" si="218"/>
        <v>118.29351750000001</v>
      </c>
      <c r="J229" s="1679">
        <f t="shared" si="218"/>
        <v>0</v>
      </c>
      <c r="K229" s="1679">
        <f t="shared" si="218"/>
        <v>21.266999999999996</v>
      </c>
      <c r="L229" s="1679">
        <f t="shared" si="218"/>
        <v>2.4166539999999999</v>
      </c>
      <c r="M229" s="1679">
        <f t="shared" si="218"/>
        <v>0</v>
      </c>
      <c r="N229" s="1679">
        <f t="shared" si="218"/>
        <v>0</v>
      </c>
      <c r="O229" s="1679">
        <f t="shared" si="218"/>
        <v>0</v>
      </c>
      <c r="P229" s="1679">
        <f t="shared" si="218"/>
        <v>93.63686349999999</v>
      </c>
      <c r="Q229" s="1679">
        <f t="shared" si="218"/>
        <v>0</v>
      </c>
      <c r="R229" s="1679">
        <f t="shared" si="218"/>
        <v>0</v>
      </c>
      <c r="S229" s="1679">
        <f t="shared" si="218"/>
        <v>0.97299999999999986</v>
      </c>
      <c r="T229" s="1679">
        <f t="shared" si="218"/>
        <v>93.791827650000002</v>
      </c>
      <c r="U229" s="1679">
        <f t="shared" si="218"/>
        <v>646.40578364999999</v>
      </c>
      <c r="V229" s="1679">
        <f t="shared" si="218"/>
        <v>419.0625</v>
      </c>
      <c r="W229" s="1679">
        <f t="shared" si="218"/>
        <v>126.80384249999997</v>
      </c>
      <c r="X229" s="1679">
        <f t="shared" si="218"/>
        <v>0</v>
      </c>
      <c r="Y229" s="1679">
        <f t="shared" si="218"/>
        <v>22.797000000000001</v>
      </c>
      <c r="Z229" s="1679">
        <f t="shared" si="218"/>
        <v>2.5905139999999998</v>
      </c>
      <c r="AA229" s="1679">
        <f t="shared" si="218"/>
        <v>0</v>
      </c>
      <c r="AB229" s="1679">
        <f t="shared" si="218"/>
        <v>0</v>
      </c>
      <c r="AC229" s="1679">
        <f t="shared" si="218"/>
        <v>0</v>
      </c>
      <c r="AD229" s="1679">
        <f t="shared" si="218"/>
        <v>100.37332849999999</v>
      </c>
      <c r="AE229" s="1679">
        <f t="shared" si="218"/>
        <v>0</v>
      </c>
      <c r="AF229" s="1679">
        <f t="shared" si="218"/>
        <v>0</v>
      </c>
      <c r="AG229" s="1679">
        <f t="shared" si="218"/>
        <v>1.0429999999999999</v>
      </c>
      <c r="AH229" s="1679">
        <f t="shared" si="218"/>
        <v>100.53944115</v>
      </c>
      <c r="AI229" s="1679">
        <f t="shared" si="218"/>
        <v>43.382938500000037</v>
      </c>
      <c r="AJ229" s="1679">
        <f t="shared" si="218"/>
        <v>505.97812200000044</v>
      </c>
      <c r="AK229" s="1448">
        <f t="shared" si="200"/>
        <v>0.63798438970588289</v>
      </c>
      <c r="AL229" s="1431">
        <f t="shared" si="163"/>
        <v>107.19424460431655</v>
      </c>
    </row>
    <row r="230" spans="1:38" s="1431" customFormat="1" ht="27.75" hidden="1" customHeight="1">
      <c r="A230" s="1375"/>
      <c r="B230" s="764" t="s">
        <v>2706</v>
      </c>
      <c r="C230" s="1367">
        <f t="shared" ref="C230:C265" si="219">D230+E230</f>
        <v>64</v>
      </c>
      <c r="D230" s="1455"/>
      <c r="E230" s="1455">
        <v>64</v>
      </c>
      <c r="F230" s="1455">
        <v>58</v>
      </c>
      <c r="G230" s="1614">
        <f>H230+I230+T230</f>
        <v>537.12544715000001</v>
      </c>
      <c r="H230" s="1617">
        <f>(27.06+217.36+5.42/2)*1.39</f>
        <v>343.51069999999999</v>
      </c>
      <c r="I230" s="1614">
        <f>SUM(J230:S230)</f>
        <v>111.6215175</v>
      </c>
      <c r="J230" s="1617"/>
      <c r="K230" s="1617">
        <f>(4.45+8.85)*1.39</f>
        <v>18.486999999999998</v>
      </c>
      <c r="L230" s="1617">
        <f>(0.6102+1.1284)*1.39</f>
        <v>2.4166539999999999</v>
      </c>
      <c r="M230" s="1617"/>
      <c r="N230" s="1617"/>
      <c r="O230" s="1617"/>
      <c r="P230" s="1617">
        <f>(8.03005+56.8346)*1.39</f>
        <v>90.161863499999995</v>
      </c>
      <c r="Q230" s="1617"/>
      <c r="R230" s="1617"/>
      <c r="S230" s="1617">
        <f>0.4*1.39</f>
        <v>0.55599999999999994</v>
      </c>
      <c r="T230" s="1621">
        <f>(H230+K230+L230)*22.5%</f>
        <v>81.993229650000004</v>
      </c>
      <c r="U230" s="1614">
        <f>V230+W230+AH230</f>
        <v>575.76756565000005</v>
      </c>
      <c r="V230" s="1617">
        <f>(27.06+217.36+5.42/2)*1.49</f>
        <v>368.22370000000001</v>
      </c>
      <c r="W230" s="1614">
        <f>SUM(X230:AG230)</f>
        <v>119.65184249999999</v>
      </c>
      <c r="X230" s="1617"/>
      <c r="Y230" s="1617">
        <f>(4.45+8.85)*1.49</f>
        <v>19.817</v>
      </c>
      <c r="Z230" s="1617">
        <f>(0.6102+1.1284)*1.49</f>
        <v>2.5905139999999998</v>
      </c>
      <c r="AA230" s="1617"/>
      <c r="AB230" s="1617"/>
      <c r="AC230" s="1617"/>
      <c r="AD230" s="1617">
        <f>(8.03005+56.8346)*1.49</f>
        <v>96.648328499999991</v>
      </c>
      <c r="AE230" s="1617"/>
      <c r="AF230" s="1617"/>
      <c r="AG230" s="1617">
        <f>0.4*1.49</f>
        <v>0.59599999999999997</v>
      </c>
      <c r="AH230" s="1621">
        <f>(V230+Y230+Z230)*22.5%</f>
        <v>87.89202315</v>
      </c>
      <c r="AI230" s="1621">
        <f t="shared" ref="AI230:AI236" si="220">U230-G230</f>
        <v>38.642118500000038</v>
      </c>
      <c r="AJ230" s="1621">
        <f t="shared" ref="AJ230:AJ231" si="221">AI230*12</f>
        <v>463.70542200000045</v>
      </c>
      <c r="AK230" s="1448">
        <f t="shared" si="200"/>
        <v>0.66624342241379375</v>
      </c>
      <c r="AL230" s="1431">
        <f t="shared" si="163"/>
        <v>107.19424460431655</v>
      </c>
    </row>
    <row r="231" spans="1:38" s="1431" customFormat="1" ht="27.75" hidden="1" customHeight="1">
      <c r="A231" s="1375"/>
      <c r="B231" s="764" t="s">
        <v>2707</v>
      </c>
      <c r="C231" s="1367">
        <f t="shared" si="219"/>
        <v>9</v>
      </c>
      <c r="D231" s="1455"/>
      <c r="E231" s="1455">
        <v>9</v>
      </c>
      <c r="F231" s="1455">
        <v>5</v>
      </c>
      <c r="G231" s="1614">
        <f>H231+I231+T231</f>
        <v>32.034357</v>
      </c>
      <c r="H231" s="1617">
        <f>17.78*1.39</f>
        <v>24.714199999999998</v>
      </c>
      <c r="I231" s="1614">
        <f>SUM(J231:S231)</f>
        <v>1.2509999999999999</v>
      </c>
      <c r="J231" s="1617"/>
      <c r="K231" s="1617">
        <f>0.8*1.39</f>
        <v>1.1119999999999999</v>
      </c>
      <c r="L231" s="1617"/>
      <c r="M231" s="1617"/>
      <c r="N231" s="1617"/>
      <c r="O231" s="1617"/>
      <c r="P231" s="1617"/>
      <c r="Q231" s="1617"/>
      <c r="R231" s="1617"/>
      <c r="S231" s="1617">
        <f>0.1*1.39</f>
        <v>0.13899999999999998</v>
      </c>
      <c r="T231" s="1621">
        <f>(H231+K231+L231)*23.5%</f>
        <v>6.0691569999999988</v>
      </c>
      <c r="U231" s="1614">
        <f>V231+W231+AH231</f>
        <v>34.338987000000003</v>
      </c>
      <c r="V231" s="1617">
        <f>17.78*1.49</f>
        <v>26.4922</v>
      </c>
      <c r="W231" s="1614">
        <f>SUM(X231:AG231)</f>
        <v>1.341</v>
      </c>
      <c r="X231" s="1617"/>
      <c r="Y231" s="1617">
        <f>0.8*1.49</f>
        <v>1.1919999999999999</v>
      </c>
      <c r="Z231" s="1617"/>
      <c r="AA231" s="1617"/>
      <c r="AB231" s="1617"/>
      <c r="AC231" s="1617"/>
      <c r="AD231" s="1617"/>
      <c r="AE231" s="1617"/>
      <c r="AF231" s="1617"/>
      <c r="AG231" s="1617">
        <f>0.1*1.49</f>
        <v>0.14899999999999999</v>
      </c>
      <c r="AH231" s="1621">
        <f>(V231+Y231+Z231)*23.5%</f>
        <v>6.5057869999999998</v>
      </c>
      <c r="AI231" s="1621">
        <f t="shared" si="220"/>
        <v>2.3046300000000031</v>
      </c>
      <c r="AJ231" s="1621">
        <f t="shared" si="221"/>
        <v>27.655560000000037</v>
      </c>
      <c r="AK231" s="1448">
        <f t="shared" si="200"/>
        <v>0.46092600000000061</v>
      </c>
      <c r="AL231" s="1431">
        <f t="shared" si="163"/>
        <v>107.19424460431655</v>
      </c>
    </row>
    <row r="232" spans="1:38" s="1431" customFormat="1" ht="27.75" hidden="1" customHeight="1">
      <c r="A232" s="1375"/>
      <c r="B232" s="764" t="s">
        <v>2708</v>
      </c>
      <c r="C232" s="1367">
        <f>D232+E232</f>
        <v>8</v>
      </c>
      <c r="D232" s="1455">
        <f>D233+D234</f>
        <v>0</v>
      </c>
      <c r="E232" s="1455">
        <f t="shared" ref="E232:F232" si="222">E233+E234</f>
        <v>8</v>
      </c>
      <c r="F232" s="1455">
        <f t="shared" si="222"/>
        <v>5</v>
      </c>
      <c r="G232" s="1614">
        <f>G233+G234</f>
        <v>33.863040999999996</v>
      </c>
      <c r="H232" s="1617">
        <f>H233+H234</f>
        <v>22.712599999999995</v>
      </c>
      <c r="I232" s="1614">
        <f>I233+I234</f>
        <v>5.4209999999999994</v>
      </c>
      <c r="J232" s="1614">
        <f t="shared" ref="J232:S232" si="223">J233+J234</f>
        <v>0</v>
      </c>
      <c r="K232" s="1614">
        <f t="shared" si="223"/>
        <v>1.6679999999999999</v>
      </c>
      <c r="L232" s="1614">
        <f t="shared" si="223"/>
        <v>0</v>
      </c>
      <c r="M232" s="1614">
        <f t="shared" si="223"/>
        <v>0</v>
      </c>
      <c r="N232" s="1614">
        <f t="shared" si="223"/>
        <v>0</v>
      </c>
      <c r="O232" s="1614">
        <f t="shared" si="223"/>
        <v>0</v>
      </c>
      <c r="P232" s="1614">
        <f t="shared" si="223"/>
        <v>3.4749999999999996</v>
      </c>
      <c r="Q232" s="1614">
        <f t="shared" si="223"/>
        <v>0</v>
      </c>
      <c r="R232" s="1614">
        <f t="shared" si="223"/>
        <v>0</v>
      </c>
      <c r="S232" s="1614">
        <f t="shared" si="223"/>
        <v>0.27799999999999997</v>
      </c>
      <c r="T232" s="1621">
        <f>T233+T234</f>
        <v>5.7294409999999978</v>
      </c>
      <c r="U232" s="1621">
        <f>U233+U234</f>
        <v>36.299230999999992</v>
      </c>
      <c r="V232" s="1617">
        <f>V233+V234</f>
        <v>24.346599999999995</v>
      </c>
      <c r="W232" s="1614">
        <f>W233+W234</f>
        <v>5.8109999999999999</v>
      </c>
      <c r="X232" s="1617"/>
      <c r="Y232" s="1617">
        <f>Y233+Y234</f>
        <v>1.788</v>
      </c>
      <c r="Z232" s="1617">
        <f t="shared" ref="Z232:AG232" si="224">Z233+Z234</f>
        <v>0</v>
      </c>
      <c r="AA232" s="1617">
        <f t="shared" si="224"/>
        <v>0</v>
      </c>
      <c r="AB232" s="1617">
        <f t="shared" si="224"/>
        <v>0</v>
      </c>
      <c r="AC232" s="1617">
        <f t="shared" si="224"/>
        <v>0</v>
      </c>
      <c r="AD232" s="1617">
        <f t="shared" si="224"/>
        <v>3.7250000000000001</v>
      </c>
      <c r="AE232" s="1617">
        <f t="shared" si="224"/>
        <v>0</v>
      </c>
      <c r="AF232" s="1617">
        <f t="shared" si="224"/>
        <v>0</v>
      </c>
      <c r="AG232" s="1617">
        <f t="shared" si="224"/>
        <v>0.29799999999999999</v>
      </c>
      <c r="AH232" s="1621">
        <f>AH233+AH234</f>
        <v>6.1416309999999985</v>
      </c>
      <c r="AI232" s="1621">
        <f t="shared" si="220"/>
        <v>2.4361899999999963</v>
      </c>
      <c r="AJ232" s="1621">
        <f t="shared" ref="AJ232" si="225">AI232*6</f>
        <v>14.617139999999978</v>
      </c>
      <c r="AK232" s="1448">
        <f t="shared" si="200"/>
        <v>0.48723799999999928</v>
      </c>
      <c r="AL232" s="1431">
        <f t="shared" si="163"/>
        <v>107.19424460431655</v>
      </c>
    </row>
    <row r="233" spans="1:38" s="1431" customFormat="1" ht="27.75" hidden="1" customHeight="1">
      <c r="A233" s="1375"/>
      <c r="B233" s="764" t="s">
        <v>2709</v>
      </c>
      <c r="C233" s="1367">
        <f>D233+E233</f>
        <v>2</v>
      </c>
      <c r="D233" s="1455"/>
      <c r="E233" s="1455">
        <v>2</v>
      </c>
      <c r="F233" s="1455">
        <v>2</v>
      </c>
      <c r="G233" s="1614">
        <f>H233+I233+T233</f>
        <v>20.641500000000001</v>
      </c>
      <c r="H233" s="1617">
        <f>(4.4+4.4)*1.39</f>
        <v>12.231999999999999</v>
      </c>
      <c r="I233" s="1614">
        <f>SUM(J233:S233)</f>
        <v>5.1429999999999998</v>
      </c>
      <c r="J233" s="1617"/>
      <c r="K233" s="1617">
        <f>1.2*1.39</f>
        <v>1.6679999999999999</v>
      </c>
      <c r="L233" s="1617"/>
      <c r="M233" s="1617"/>
      <c r="N233" s="1617"/>
      <c r="O233" s="1617"/>
      <c r="P233" s="1617">
        <f>2.5*1.39</f>
        <v>3.4749999999999996</v>
      </c>
      <c r="Q233" s="1617"/>
      <c r="R233" s="1617"/>
      <c r="S233" s="1617"/>
      <c r="T233" s="1621">
        <f>(H233+K233+L233)*23.5%</f>
        <v>3.2664999999999993</v>
      </c>
      <c r="U233" s="1614">
        <f>V233+W233+AH233</f>
        <v>22.1265</v>
      </c>
      <c r="V233" s="1617">
        <f>(4.4+4.4)*1.49</f>
        <v>13.112</v>
      </c>
      <c r="W233" s="1614">
        <f>SUM(X233:AG233)</f>
        <v>5.5129999999999999</v>
      </c>
      <c r="X233" s="1617"/>
      <c r="Y233" s="1617">
        <f>1.2*1.49</f>
        <v>1.788</v>
      </c>
      <c r="Z233" s="1617"/>
      <c r="AA233" s="1617"/>
      <c r="AB233" s="1617"/>
      <c r="AC233" s="1617"/>
      <c r="AD233" s="1617">
        <f>2.5*1.49</f>
        <v>3.7250000000000001</v>
      </c>
      <c r="AE233" s="1617"/>
      <c r="AF233" s="1617"/>
      <c r="AG233" s="1617"/>
      <c r="AH233" s="1621">
        <f>(V233+Y233+Z233)*23.5%</f>
        <v>3.5015000000000001</v>
      </c>
      <c r="AI233" s="1621">
        <f t="shared" si="220"/>
        <v>1.4849999999999994</v>
      </c>
      <c r="AJ233" s="1621">
        <f t="shared" ref="AJ233:AJ236" si="226">AI233*12</f>
        <v>17.819999999999993</v>
      </c>
      <c r="AK233" s="1448">
        <f t="shared" si="200"/>
        <v>0.74249999999999972</v>
      </c>
      <c r="AL233" s="1431">
        <f t="shared" si="163"/>
        <v>107.19424460431655</v>
      </c>
    </row>
    <row r="234" spans="1:38" s="1431" customFormat="1" ht="27.75" hidden="1" customHeight="1">
      <c r="A234" s="1375"/>
      <c r="B234" s="764" t="s">
        <v>2710</v>
      </c>
      <c r="C234" s="1367">
        <f>D234+E234</f>
        <v>6</v>
      </c>
      <c r="D234" s="1455"/>
      <c r="E234" s="1455">
        <v>6</v>
      </c>
      <c r="F234" s="1455">
        <v>3</v>
      </c>
      <c r="G234" s="1614">
        <f>H234+I234+T234</f>
        <v>13.221540999999995</v>
      </c>
      <c r="H234" s="1617">
        <f>(19.56-8.8-3.22)*1.39</f>
        <v>10.480599999999995</v>
      </c>
      <c r="I234" s="1614">
        <f>SUM(J234:S234)</f>
        <v>0.27799999999999997</v>
      </c>
      <c r="J234" s="1617"/>
      <c r="K234" s="1617"/>
      <c r="L234" s="1617"/>
      <c r="M234" s="1617"/>
      <c r="N234" s="1617"/>
      <c r="O234" s="1617"/>
      <c r="P234" s="1617"/>
      <c r="Q234" s="1617"/>
      <c r="R234" s="1617"/>
      <c r="S234" s="1617">
        <f>0.2*1.39</f>
        <v>0.27799999999999997</v>
      </c>
      <c r="T234" s="1621">
        <f>(H234+K234+L234)*23.5%</f>
        <v>2.4629409999999989</v>
      </c>
      <c r="U234" s="1614">
        <f>V234+W234+AH234</f>
        <v>14.172730999999995</v>
      </c>
      <c r="V234" s="1617">
        <f>(19.56-8.8-3.22)*1.49</f>
        <v>11.234599999999997</v>
      </c>
      <c r="W234" s="1614">
        <f>SUM(X234:AG234)</f>
        <v>0.29799999999999999</v>
      </c>
      <c r="X234" s="1617"/>
      <c r="Y234" s="1617"/>
      <c r="Z234" s="1617"/>
      <c r="AA234" s="1617"/>
      <c r="AB234" s="1617"/>
      <c r="AC234" s="1617"/>
      <c r="AD234" s="1617"/>
      <c r="AE234" s="1617"/>
      <c r="AF234" s="1617"/>
      <c r="AG234" s="1617">
        <f>0.2*1.49</f>
        <v>0.29799999999999999</v>
      </c>
      <c r="AH234" s="1621">
        <f>(V234+Y234+Z234)*23.5%</f>
        <v>2.6401309999999989</v>
      </c>
      <c r="AI234" s="1621">
        <f t="shared" si="220"/>
        <v>0.95119000000000042</v>
      </c>
      <c r="AJ234" s="1621">
        <f t="shared" si="226"/>
        <v>11.414280000000005</v>
      </c>
      <c r="AK234" s="1448">
        <f t="shared" si="200"/>
        <v>0.31706333333333347</v>
      </c>
      <c r="AL234" s="1431">
        <f t="shared" si="163"/>
        <v>107.19424460431655</v>
      </c>
    </row>
    <row r="235" spans="1:38" s="1431" customFormat="1" ht="27.75" hidden="1" customHeight="1">
      <c r="A235" s="1375">
        <v>32</v>
      </c>
      <c r="B235" s="764" t="s">
        <v>2711</v>
      </c>
      <c r="C235" s="1367">
        <f t="shared" si="219"/>
        <v>28</v>
      </c>
      <c r="D235" s="1455"/>
      <c r="E235" s="1455">
        <v>28</v>
      </c>
      <c r="F235" s="1455">
        <v>27</v>
      </c>
      <c r="G235" s="1614">
        <f>H235+I235+T235</f>
        <v>268.31659974999997</v>
      </c>
      <c r="H235" s="1617">
        <f>(119.01-2.62)*1.39</f>
        <v>161.78209999999999</v>
      </c>
      <c r="I235" s="1614">
        <f>SUM(J235:S235)</f>
        <v>65.689662499999997</v>
      </c>
      <c r="J235" s="1617"/>
      <c r="K235" s="1617">
        <f>12.6*1.39</f>
        <v>17.513999999999999</v>
      </c>
      <c r="L235" s="1617">
        <f>1.609*1.39</f>
        <v>2.23651</v>
      </c>
      <c r="M235" s="1617"/>
      <c r="N235" s="1617"/>
      <c r="O235" s="1617"/>
      <c r="P235" s="1617">
        <f>(H235+K235+L235)*25%</f>
        <v>45.383152500000001</v>
      </c>
      <c r="Q235" s="1617"/>
      <c r="R235" s="1617"/>
      <c r="S235" s="1617">
        <f>(0.2+0.2)*1.39</f>
        <v>0.55599999999999994</v>
      </c>
      <c r="T235" s="1621">
        <f>(H235+K235+L235)*22.5%</f>
        <v>40.844837250000005</v>
      </c>
      <c r="U235" s="1614">
        <f>V235+W235+AH235</f>
        <v>287.61995224999998</v>
      </c>
      <c r="V235" s="1617">
        <f>(119.01-2.62)*1.49</f>
        <v>173.4211</v>
      </c>
      <c r="W235" s="1614">
        <f>SUM(X235:AG235)</f>
        <v>70.415537499999999</v>
      </c>
      <c r="X235" s="1617"/>
      <c r="Y235" s="1617">
        <f>12.6*1.49</f>
        <v>18.774000000000001</v>
      </c>
      <c r="Z235" s="1617">
        <f>1.609*1.49</f>
        <v>2.3974099999999998</v>
      </c>
      <c r="AA235" s="1617"/>
      <c r="AB235" s="1617"/>
      <c r="AC235" s="1617"/>
      <c r="AD235" s="1617">
        <f>(V235+Y235+Z235)*25%</f>
        <v>48.648127500000001</v>
      </c>
      <c r="AE235" s="1617"/>
      <c r="AF235" s="1617"/>
      <c r="AG235" s="1617">
        <f>(0.2+0.2)*1.49</f>
        <v>0.59599999999999997</v>
      </c>
      <c r="AH235" s="1621">
        <f>(V235+Y235+Z235)*22.5%</f>
        <v>43.783314750000002</v>
      </c>
      <c r="AI235" s="1621">
        <f t="shared" si="220"/>
        <v>19.303352500000017</v>
      </c>
      <c r="AJ235" s="1621">
        <f t="shared" si="226"/>
        <v>231.6402300000002</v>
      </c>
      <c r="AK235" s="1448">
        <f t="shared" si="200"/>
        <v>0.71493898148148205</v>
      </c>
      <c r="AL235" s="1431">
        <f t="shared" ref="AL235:AL298" si="227">U235/G235*100</f>
        <v>107.19424460431655</v>
      </c>
    </row>
    <row r="236" spans="1:38" s="1431" customFormat="1" ht="27.75" hidden="1" customHeight="1">
      <c r="A236" s="1375">
        <v>33</v>
      </c>
      <c r="B236" s="764" t="s">
        <v>2712</v>
      </c>
      <c r="C236" s="1484">
        <f>+D236+E236</f>
        <v>36</v>
      </c>
      <c r="D236" s="1484"/>
      <c r="E236" s="1484">
        <v>36</v>
      </c>
      <c r="F236" s="1484">
        <v>34</v>
      </c>
      <c r="G236" s="1657">
        <f>H236+I236+T236</f>
        <v>353.73580062499997</v>
      </c>
      <c r="H236" s="1657">
        <f>133.02*1.39</f>
        <v>184.89779999999999</v>
      </c>
      <c r="I236" s="1657">
        <f>SUM(J236:S236)</f>
        <v>120.597095</v>
      </c>
      <c r="J236" s="1657"/>
      <c r="K236" s="1657">
        <f>7*1.39</f>
        <v>9.7299999999999986</v>
      </c>
      <c r="L236" s="1657"/>
      <c r="M236" s="1657"/>
      <c r="N236" s="1657"/>
      <c r="O236" s="1657"/>
      <c r="P236" s="1658">
        <f>35.005*1.39</f>
        <v>48.656950000000002</v>
      </c>
      <c r="Q236" s="1658"/>
      <c r="R236" s="1657">
        <f>14.2275*1.39</f>
        <v>19.776224999999997</v>
      </c>
      <c r="S236" s="1657">
        <f>(0.2+30.328)*1.39</f>
        <v>42.433919999999993</v>
      </c>
      <c r="T236" s="1657">
        <f>+(H236+K236+L236+R236)*0.225</f>
        <v>48.240905624999996</v>
      </c>
      <c r="U236" s="1657">
        <f>V236+W236+AH236</f>
        <v>379.184419375</v>
      </c>
      <c r="V236" s="1657">
        <f>133.02*1.49</f>
        <v>198.19980000000001</v>
      </c>
      <c r="W236" s="1657">
        <f>SUM(X236:AG236)</f>
        <v>129.273145</v>
      </c>
      <c r="X236" s="1657"/>
      <c r="Y236" s="1657">
        <f>7*1.49</f>
        <v>10.43</v>
      </c>
      <c r="Z236" s="1657"/>
      <c r="AA236" s="1657"/>
      <c r="AB236" s="1657"/>
      <c r="AC236" s="1657"/>
      <c r="AD236" s="1658">
        <f>35.005*1.49</f>
        <v>52.157450000000004</v>
      </c>
      <c r="AE236" s="1658"/>
      <c r="AF236" s="1657">
        <f>14.2275*1.49</f>
        <v>21.198974999999997</v>
      </c>
      <c r="AG236" s="1657">
        <f>(0.2+30.328)*1.49</f>
        <v>45.486719999999998</v>
      </c>
      <c r="AH236" s="1657">
        <f>+(V236+Y236+Z236+AF236)*0.225</f>
        <v>51.711474375000002</v>
      </c>
      <c r="AI236" s="1621">
        <f t="shared" si="220"/>
        <v>25.448618750000037</v>
      </c>
      <c r="AJ236" s="1621">
        <f t="shared" si="226"/>
        <v>305.38342500000044</v>
      </c>
      <c r="AK236" s="1448">
        <f t="shared" si="200"/>
        <v>0.74848878676470698</v>
      </c>
      <c r="AL236" s="1431">
        <f t="shared" si="227"/>
        <v>107.19424460431657</v>
      </c>
    </row>
    <row r="237" spans="1:38" s="1431" customFormat="1" ht="27.75" hidden="1" customHeight="1">
      <c r="A237" s="1375">
        <v>34</v>
      </c>
      <c r="B237" s="1453" t="s">
        <v>2291</v>
      </c>
      <c r="C237" s="582">
        <f>SUM(C238:C243)</f>
        <v>68</v>
      </c>
      <c r="D237" s="582">
        <f t="shared" ref="D237:AJ237" si="228">SUM(D238:D243)</f>
        <v>13</v>
      </c>
      <c r="E237" s="582">
        <f t="shared" si="228"/>
        <v>55</v>
      </c>
      <c r="F237" s="582">
        <f t="shared" si="228"/>
        <v>63</v>
      </c>
      <c r="G237" s="1659">
        <f t="shared" si="228"/>
        <v>520.11</v>
      </c>
      <c r="H237" s="1659">
        <f t="shared" si="228"/>
        <v>333</v>
      </c>
      <c r="I237" s="1659">
        <f t="shared" si="228"/>
        <v>108.11</v>
      </c>
      <c r="J237" s="1659">
        <f t="shared" si="228"/>
        <v>0</v>
      </c>
      <c r="K237" s="1659">
        <f t="shared" si="228"/>
        <v>18</v>
      </c>
      <c r="L237" s="1659">
        <f t="shared" si="228"/>
        <v>1</v>
      </c>
      <c r="M237" s="1659">
        <f t="shared" si="228"/>
        <v>0</v>
      </c>
      <c r="N237" s="1659">
        <f t="shared" si="228"/>
        <v>0</v>
      </c>
      <c r="O237" s="1659">
        <f t="shared" si="228"/>
        <v>0</v>
      </c>
      <c r="P237" s="1659">
        <f t="shared" si="228"/>
        <v>73</v>
      </c>
      <c r="Q237" s="1659">
        <f t="shared" si="228"/>
        <v>4.25</v>
      </c>
      <c r="R237" s="1659">
        <f t="shared" si="228"/>
        <v>3</v>
      </c>
      <c r="S237" s="1659">
        <f t="shared" si="228"/>
        <v>8.86</v>
      </c>
      <c r="T237" s="1659">
        <f t="shared" si="228"/>
        <v>79</v>
      </c>
      <c r="U237" s="1659">
        <f t="shared" si="228"/>
        <v>562.52798561151076</v>
      </c>
      <c r="V237" s="1659">
        <f t="shared" si="228"/>
        <v>360.95683453237416</v>
      </c>
      <c r="W237" s="1659">
        <f t="shared" si="228"/>
        <v>115.88769784172663</v>
      </c>
      <c r="X237" s="1659">
        <f t="shared" si="228"/>
        <v>0</v>
      </c>
      <c r="Y237" s="1659">
        <f t="shared" si="228"/>
        <v>19.294964028776977</v>
      </c>
      <c r="Z237" s="1659">
        <f t="shared" si="228"/>
        <v>1.0719424460431657</v>
      </c>
      <c r="AA237" s="1659">
        <f t="shared" si="228"/>
        <v>0</v>
      </c>
      <c r="AB237" s="1659">
        <f t="shared" si="228"/>
        <v>0</v>
      </c>
      <c r="AC237" s="1659">
        <f t="shared" si="228"/>
        <v>0</v>
      </c>
      <c r="AD237" s="1659">
        <f t="shared" si="228"/>
        <v>78.251798561151091</v>
      </c>
      <c r="AE237" s="1659">
        <f t="shared" si="228"/>
        <v>4.5557553956834536</v>
      </c>
      <c r="AF237" s="1659">
        <f t="shared" si="228"/>
        <v>3.2158273381294968</v>
      </c>
      <c r="AG237" s="1659">
        <f t="shared" si="228"/>
        <v>9.497410071942447</v>
      </c>
      <c r="AH237" s="1659">
        <f t="shared" si="228"/>
        <v>85.683453237410077</v>
      </c>
      <c r="AI237" s="1659">
        <f t="shared" si="228"/>
        <v>42.417985611510844</v>
      </c>
      <c r="AJ237" s="1659">
        <f t="shared" si="228"/>
        <v>509.01582733813012</v>
      </c>
      <c r="AK237" s="1448">
        <f t="shared" si="200"/>
        <v>0.67330135891287057</v>
      </c>
      <c r="AL237" s="1431">
        <f t="shared" si="227"/>
        <v>108.15557970650647</v>
      </c>
    </row>
    <row r="238" spans="1:38" s="1431" customFormat="1" ht="27.75" hidden="1" customHeight="1">
      <c r="A238" s="1375"/>
      <c r="B238" s="764" t="s">
        <v>2713</v>
      </c>
      <c r="C238" s="1503">
        <v>36</v>
      </c>
      <c r="D238" s="1503"/>
      <c r="E238" s="1503">
        <v>36</v>
      </c>
      <c r="F238" s="1503">
        <v>32</v>
      </c>
      <c r="G238" s="1680">
        <f>H238+I238+T238</f>
        <v>299</v>
      </c>
      <c r="H238" s="1680">
        <v>183</v>
      </c>
      <c r="I238" s="1680">
        <f>SUM(J238:S238)</f>
        <v>72</v>
      </c>
      <c r="J238" s="1680"/>
      <c r="K238" s="1680">
        <v>10</v>
      </c>
      <c r="L238" s="1680">
        <v>1</v>
      </c>
      <c r="M238" s="1680"/>
      <c r="N238" s="1680"/>
      <c r="O238" s="1680"/>
      <c r="P238" s="1681">
        <v>49</v>
      </c>
      <c r="Q238" s="1681">
        <v>3</v>
      </c>
      <c r="R238" s="1680">
        <v>3</v>
      </c>
      <c r="S238" s="1680">
        <v>6</v>
      </c>
      <c r="T238" s="1680">
        <v>44</v>
      </c>
      <c r="U238" s="1646">
        <f t="shared" ref="U238:U241" si="229">V238+W238+AH238</f>
        <v>320.51079136690652</v>
      </c>
      <c r="V238" s="1681">
        <f t="shared" ref="V238:V240" si="230">(H238/1.39)*1.49</f>
        <v>196.16546762589931</v>
      </c>
      <c r="W238" s="1680">
        <f>SUM(X238:AG238)</f>
        <v>77.179856115107924</v>
      </c>
      <c r="X238" s="1680"/>
      <c r="Y238" s="1681">
        <f t="shared" ref="Y238:Z241" si="231">(K238/1.39)*1.49</f>
        <v>10.719424460431656</v>
      </c>
      <c r="Z238" s="1681">
        <f t="shared" si="231"/>
        <v>1.0719424460431657</v>
      </c>
      <c r="AA238" s="1680"/>
      <c r="AB238" s="1680"/>
      <c r="AC238" s="1680"/>
      <c r="AD238" s="1681">
        <f>(P238/1.39)*1.49</f>
        <v>52.525179856115116</v>
      </c>
      <c r="AE238" s="1681">
        <f>(Q238/1.39)*1.49</f>
        <v>3.2158273381294968</v>
      </c>
      <c r="AF238" s="1681">
        <f>(R238/1.39)*1.49</f>
        <v>3.2158273381294968</v>
      </c>
      <c r="AG238" s="1681">
        <f>(S238/1.39)*1.49</f>
        <v>6.4316546762589937</v>
      </c>
      <c r="AH238" s="1681">
        <f t="shared" ref="AH238:AH240" si="232">(T238/1.39)*1.49</f>
        <v>47.165467625899282</v>
      </c>
      <c r="AI238" s="1621">
        <f>U238-G238</f>
        <v>21.510791366906517</v>
      </c>
      <c r="AJ238" s="1621">
        <f t="shared" ref="AJ238:AJ242" si="233">AI238*12</f>
        <v>258.1294964028782</v>
      </c>
      <c r="AK238" s="1448">
        <f t="shared" si="200"/>
        <v>0.67221223021582865</v>
      </c>
      <c r="AL238" s="1431">
        <f t="shared" si="227"/>
        <v>107.19424460431657</v>
      </c>
    </row>
    <row r="239" spans="1:38" s="1431" customFormat="1" ht="27.75" hidden="1" customHeight="1">
      <c r="A239" s="1375"/>
      <c r="B239" s="764" t="s">
        <v>2714</v>
      </c>
      <c r="C239" s="1503">
        <v>10</v>
      </c>
      <c r="D239" s="1503"/>
      <c r="E239" s="1503">
        <v>10</v>
      </c>
      <c r="F239" s="1503">
        <v>9</v>
      </c>
      <c r="G239" s="1680">
        <f>H239+I239+T239</f>
        <v>69.72</v>
      </c>
      <c r="H239" s="1680">
        <v>44</v>
      </c>
      <c r="I239" s="1680">
        <f>SUM(J239:S239)</f>
        <v>15.72</v>
      </c>
      <c r="J239" s="1680"/>
      <c r="K239" s="1680">
        <v>3</v>
      </c>
      <c r="L239" s="1680"/>
      <c r="M239" s="1680"/>
      <c r="N239" s="1680"/>
      <c r="O239" s="1680"/>
      <c r="P239" s="1681">
        <v>12</v>
      </c>
      <c r="Q239" s="1681">
        <v>0.42</v>
      </c>
      <c r="R239" s="1680"/>
      <c r="S239" s="1680">
        <v>0.3</v>
      </c>
      <c r="T239" s="1680">
        <v>10</v>
      </c>
      <c r="U239" s="1646">
        <f t="shared" si="229"/>
        <v>74.735827338129496</v>
      </c>
      <c r="V239" s="1681">
        <f t="shared" si="230"/>
        <v>47.165467625899282</v>
      </c>
      <c r="W239" s="1680">
        <f>SUM(X239:AG239)</f>
        <v>16.850935251798564</v>
      </c>
      <c r="X239" s="1680"/>
      <c r="Y239" s="1681">
        <f t="shared" si="231"/>
        <v>3.2158273381294968</v>
      </c>
      <c r="Z239" s="1680"/>
      <c r="AA239" s="1680"/>
      <c r="AB239" s="1680"/>
      <c r="AC239" s="1680"/>
      <c r="AD239" s="1681">
        <f t="shared" ref="AD239:AE240" si="234">(P239/1.39)*1.49</f>
        <v>12.863309352517987</v>
      </c>
      <c r="AE239" s="1681">
        <f t="shared" si="234"/>
        <v>0.45021582733812948</v>
      </c>
      <c r="AF239" s="1680"/>
      <c r="AG239" s="1681">
        <f t="shared" ref="AG239:AG240" si="235">(S239/1.39)*1.49</f>
        <v>0.32158273381294966</v>
      </c>
      <c r="AH239" s="1681">
        <f t="shared" si="232"/>
        <v>10.719424460431656</v>
      </c>
      <c r="AI239" s="1621">
        <f>U239-G239</f>
        <v>5.0158273381294975</v>
      </c>
      <c r="AJ239" s="1621">
        <f t="shared" si="233"/>
        <v>60.189928057553971</v>
      </c>
      <c r="AK239" s="1448">
        <f t="shared" si="200"/>
        <v>0.55731414868105533</v>
      </c>
      <c r="AL239" s="1431">
        <f t="shared" si="227"/>
        <v>107.19424460431655</v>
      </c>
    </row>
    <row r="240" spans="1:38" s="1431" customFormat="1" ht="27.75" hidden="1" customHeight="1">
      <c r="A240" s="1375"/>
      <c r="B240" s="764" t="s">
        <v>2715</v>
      </c>
      <c r="C240" s="1503">
        <v>9</v>
      </c>
      <c r="D240" s="1503"/>
      <c r="E240" s="1503">
        <v>9</v>
      </c>
      <c r="F240" s="1503">
        <v>9</v>
      </c>
      <c r="G240" s="1680">
        <f>H240+I240+T240</f>
        <v>74.11</v>
      </c>
      <c r="H240" s="1680">
        <v>47</v>
      </c>
      <c r="I240" s="1680">
        <f>SUM(J240:S240)</f>
        <v>16.11</v>
      </c>
      <c r="J240" s="1680"/>
      <c r="K240" s="1680">
        <v>3</v>
      </c>
      <c r="L240" s="1680"/>
      <c r="M240" s="1680"/>
      <c r="N240" s="1680"/>
      <c r="O240" s="1680"/>
      <c r="P240" s="1681">
        <v>12</v>
      </c>
      <c r="Q240" s="1681">
        <v>0.83</v>
      </c>
      <c r="R240" s="1680"/>
      <c r="S240" s="1680">
        <v>0.28000000000000003</v>
      </c>
      <c r="T240" s="1680">
        <v>11</v>
      </c>
      <c r="U240" s="1646">
        <f t="shared" si="229"/>
        <v>79.441654676258992</v>
      </c>
      <c r="V240" s="1681">
        <f t="shared" si="230"/>
        <v>50.381294964028775</v>
      </c>
      <c r="W240" s="1680">
        <f>SUM(X240:AG240)</f>
        <v>17.268992805755399</v>
      </c>
      <c r="X240" s="1680"/>
      <c r="Y240" s="1681">
        <f t="shared" si="231"/>
        <v>3.2158273381294968</v>
      </c>
      <c r="Z240" s="1680"/>
      <c r="AA240" s="1680"/>
      <c r="AB240" s="1680"/>
      <c r="AC240" s="1680"/>
      <c r="AD240" s="1681">
        <f t="shared" si="234"/>
        <v>12.863309352517987</v>
      </c>
      <c r="AE240" s="1681">
        <f t="shared" si="234"/>
        <v>0.88971223021582746</v>
      </c>
      <c r="AF240" s="1680"/>
      <c r="AG240" s="1681">
        <f t="shared" si="235"/>
        <v>0.30014388489208638</v>
      </c>
      <c r="AH240" s="1681">
        <f t="shared" si="232"/>
        <v>11.791366906474821</v>
      </c>
      <c r="AI240" s="1621">
        <f>U240-G240</f>
        <v>5.3316546762589923</v>
      </c>
      <c r="AJ240" s="1621">
        <f t="shared" si="233"/>
        <v>63.979856115107907</v>
      </c>
      <c r="AK240" s="1448">
        <f t="shared" si="200"/>
        <v>0.59240607513988808</v>
      </c>
      <c r="AL240" s="1431">
        <f t="shared" si="227"/>
        <v>107.19424460431655</v>
      </c>
    </row>
    <row r="241" spans="1:38" s="1431" customFormat="1" ht="27.75" hidden="1" customHeight="1">
      <c r="A241" s="1375"/>
      <c r="B241" s="764" t="s">
        <v>2716</v>
      </c>
      <c r="C241" s="1503">
        <v>13</v>
      </c>
      <c r="D241" s="1503">
        <v>13</v>
      </c>
      <c r="E241" s="1503"/>
      <c r="F241" s="1503">
        <v>13</v>
      </c>
      <c r="G241" s="1680">
        <f>H241+I241+T241</f>
        <v>77.28</v>
      </c>
      <c r="H241" s="1680">
        <v>59</v>
      </c>
      <c r="I241" s="1680">
        <f>SUM(J241:S241)</f>
        <v>4.28</v>
      </c>
      <c r="J241" s="1680"/>
      <c r="K241" s="1680">
        <v>2</v>
      </c>
      <c r="L241" s="1680"/>
      <c r="M241" s="1680"/>
      <c r="N241" s="1680"/>
      <c r="O241" s="1680"/>
      <c r="P241" s="1681"/>
      <c r="Q241" s="1681"/>
      <c r="R241" s="1680"/>
      <c r="S241" s="1680">
        <f>2+0.28</f>
        <v>2.2800000000000002</v>
      </c>
      <c r="T241" s="1680">
        <v>14</v>
      </c>
      <c r="U241" s="1646">
        <f t="shared" si="229"/>
        <v>87.839712230215838</v>
      </c>
      <c r="V241" s="1681">
        <f>(H241/1.39)*1.49+4</f>
        <v>67.24460431654677</v>
      </c>
      <c r="W241" s="1680">
        <f>SUM(X241:AG241)</f>
        <v>4.5879136690647488</v>
      </c>
      <c r="X241" s="1680"/>
      <c r="Y241" s="1681">
        <f t="shared" si="231"/>
        <v>2.1438848920863314</v>
      </c>
      <c r="Z241" s="1680"/>
      <c r="AA241" s="1680"/>
      <c r="AB241" s="1680"/>
      <c r="AC241" s="1680"/>
      <c r="AD241" s="1681"/>
      <c r="AE241" s="1681"/>
      <c r="AF241" s="1680"/>
      <c r="AG241" s="1681">
        <f>(S241/1.39)*1.49</f>
        <v>2.4440287769784175</v>
      </c>
      <c r="AH241" s="1681">
        <f>(T241/1.39)*1.49+1</f>
        <v>16.007194244604321</v>
      </c>
      <c r="AI241" s="1621">
        <f>U241-G241</f>
        <v>10.559712230215837</v>
      </c>
      <c r="AJ241" s="1621">
        <f t="shared" si="233"/>
        <v>126.71654676259004</v>
      </c>
      <c r="AK241" s="1448">
        <f t="shared" si="200"/>
        <v>0.81228555617044895</v>
      </c>
      <c r="AL241" s="1431">
        <f t="shared" si="227"/>
        <v>113.66422390038282</v>
      </c>
    </row>
    <row r="242" spans="1:38" s="1431" customFormat="1" ht="27.75" hidden="1" customHeight="1">
      <c r="A242" s="1375"/>
      <c r="B242" s="764" t="s">
        <v>2717</v>
      </c>
      <c r="C242" s="1367">
        <f t="shared" si="219"/>
        <v>0</v>
      </c>
      <c r="D242" s="1455"/>
      <c r="E242" s="1455"/>
      <c r="F242" s="1455"/>
      <c r="G242" s="1614">
        <f>H242+I242+T242</f>
        <v>0</v>
      </c>
      <c r="H242" s="1617"/>
      <c r="I242" s="1614">
        <f>SUM(J242:S242)</f>
        <v>0</v>
      </c>
      <c r="J242" s="1617"/>
      <c r="K242" s="1617"/>
      <c r="L242" s="1617"/>
      <c r="M242" s="1617"/>
      <c r="N242" s="1617"/>
      <c r="O242" s="1617"/>
      <c r="P242" s="1617"/>
      <c r="Q242" s="1617"/>
      <c r="R242" s="1617"/>
      <c r="S242" s="1617"/>
      <c r="T242" s="1621">
        <f>(H242+K242+L242)*22.5%</f>
        <v>0</v>
      </c>
      <c r="U242" s="1614">
        <f>V242+W242+AH242</f>
        <v>0</v>
      </c>
      <c r="V242" s="1617"/>
      <c r="W242" s="1614">
        <f>SUM(X242:AG242)</f>
        <v>0</v>
      </c>
      <c r="X242" s="1617"/>
      <c r="Y242" s="1617"/>
      <c r="Z242" s="1617"/>
      <c r="AA242" s="1617"/>
      <c r="AB242" s="1617"/>
      <c r="AC242" s="1617"/>
      <c r="AD242" s="1617"/>
      <c r="AE242" s="1617"/>
      <c r="AF242" s="1617"/>
      <c r="AG242" s="1617"/>
      <c r="AH242" s="1621"/>
      <c r="AI242" s="1621">
        <f>U242-G242</f>
        <v>0</v>
      </c>
      <c r="AJ242" s="1621">
        <f t="shared" si="233"/>
        <v>0</v>
      </c>
      <c r="AK242" s="1448" t="e">
        <f t="shared" si="200"/>
        <v>#DIV/0!</v>
      </c>
      <c r="AL242" s="1431" t="e">
        <f t="shared" si="227"/>
        <v>#DIV/0!</v>
      </c>
    </row>
    <row r="243" spans="1:38" s="1431" customFormat="1" ht="27.75" hidden="1" customHeight="1">
      <c r="A243" s="1375"/>
      <c r="B243" s="764" t="s">
        <v>2718</v>
      </c>
      <c r="C243" s="582">
        <f>C244+C245</f>
        <v>0</v>
      </c>
      <c r="D243" s="582">
        <f t="shared" ref="D243:AJ243" si="236">D244+D245</f>
        <v>0</v>
      </c>
      <c r="E243" s="582">
        <f t="shared" si="236"/>
        <v>0</v>
      </c>
      <c r="F243" s="582">
        <f t="shared" si="236"/>
        <v>0</v>
      </c>
      <c r="G243" s="1659">
        <f t="shared" si="236"/>
        <v>0</v>
      </c>
      <c r="H243" s="1659">
        <f t="shared" si="236"/>
        <v>0</v>
      </c>
      <c r="I243" s="1659">
        <f t="shared" si="236"/>
        <v>0</v>
      </c>
      <c r="J243" s="1659">
        <f t="shared" si="236"/>
        <v>0</v>
      </c>
      <c r="K243" s="1659">
        <f t="shared" si="236"/>
        <v>0</v>
      </c>
      <c r="L243" s="1659">
        <f t="shared" si="236"/>
        <v>0</v>
      </c>
      <c r="M243" s="1659">
        <f t="shared" si="236"/>
        <v>0</v>
      </c>
      <c r="N243" s="1659">
        <f t="shared" si="236"/>
        <v>0</v>
      </c>
      <c r="O243" s="1659">
        <f t="shared" si="236"/>
        <v>0</v>
      </c>
      <c r="P243" s="1659">
        <f t="shared" si="236"/>
        <v>0</v>
      </c>
      <c r="Q243" s="1659">
        <f t="shared" si="236"/>
        <v>0</v>
      </c>
      <c r="R243" s="1659">
        <f t="shared" si="236"/>
        <v>0</v>
      </c>
      <c r="S243" s="1659">
        <f t="shared" si="236"/>
        <v>0</v>
      </c>
      <c r="T243" s="1659">
        <f t="shared" si="236"/>
        <v>0</v>
      </c>
      <c r="U243" s="1659">
        <f t="shared" si="236"/>
        <v>0</v>
      </c>
      <c r="V243" s="1659">
        <f t="shared" si="236"/>
        <v>0</v>
      </c>
      <c r="W243" s="1659">
        <f t="shared" si="236"/>
        <v>0</v>
      </c>
      <c r="X243" s="1659">
        <f t="shared" si="236"/>
        <v>0</v>
      </c>
      <c r="Y243" s="1659">
        <f t="shared" si="236"/>
        <v>0</v>
      </c>
      <c r="Z243" s="1659">
        <f t="shared" si="236"/>
        <v>0</v>
      </c>
      <c r="AA243" s="1659">
        <f t="shared" si="236"/>
        <v>0</v>
      </c>
      <c r="AB243" s="1659">
        <f t="shared" si="236"/>
        <v>0</v>
      </c>
      <c r="AC243" s="1659">
        <f t="shared" si="236"/>
        <v>0</v>
      </c>
      <c r="AD243" s="1659">
        <f t="shared" si="236"/>
        <v>0</v>
      </c>
      <c r="AE243" s="1659">
        <f t="shared" si="236"/>
        <v>0</v>
      </c>
      <c r="AF243" s="1659">
        <f t="shared" si="236"/>
        <v>0</v>
      </c>
      <c r="AG243" s="1659">
        <f t="shared" si="236"/>
        <v>0</v>
      </c>
      <c r="AH243" s="1659">
        <f t="shared" si="236"/>
        <v>0</v>
      </c>
      <c r="AI243" s="1659">
        <f t="shared" si="236"/>
        <v>0</v>
      </c>
      <c r="AJ243" s="1659">
        <f t="shared" si="236"/>
        <v>0</v>
      </c>
      <c r="AK243" s="1448" t="e">
        <f t="shared" si="200"/>
        <v>#DIV/0!</v>
      </c>
      <c r="AL243" s="1431" t="e">
        <f t="shared" si="227"/>
        <v>#DIV/0!</v>
      </c>
    </row>
    <row r="244" spans="1:38" s="1431" customFormat="1" ht="27.75" hidden="1" customHeight="1">
      <c r="A244" s="1375"/>
      <c r="B244" s="764" t="s">
        <v>2719</v>
      </c>
      <c r="C244" s="1367">
        <f>D244+E244</f>
        <v>0</v>
      </c>
      <c r="D244" s="1455"/>
      <c r="E244" s="1455"/>
      <c r="F244" s="1455"/>
      <c r="G244" s="1614">
        <f>H244+I244+T244</f>
        <v>0</v>
      </c>
      <c r="H244" s="1617"/>
      <c r="I244" s="1614">
        <f>SUM(J244:S244)</f>
        <v>0</v>
      </c>
      <c r="J244" s="1617"/>
      <c r="K244" s="1617"/>
      <c r="L244" s="1617"/>
      <c r="M244" s="1617"/>
      <c r="N244" s="1617"/>
      <c r="O244" s="1617"/>
      <c r="P244" s="1617"/>
      <c r="Q244" s="1617"/>
      <c r="R244" s="1617"/>
      <c r="S244" s="1617"/>
      <c r="T244" s="1621">
        <f>(H244+K244+L244)*22.5%</f>
        <v>0</v>
      </c>
      <c r="U244" s="1614">
        <f>V244+W244+AH244</f>
        <v>0</v>
      </c>
      <c r="V244" s="1617"/>
      <c r="W244" s="1614">
        <f>SUM(X244:AG244)</f>
        <v>0</v>
      </c>
      <c r="X244" s="1617"/>
      <c r="Y244" s="1617"/>
      <c r="Z244" s="1617"/>
      <c r="AA244" s="1617"/>
      <c r="AB244" s="1617"/>
      <c r="AC244" s="1617"/>
      <c r="AD244" s="1617"/>
      <c r="AE244" s="1617"/>
      <c r="AF244" s="1617"/>
      <c r="AG244" s="1617"/>
      <c r="AH244" s="1621"/>
      <c r="AI244" s="1621">
        <f>U244-G244</f>
        <v>0</v>
      </c>
      <c r="AJ244" s="1621">
        <f t="shared" ref="AJ244:AJ245" si="237">AI244*12</f>
        <v>0</v>
      </c>
      <c r="AK244" s="1448"/>
      <c r="AL244" s="1431" t="e">
        <f t="shared" si="227"/>
        <v>#DIV/0!</v>
      </c>
    </row>
    <row r="245" spans="1:38" s="1431" customFormat="1" ht="27.75" hidden="1" customHeight="1">
      <c r="A245" s="1375"/>
      <c r="B245" s="764" t="s">
        <v>2720</v>
      </c>
      <c r="C245" s="1367">
        <f>D245+E245</f>
        <v>0</v>
      </c>
      <c r="D245" s="1455"/>
      <c r="E245" s="1455"/>
      <c r="F245" s="1455"/>
      <c r="G245" s="1614">
        <f>H245+I245+T245</f>
        <v>0</v>
      </c>
      <c r="H245" s="1617"/>
      <c r="I245" s="1614">
        <f>SUM(J245:S245)</f>
        <v>0</v>
      </c>
      <c r="J245" s="1617"/>
      <c r="K245" s="1617"/>
      <c r="L245" s="1617"/>
      <c r="M245" s="1617"/>
      <c r="N245" s="1617"/>
      <c r="O245" s="1617"/>
      <c r="P245" s="1617"/>
      <c r="Q245" s="1617"/>
      <c r="R245" s="1617"/>
      <c r="S245" s="1617"/>
      <c r="T245" s="1621">
        <f>(H245+K245+L245)*23.5%</f>
        <v>0</v>
      </c>
      <c r="U245" s="1614">
        <f>V245+W245+AH245</f>
        <v>0</v>
      </c>
      <c r="V245" s="1617"/>
      <c r="W245" s="1614">
        <f>SUM(X245:AG245)</f>
        <v>0</v>
      </c>
      <c r="X245" s="1617"/>
      <c r="Y245" s="1617"/>
      <c r="Z245" s="1617"/>
      <c r="AA245" s="1617"/>
      <c r="AB245" s="1617"/>
      <c r="AC245" s="1617"/>
      <c r="AD245" s="1617"/>
      <c r="AE245" s="1617"/>
      <c r="AF245" s="1617"/>
      <c r="AG245" s="1617"/>
      <c r="AH245" s="1621"/>
      <c r="AI245" s="1621">
        <f>U245-G245</f>
        <v>0</v>
      </c>
      <c r="AJ245" s="1621">
        <f t="shared" si="237"/>
        <v>0</v>
      </c>
      <c r="AK245" s="1448"/>
      <c r="AL245" s="1431" t="e">
        <f t="shared" si="227"/>
        <v>#DIV/0!</v>
      </c>
    </row>
    <row r="246" spans="1:38" s="1431" customFormat="1" ht="27.75" hidden="1" customHeight="1">
      <c r="A246" s="1375">
        <v>35</v>
      </c>
      <c r="B246" s="1453" t="s">
        <v>2721</v>
      </c>
      <c r="C246" s="1368">
        <v>31</v>
      </c>
      <c r="D246" s="1368">
        <v>0</v>
      </c>
      <c r="E246" s="1368">
        <v>0</v>
      </c>
      <c r="F246" s="1368">
        <v>31</v>
      </c>
      <c r="G246" s="1368">
        <v>251.62170724999999</v>
      </c>
      <c r="H246" s="1682">
        <v>158.90479999999999</v>
      </c>
      <c r="I246" s="1682">
        <v>54.718789999999991</v>
      </c>
      <c r="J246" s="1682">
        <v>0</v>
      </c>
      <c r="K246" s="1682">
        <v>8.6180000000000003</v>
      </c>
      <c r="L246" s="1682">
        <v>0.6671999999999999</v>
      </c>
      <c r="M246" s="1682">
        <v>0</v>
      </c>
      <c r="N246" s="1682">
        <v>0</v>
      </c>
      <c r="O246" s="1682">
        <v>0</v>
      </c>
      <c r="P246" s="1682">
        <v>42.047499999999999</v>
      </c>
      <c r="Q246" s="1682">
        <v>0</v>
      </c>
      <c r="R246" s="1682">
        <v>0.32108999999999999</v>
      </c>
      <c r="S246" s="1682">
        <v>3.0649999999999999</v>
      </c>
      <c r="T246" s="1682">
        <v>37.99811725</v>
      </c>
      <c r="U246" s="1682">
        <v>262.88848225000004</v>
      </c>
      <c r="V246" s="1682">
        <v>165.58370000000002</v>
      </c>
      <c r="W246" s="1682">
        <v>57.615614999999998</v>
      </c>
      <c r="X246" s="1682">
        <v>0</v>
      </c>
      <c r="Y246" s="1682">
        <v>9.2379999999999995</v>
      </c>
      <c r="Z246" s="1682">
        <v>0.83440000000000003</v>
      </c>
      <c r="AA246" s="1682">
        <v>0</v>
      </c>
      <c r="AB246" s="1682">
        <v>0</v>
      </c>
      <c r="AC246" s="1682">
        <v>0</v>
      </c>
      <c r="AD246" s="1682">
        <v>43.914025000000002</v>
      </c>
      <c r="AE246" s="1682">
        <v>0</v>
      </c>
      <c r="AF246" s="1682">
        <v>0.34419</v>
      </c>
      <c r="AG246" s="1682">
        <v>3.2850000000000001</v>
      </c>
      <c r="AH246" s="1682">
        <v>39.689167249999997</v>
      </c>
      <c r="AI246" s="1621">
        <f>U246-G246</f>
        <v>11.266775000000052</v>
      </c>
      <c r="AJ246" s="1621">
        <f t="shared" ref="AJ246" si="238">AI246*6</f>
        <v>67.600650000000314</v>
      </c>
      <c r="AK246" s="1448">
        <f t="shared" ref="AK246:AK251" si="239">AI246/F246</f>
        <v>0.36344435483871135</v>
      </c>
      <c r="AL246" s="1431">
        <f t="shared" si="227"/>
        <v>104.47766415828579</v>
      </c>
    </row>
    <row r="247" spans="1:38" s="1431" customFormat="1" ht="27.75" hidden="1" customHeight="1">
      <c r="A247" s="1375">
        <v>36</v>
      </c>
      <c r="B247" s="764" t="s">
        <v>2722</v>
      </c>
      <c r="C247" s="1484">
        <f>+D247+E247</f>
        <v>48</v>
      </c>
      <c r="D247" s="1484"/>
      <c r="E247" s="1484">
        <v>48</v>
      </c>
      <c r="F247" s="1484">
        <v>47</v>
      </c>
      <c r="G247" s="1657">
        <f>H247+I247+T247</f>
        <v>398.2997044999999</v>
      </c>
      <c r="H247" s="1657">
        <f>(188.92-6.52)*1.39</f>
        <v>253.53599999999994</v>
      </c>
      <c r="I247" s="1657">
        <f>SUM(J247:S247)</f>
        <v>83.966355499999992</v>
      </c>
      <c r="J247" s="1657"/>
      <c r="K247" s="1657">
        <f>9*1.39</f>
        <v>12.51</v>
      </c>
      <c r="L247" s="1657">
        <f>1.0458*1.39</f>
        <v>1.453662</v>
      </c>
      <c r="M247" s="1657"/>
      <c r="N247" s="1657"/>
      <c r="O247" s="1657"/>
      <c r="P247" s="1658">
        <f>(H247+K247+L247)*0.25</f>
        <v>66.874915499999986</v>
      </c>
      <c r="Q247" s="1658"/>
      <c r="R247" s="1657">
        <f>1.9502*1.39</f>
        <v>2.7107779999999999</v>
      </c>
      <c r="S247" s="1657">
        <f>0.3*1.39</f>
        <v>0.41699999999999998</v>
      </c>
      <c r="T247" s="1657">
        <f>+(H247+K247+L247+R247)*0.225</f>
        <v>60.79734899999999</v>
      </c>
      <c r="U247" s="1657">
        <f>V247+W247+AH247</f>
        <v>426.95435949999995</v>
      </c>
      <c r="V247" s="1657">
        <f>(188.92-6.52)*1.49</f>
        <v>271.77599999999995</v>
      </c>
      <c r="W247" s="1657">
        <f>SUM(X247:AG247)</f>
        <v>90.007100500000007</v>
      </c>
      <c r="X247" s="1657"/>
      <c r="Y247" s="1657">
        <f>9*1.49</f>
        <v>13.41</v>
      </c>
      <c r="Z247" s="1657">
        <f>1.0458*1.49</f>
        <v>1.5582420000000001</v>
      </c>
      <c r="AA247" s="1657"/>
      <c r="AB247" s="1657"/>
      <c r="AC247" s="1657"/>
      <c r="AD247" s="1658">
        <f>(V247+Y247+Z247)*0.25</f>
        <v>71.686060499999996</v>
      </c>
      <c r="AE247" s="1658"/>
      <c r="AF247" s="1657">
        <f>1.9502*1.49</f>
        <v>2.9057979999999999</v>
      </c>
      <c r="AG247" s="1657">
        <f>0.3*1.49</f>
        <v>0.44700000000000001</v>
      </c>
      <c r="AH247" s="1657">
        <f>+(V247+Y247+Z247+AF247)*0.225</f>
        <v>65.171259000000006</v>
      </c>
      <c r="AI247" s="1621">
        <f>U247-G247</f>
        <v>28.654655000000048</v>
      </c>
      <c r="AJ247" s="1621">
        <f>AI247*12</f>
        <v>343.85586000000058</v>
      </c>
      <c r="AK247" s="1448">
        <f t="shared" si="239"/>
        <v>0.60967351063829889</v>
      </c>
      <c r="AL247" s="1431">
        <f t="shared" si="227"/>
        <v>107.19424460431657</v>
      </c>
    </row>
    <row r="248" spans="1:38" s="1431" customFormat="1" ht="27.75" hidden="1" customHeight="1">
      <c r="A248" s="1375">
        <v>37</v>
      </c>
      <c r="B248" s="764" t="s">
        <v>2478</v>
      </c>
      <c r="C248" s="1489">
        <v>32</v>
      </c>
      <c r="D248" s="1489"/>
      <c r="E248" s="1489">
        <v>32</v>
      </c>
      <c r="F248" s="1489">
        <v>32</v>
      </c>
      <c r="G248" s="1666">
        <f>H248+I248+T248</f>
        <v>278.399</v>
      </c>
      <c r="H248" s="1666">
        <v>176.47399999999999</v>
      </c>
      <c r="I248" s="1666">
        <f>SUM(J248:S248)</f>
        <v>59.92</v>
      </c>
      <c r="J248" s="1666"/>
      <c r="K248" s="1666">
        <v>10.147</v>
      </c>
      <c r="L248" s="1666"/>
      <c r="M248" s="1666"/>
      <c r="N248" s="1666"/>
      <c r="O248" s="1666"/>
      <c r="P248" s="1667">
        <v>46.655000000000001</v>
      </c>
      <c r="Q248" s="1667"/>
      <c r="R248" s="1666">
        <v>7.0000000000000007E-2</v>
      </c>
      <c r="S248" s="1666">
        <v>3.048</v>
      </c>
      <c r="T248" s="1666">
        <v>42.005000000000003</v>
      </c>
      <c r="U248" s="1683">
        <f t="shared" ref="U248" si="240">V248+W248+AH248</f>
        <v>298.42899999999997</v>
      </c>
      <c r="V248" s="1666">
        <v>189.17</v>
      </c>
      <c r="W248" s="1666">
        <f>SUM(X248:AG248)</f>
        <v>64.231999999999999</v>
      </c>
      <c r="X248" s="1666"/>
      <c r="Y248" s="1666">
        <v>10.877000000000001</v>
      </c>
      <c r="Z248" s="1666"/>
      <c r="AA248" s="1666"/>
      <c r="AB248" s="1666"/>
      <c r="AC248" s="1666"/>
      <c r="AD248" s="1667">
        <v>50.012</v>
      </c>
      <c r="AE248" s="1667"/>
      <c r="AF248" s="1666">
        <v>7.4999999999999997E-2</v>
      </c>
      <c r="AG248" s="1666">
        <v>3.2679999999999998</v>
      </c>
      <c r="AH248" s="1666">
        <v>45.027000000000001</v>
      </c>
      <c r="AI248" s="1621">
        <f>U248-G248</f>
        <v>20.029999999999973</v>
      </c>
      <c r="AJ248" s="1621">
        <f>AI248*12</f>
        <v>240.35999999999967</v>
      </c>
      <c r="AK248" s="1448">
        <f t="shared" si="239"/>
        <v>0.62593749999999915</v>
      </c>
      <c r="AL248" s="1431">
        <f t="shared" si="227"/>
        <v>107.19470975111261</v>
      </c>
    </row>
    <row r="249" spans="1:38" s="1472" customFormat="1" ht="27.75" hidden="1" customHeight="1">
      <c r="A249" s="1468">
        <v>38</v>
      </c>
      <c r="B249" s="1504" t="s">
        <v>2723</v>
      </c>
      <c r="C249" s="1505">
        <f>C250+C251</f>
        <v>53</v>
      </c>
      <c r="D249" s="1505">
        <f t="shared" ref="D249:AJ249" si="241">D250+D251</f>
        <v>0</v>
      </c>
      <c r="E249" s="1505">
        <f t="shared" si="241"/>
        <v>53</v>
      </c>
      <c r="F249" s="1505">
        <f t="shared" si="241"/>
        <v>53</v>
      </c>
      <c r="G249" s="1684">
        <f t="shared" si="241"/>
        <v>419.13115000000005</v>
      </c>
      <c r="H249" s="1684">
        <f t="shared" si="241"/>
        <v>259.89</v>
      </c>
      <c r="I249" s="1684">
        <f t="shared" si="241"/>
        <v>96.317499999999995</v>
      </c>
      <c r="J249" s="1684">
        <f t="shared" si="241"/>
        <v>0</v>
      </c>
      <c r="K249" s="1684">
        <f t="shared" si="241"/>
        <v>11.95</v>
      </c>
      <c r="L249" s="1684">
        <f t="shared" si="241"/>
        <v>1.18</v>
      </c>
      <c r="M249" s="1684">
        <f t="shared" si="241"/>
        <v>0</v>
      </c>
      <c r="N249" s="1684">
        <f t="shared" si="241"/>
        <v>0</v>
      </c>
      <c r="O249" s="1684">
        <f t="shared" si="241"/>
        <v>0</v>
      </c>
      <c r="P249" s="1684">
        <f t="shared" si="241"/>
        <v>54.357500000000002</v>
      </c>
      <c r="Q249" s="1684">
        <f t="shared" si="241"/>
        <v>2.92</v>
      </c>
      <c r="R249" s="1684">
        <f t="shared" si="241"/>
        <v>4.17</v>
      </c>
      <c r="S249" s="1684">
        <f t="shared" si="241"/>
        <v>21.740000000000002</v>
      </c>
      <c r="T249" s="1684">
        <f t="shared" si="241"/>
        <v>62.923650000000002</v>
      </c>
      <c r="U249" s="1684">
        <f t="shared" si="241"/>
        <v>449.27764999999999</v>
      </c>
      <c r="V249" s="1684">
        <f t="shared" si="241"/>
        <v>278.59000000000003</v>
      </c>
      <c r="W249" s="1684">
        <f t="shared" si="241"/>
        <v>103.23750000000001</v>
      </c>
      <c r="X249" s="1684">
        <f t="shared" si="241"/>
        <v>0</v>
      </c>
      <c r="Y249" s="1684">
        <f t="shared" si="241"/>
        <v>12.809999999999999</v>
      </c>
      <c r="Z249" s="1684">
        <f t="shared" si="241"/>
        <v>1.26</v>
      </c>
      <c r="AA249" s="1684">
        <f t="shared" si="241"/>
        <v>0</v>
      </c>
      <c r="AB249" s="1684">
        <f t="shared" si="241"/>
        <v>0</v>
      </c>
      <c r="AC249" s="1684">
        <f t="shared" si="241"/>
        <v>0</v>
      </c>
      <c r="AD249" s="1684">
        <f t="shared" si="241"/>
        <v>58.267499999999998</v>
      </c>
      <c r="AE249" s="1684">
        <f t="shared" si="241"/>
        <v>3.1300000000000003</v>
      </c>
      <c r="AF249" s="1684">
        <f t="shared" si="241"/>
        <v>4.47</v>
      </c>
      <c r="AG249" s="1684">
        <f t="shared" si="241"/>
        <v>23.3</v>
      </c>
      <c r="AH249" s="1684">
        <f t="shared" si="241"/>
        <v>67.450150000000008</v>
      </c>
      <c r="AI249" s="1684">
        <f t="shared" si="241"/>
        <v>30.146500000000003</v>
      </c>
      <c r="AJ249" s="1684">
        <f t="shared" si="241"/>
        <v>361.75800000000004</v>
      </c>
      <c r="AK249" s="1471">
        <f t="shared" si="239"/>
        <v>0.56880188679245292</v>
      </c>
      <c r="AL249" s="1472">
        <f t="shared" si="227"/>
        <v>107.19261739434063</v>
      </c>
    </row>
    <row r="250" spans="1:38" s="1472" customFormat="1" ht="27.75" hidden="1" customHeight="1">
      <c r="A250" s="1468"/>
      <c r="B250" s="1469" t="s">
        <v>2724</v>
      </c>
      <c r="C250" s="1479">
        <f t="shared" ref="C250" si="242">D250+E250</f>
        <v>23</v>
      </c>
      <c r="D250" s="1470"/>
      <c r="E250" s="1470">
        <v>23</v>
      </c>
      <c r="F250" s="1470">
        <v>23</v>
      </c>
      <c r="G250" s="1685">
        <f>H250+I250+T250</f>
        <v>202.11875000000003</v>
      </c>
      <c r="H250" s="1686">
        <v>125.53</v>
      </c>
      <c r="I250" s="1685">
        <f>SUM(J250:S250)</f>
        <v>46.202500000000001</v>
      </c>
      <c r="J250" s="1686"/>
      <c r="K250" s="1686">
        <v>8.34</v>
      </c>
      <c r="L250" s="1686">
        <v>1.18</v>
      </c>
      <c r="M250" s="1686"/>
      <c r="N250" s="1686"/>
      <c r="O250" s="1686"/>
      <c r="P250" s="1687">
        <f>(H250+K250+L250)*0.25</f>
        <v>33.762500000000003</v>
      </c>
      <c r="Q250" s="1686">
        <v>2.5</v>
      </c>
      <c r="R250" s="1686"/>
      <c r="S250" s="1686">
        <v>0.42</v>
      </c>
      <c r="T250" s="1635">
        <f>(H250+K250+L250)*22.5%</f>
        <v>30.386250000000004</v>
      </c>
      <c r="U250" s="1685">
        <f>V250+W250+AH250</f>
        <v>216.65100000000001</v>
      </c>
      <c r="V250" s="1686">
        <v>134.56</v>
      </c>
      <c r="W250" s="1685">
        <f>SUM(X250:AG250)</f>
        <v>49.52</v>
      </c>
      <c r="X250" s="1686"/>
      <c r="Y250" s="1686">
        <v>8.94</v>
      </c>
      <c r="Z250" s="1686">
        <v>1.26</v>
      </c>
      <c r="AA250" s="1686"/>
      <c r="AB250" s="1686"/>
      <c r="AC250" s="1686"/>
      <c r="AD250" s="1687">
        <f>(V250+Y250+Z250)*0.25</f>
        <v>36.19</v>
      </c>
      <c r="AE250" s="1686">
        <v>2.68</v>
      </c>
      <c r="AF250" s="1686"/>
      <c r="AG250" s="1686">
        <v>0.45</v>
      </c>
      <c r="AH250" s="1635">
        <f>(V250+Y250+Z250)*22.5%</f>
        <v>32.570999999999998</v>
      </c>
      <c r="AI250" s="1635">
        <f>U250-G250</f>
        <v>14.532249999999976</v>
      </c>
      <c r="AJ250" s="1635">
        <f>AI250*12</f>
        <v>174.38699999999972</v>
      </c>
      <c r="AK250" s="1471">
        <f t="shared" si="239"/>
        <v>0.6318369565217381</v>
      </c>
      <c r="AL250" s="1472">
        <f t="shared" si="227"/>
        <v>107.18995639939391</v>
      </c>
    </row>
    <row r="251" spans="1:38" s="1472" customFormat="1" ht="27.75" hidden="1" customHeight="1">
      <c r="A251" s="1468"/>
      <c r="B251" s="1469" t="s">
        <v>2725</v>
      </c>
      <c r="C251" s="1505">
        <f>C252+C253</f>
        <v>30</v>
      </c>
      <c r="D251" s="1505">
        <f t="shared" ref="D251:AJ251" si="243">D252+D253</f>
        <v>0</v>
      </c>
      <c r="E251" s="1505">
        <f t="shared" si="243"/>
        <v>30</v>
      </c>
      <c r="F251" s="1505">
        <f t="shared" si="243"/>
        <v>30</v>
      </c>
      <c r="G251" s="1684">
        <f t="shared" si="243"/>
        <v>217.01239999999999</v>
      </c>
      <c r="H251" s="1684">
        <f t="shared" si="243"/>
        <v>134.36000000000001</v>
      </c>
      <c r="I251" s="1684">
        <f t="shared" si="243"/>
        <v>50.115000000000002</v>
      </c>
      <c r="J251" s="1684">
        <f t="shared" si="243"/>
        <v>0</v>
      </c>
      <c r="K251" s="1684">
        <f t="shared" si="243"/>
        <v>3.61</v>
      </c>
      <c r="L251" s="1684">
        <f t="shared" si="243"/>
        <v>0</v>
      </c>
      <c r="M251" s="1684">
        <f t="shared" si="243"/>
        <v>0</v>
      </c>
      <c r="N251" s="1684">
        <f t="shared" si="243"/>
        <v>0</v>
      </c>
      <c r="O251" s="1684">
        <f t="shared" si="243"/>
        <v>0</v>
      </c>
      <c r="P251" s="1684">
        <f t="shared" si="243"/>
        <v>20.594999999999999</v>
      </c>
      <c r="Q251" s="1684">
        <f t="shared" si="243"/>
        <v>0.42</v>
      </c>
      <c r="R251" s="1684">
        <f t="shared" si="243"/>
        <v>4.17</v>
      </c>
      <c r="S251" s="1684">
        <f t="shared" si="243"/>
        <v>21.32</v>
      </c>
      <c r="T251" s="1684">
        <f t="shared" si="243"/>
        <v>32.537399999999998</v>
      </c>
      <c r="U251" s="1684">
        <f t="shared" si="243"/>
        <v>232.62665000000001</v>
      </c>
      <c r="V251" s="1684">
        <f t="shared" si="243"/>
        <v>144.03</v>
      </c>
      <c r="W251" s="1684">
        <f t="shared" si="243"/>
        <v>53.717500000000001</v>
      </c>
      <c r="X251" s="1684">
        <f t="shared" si="243"/>
        <v>0</v>
      </c>
      <c r="Y251" s="1684">
        <f t="shared" si="243"/>
        <v>3.87</v>
      </c>
      <c r="Z251" s="1684">
        <f t="shared" si="243"/>
        <v>0</v>
      </c>
      <c r="AA251" s="1684">
        <f t="shared" si="243"/>
        <v>0</v>
      </c>
      <c r="AB251" s="1684">
        <f t="shared" si="243"/>
        <v>0</v>
      </c>
      <c r="AC251" s="1684">
        <f t="shared" si="243"/>
        <v>0</v>
      </c>
      <c r="AD251" s="1684">
        <f t="shared" si="243"/>
        <v>22.077500000000001</v>
      </c>
      <c r="AE251" s="1684">
        <f t="shared" si="243"/>
        <v>0.45</v>
      </c>
      <c r="AF251" s="1684">
        <f t="shared" si="243"/>
        <v>4.47</v>
      </c>
      <c r="AG251" s="1684">
        <f t="shared" si="243"/>
        <v>22.85</v>
      </c>
      <c r="AH251" s="1684">
        <f t="shared" si="243"/>
        <v>34.879150000000003</v>
      </c>
      <c r="AI251" s="1684">
        <f t="shared" si="243"/>
        <v>15.614250000000027</v>
      </c>
      <c r="AJ251" s="1684">
        <f t="shared" si="243"/>
        <v>187.37100000000032</v>
      </c>
      <c r="AK251" s="1471">
        <f t="shared" si="239"/>
        <v>0.52047500000000091</v>
      </c>
      <c r="AL251" s="1472">
        <f t="shared" si="227"/>
        <v>107.19509576411303</v>
      </c>
    </row>
    <row r="252" spans="1:38" s="1472" customFormat="1" ht="27.75" hidden="1" customHeight="1">
      <c r="A252" s="1468"/>
      <c r="B252" s="1474" t="s">
        <v>2647</v>
      </c>
      <c r="C252" s="1479">
        <f t="shared" ref="C252:C253" si="244">D252+E252</f>
        <v>16</v>
      </c>
      <c r="D252" s="1470"/>
      <c r="E252" s="1470">
        <v>16</v>
      </c>
      <c r="F252" s="1470">
        <v>16</v>
      </c>
      <c r="G252" s="1685">
        <f>H252+I252+T252</f>
        <v>148.07874999999999</v>
      </c>
      <c r="H252" s="1686">
        <v>78.77</v>
      </c>
      <c r="I252" s="1685">
        <f>SUM(J252:S252)</f>
        <v>49.835000000000001</v>
      </c>
      <c r="J252" s="1686"/>
      <c r="K252" s="1686">
        <v>3.61</v>
      </c>
      <c r="L252" s="1686"/>
      <c r="M252" s="1686"/>
      <c r="N252" s="1686"/>
      <c r="O252" s="1686"/>
      <c r="P252" s="1687">
        <f>(H252+K252+L252)*0.25</f>
        <v>20.594999999999999</v>
      </c>
      <c r="Q252" s="1686">
        <v>0.42</v>
      </c>
      <c r="R252" s="1686">
        <f>4.17</f>
        <v>4.17</v>
      </c>
      <c r="S252" s="1686">
        <f>1.15+19.89</f>
        <v>21.04</v>
      </c>
      <c r="T252" s="1635">
        <f>(H252+K252+L252+R252)*22.5%</f>
        <v>19.473749999999999</v>
      </c>
      <c r="U252" s="1685">
        <f>V252+W252+AH252</f>
        <v>158.733</v>
      </c>
      <c r="V252" s="1686">
        <v>84.44</v>
      </c>
      <c r="W252" s="1685">
        <f>SUM(X252:AG252)</f>
        <v>53.417500000000004</v>
      </c>
      <c r="X252" s="1686"/>
      <c r="Y252" s="1686">
        <v>3.87</v>
      </c>
      <c r="Z252" s="1686"/>
      <c r="AA252" s="1686"/>
      <c r="AB252" s="1686"/>
      <c r="AC252" s="1686"/>
      <c r="AD252" s="1687">
        <f>(V252+Y252+Z252)*0.25</f>
        <v>22.077500000000001</v>
      </c>
      <c r="AE252" s="1686">
        <v>0.45</v>
      </c>
      <c r="AF252" s="1686">
        <v>4.47</v>
      </c>
      <c r="AG252" s="1686">
        <f>1.23+21.32</f>
        <v>22.55</v>
      </c>
      <c r="AH252" s="1635">
        <f>(V252+Y252+Z252+AF252)*22.5%</f>
        <v>20.875500000000002</v>
      </c>
      <c r="AI252" s="1635">
        <f>U252-G252</f>
        <v>10.654250000000019</v>
      </c>
      <c r="AJ252" s="1635">
        <f>AI252*12</f>
        <v>127.85100000000023</v>
      </c>
      <c r="AK252" s="1471"/>
      <c r="AL252" s="1472">
        <f t="shared" si="227"/>
        <v>107.19498915273124</v>
      </c>
    </row>
    <row r="253" spans="1:38" s="1472" customFormat="1" ht="27.75" hidden="1" customHeight="1">
      <c r="A253" s="1468"/>
      <c r="B253" s="1474" t="s">
        <v>2648</v>
      </c>
      <c r="C253" s="1479">
        <f t="shared" si="244"/>
        <v>14</v>
      </c>
      <c r="D253" s="1470"/>
      <c r="E253" s="1470">
        <v>14</v>
      </c>
      <c r="F253" s="1470">
        <v>14</v>
      </c>
      <c r="G253" s="1685">
        <f>H253+I253+T253</f>
        <v>68.93365</v>
      </c>
      <c r="H253" s="1686">
        <v>55.59</v>
      </c>
      <c r="I253" s="1685">
        <f>SUM(J253:S253)</f>
        <v>0.28000000000000003</v>
      </c>
      <c r="J253" s="1686"/>
      <c r="K253" s="1686"/>
      <c r="L253" s="1686"/>
      <c r="M253" s="1686"/>
      <c r="N253" s="1686"/>
      <c r="O253" s="1686"/>
      <c r="P253" s="1686"/>
      <c r="Q253" s="1686"/>
      <c r="R253" s="1686"/>
      <c r="S253" s="1686">
        <v>0.28000000000000003</v>
      </c>
      <c r="T253" s="1635">
        <f>(H253+K253+L253)*23.5%</f>
        <v>13.063650000000001</v>
      </c>
      <c r="U253" s="1685">
        <f>V253+W253+AH253</f>
        <v>73.893650000000008</v>
      </c>
      <c r="V253" s="1686">
        <v>59.59</v>
      </c>
      <c r="W253" s="1685">
        <f>SUM(X253:AG253)</f>
        <v>0.3</v>
      </c>
      <c r="X253" s="1686"/>
      <c r="Y253" s="1686"/>
      <c r="Z253" s="1686"/>
      <c r="AA253" s="1686"/>
      <c r="AB253" s="1686"/>
      <c r="AC253" s="1686"/>
      <c r="AD253" s="1686"/>
      <c r="AE253" s="1686"/>
      <c r="AF253" s="1686"/>
      <c r="AG253" s="1686">
        <v>0.3</v>
      </c>
      <c r="AH253" s="1635">
        <f>(V253+Y253+Z253)*23.5%</f>
        <v>14.00365</v>
      </c>
      <c r="AI253" s="1635">
        <f>U253-G253</f>
        <v>4.960000000000008</v>
      </c>
      <c r="AJ253" s="1635">
        <f>AI253*12</f>
        <v>59.520000000000095</v>
      </c>
      <c r="AK253" s="1471"/>
      <c r="AL253" s="1472">
        <f t="shared" si="227"/>
        <v>107.1953247796976</v>
      </c>
    </row>
    <row r="254" spans="1:38" s="1431" customFormat="1" ht="27.75" hidden="1" customHeight="1">
      <c r="A254" s="1375">
        <v>39</v>
      </c>
      <c r="B254" s="764" t="s">
        <v>2467</v>
      </c>
      <c r="C254" s="1368">
        <v>44</v>
      </c>
      <c r="D254" s="1368">
        <v>0</v>
      </c>
      <c r="E254" s="1368">
        <v>0</v>
      </c>
      <c r="F254" s="1368">
        <v>41</v>
      </c>
      <c r="G254" s="1674">
        <f>H254+I254+T254</f>
        <v>325.23911872499991</v>
      </c>
      <c r="H254" s="1674">
        <f>(151.32-5.08)*1.39</f>
        <v>203.27359999999996</v>
      </c>
      <c r="I254" s="1674">
        <f>K254+L254+P254+S254</f>
        <v>73.159036</v>
      </c>
      <c r="J254" s="1674"/>
      <c r="K254" s="1674">
        <f>7.8*1.39</f>
        <v>10.841999999999999</v>
      </c>
      <c r="L254" s="1674">
        <f>2.0159*1.39</f>
        <v>2.8021009999999995</v>
      </c>
      <c r="M254" s="1674"/>
      <c r="N254" s="1674"/>
      <c r="O254" s="1674"/>
      <c r="P254" s="1674">
        <f>(40.284-1.27)*1.39</f>
        <v>54.229459999999989</v>
      </c>
      <c r="Q254" s="1674"/>
      <c r="R254" s="1674"/>
      <c r="S254" s="1674">
        <f>3.8025*1.39</f>
        <v>5.2854749999999999</v>
      </c>
      <c r="T254" s="1674">
        <f>(H254+K254+L254)*0.225</f>
        <v>48.806482724999995</v>
      </c>
      <c r="U254" s="1674">
        <f>V254+W254+AH254</f>
        <v>348.63761647499996</v>
      </c>
      <c r="V254" s="1674">
        <f>(151.32-5.08)*1.49</f>
        <v>217.89759999999998</v>
      </c>
      <c r="W254" s="1674">
        <f>Y254+Z254+AD254+AG254</f>
        <v>78.422275999999982</v>
      </c>
      <c r="X254" s="1674"/>
      <c r="Y254" s="1674">
        <f>7.8*1.49</f>
        <v>11.622</v>
      </c>
      <c r="Z254" s="1674">
        <f>2.0159*1.49</f>
        <v>3.0036909999999999</v>
      </c>
      <c r="AA254" s="1674"/>
      <c r="AB254" s="1674"/>
      <c r="AC254" s="1674"/>
      <c r="AD254" s="1674">
        <f>(40.284-1.27)*1.49</f>
        <v>58.130859999999991</v>
      </c>
      <c r="AE254" s="1674"/>
      <c r="AF254" s="1674"/>
      <c r="AG254" s="1674">
        <f>3.8025*1.49</f>
        <v>5.6657250000000001</v>
      </c>
      <c r="AH254" s="1674">
        <f>(V254+Y254+Z254)*0.225</f>
        <v>52.317740474999994</v>
      </c>
      <c r="AI254" s="1621">
        <f>U254-G254</f>
        <v>23.398497750000047</v>
      </c>
      <c r="AJ254" s="1621">
        <f>AI254*12</f>
        <v>280.78197300000056</v>
      </c>
      <c r="AK254" s="1448">
        <f t="shared" ref="AK254:AK317" si="245">AI254/F254</f>
        <v>0.57069506707317186</v>
      </c>
      <c r="AL254" s="1431">
        <f t="shared" si="227"/>
        <v>107.19424460431657</v>
      </c>
    </row>
    <row r="255" spans="1:38" s="1472" customFormat="1" ht="27.75" hidden="1" customHeight="1">
      <c r="A255" s="1468">
        <v>40</v>
      </c>
      <c r="B255" s="1469" t="s">
        <v>2726</v>
      </c>
      <c r="C255" s="1479">
        <f>C256+C257</f>
        <v>36</v>
      </c>
      <c r="D255" s="1479">
        <f t="shared" ref="D255:AJ255" si="246">D256+D257</f>
        <v>0</v>
      </c>
      <c r="E255" s="1479">
        <f t="shared" si="246"/>
        <v>36</v>
      </c>
      <c r="F255" s="1479">
        <f t="shared" si="246"/>
        <v>34</v>
      </c>
      <c r="G255" s="1684">
        <f t="shared" si="246"/>
        <v>263.20742540000003</v>
      </c>
      <c r="H255" s="1684">
        <f t="shared" si="246"/>
        <v>163.8254</v>
      </c>
      <c r="I255" s="1684">
        <f t="shared" si="246"/>
        <v>59.762354999999999</v>
      </c>
      <c r="J255" s="1684">
        <f t="shared" si="246"/>
        <v>0</v>
      </c>
      <c r="K255" s="1684">
        <f t="shared" si="246"/>
        <v>10.563999999999998</v>
      </c>
      <c r="L255" s="1684">
        <f t="shared" si="246"/>
        <v>1.698024</v>
      </c>
      <c r="M255" s="1684">
        <f t="shared" si="246"/>
        <v>0</v>
      </c>
      <c r="N255" s="1684">
        <f t="shared" si="246"/>
        <v>0</v>
      </c>
      <c r="O255" s="1684">
        <f t="shared" si="246"/>
        <v>0</v>
      </c>
      <c r="P255" s="1684">
        <f>P256+P257</f>
        <v>44.021856</v>
      </c>
      <c r="Q255" s="1684">
        <f t="shared" si="246"/>
        <v>0</v>
      </c>
      <c r="R255" s="1684">
        <f t="shared" si="246"/>
        <v>0</v>
      </c>
      <c r="S255" s="1684">
        <f t="shared" si="246"/>
        <v>3.4784749999999995</v>
      </c>
      <c r="T255" s="1684">
        <f t="shared" si="246"/>
        <v>39.619670400000004</v>
      </c>
      <c r="U255" s="1684">
        <f t="shared" si="246"/>
        <v>292.19996640000005</v>
      </c>
      <c r="V255" s="1684">
        <f t="shared" si="246"/>
        <v>181.89920000000001</v>
      </c>
      <c r="W255" s="1684">
        <f t="shared" si="246"/>
        <v>66.315430000000021</v>
      </c>
      <c r="X255" s="1684">
        <f t="shared" si="246"/>
        <v>0</v>
      </c>
      <c r="Y255" s="1684">
        <f t="shared" si="246"/>
        <v>11.771000000000001</v>
      </c>
      <c r="Z255" s="1684">
        <f t="shared" si="246"/>
        <v>1.820184</v>
      </c>
      <c r="AA255" s="1684">
        <f t="shared" si="246"/>
        <v>0</v>
      </c>
      <c r="AB255" s="1684">
        <f t="shared" si="246"/>
        <v>0</v>
      </c>
      <c r="AC255" s="1684">
        <f t="shared" si="246"/>
        <v>0</v>
      </c>
      <c r="AD255" s="1684">
        <f t="shared" si="246"/>
        <v>48.872596000000016</v>
      </c>
      <c r="AE255" s="1684">
        <f t="shared" si="246"/>
        <v>0</v>
      </c>
      <c r="AF255" s="1684">
        <f t="shared" si="246"/>
        <v>0</v>
      </c>
      <c r="AG255" s="1684">
        <f t="shared" si="246"/>
        <v>3.8516499999999998</v>
      </c>
      <c r="AH255" s="1684">
        <f t="shared" si="246"/>
        <v>43.985336400000008</v>
      </c>
      <c r="AI255" s="1684">
        <f t="shared" si="246"/>
        <v>28.992541000000017</v>
      </c>
      <c r="AJ255" s="1684">
        <f t="shared" si="246"/>
        <v>347.9104920000002</v>
      </c>
      <c r="AK255" s="1471">
        <f t="shared" si="245"/>
        <v>0.85272179411764759</v>
      </c>
      <c r="AL255" s="1472">
        <f t="shared" si="227"/>
        <v>111.01509235764897</v>
      </c>
    </row>
    <row r="256" spans="1:38" s="1472" customFormat="1" ht="27.75" hidden="1" customHeight="1">
      <c r="A256" s="1468"/>
      <c r="B256" s="1469" t="s">
        <v>2727</v>
      </c>
      <c r="C256" s="1479">
        <v>36</v>
      </c>
      <c r="D256" s="1470"/>
      <c r="E256" s="1470">
        <v>36</v>
      </c>
      <c r="F256" s="1470">
        <v>34</v>
      </c>
      <c r="G256" s="1685">
        <f>H256+I256+T256</f>
        <v>263.20742540000003</v>
      </c>
      <c r="H256" s="1464">
        <f>(117.86)*1.39</f>
        <v>163.8254</v>
      </c>
      <c r="I256" s="1685">
        <f>SUM(J256:S256)</f>
        <v>59.762354999999999</v>
      </c>
      <c r="J256" s="1686"/>
      <c r="K256" s="1464">
        <f>7.6*1.39</f>
        <v>10.563999999999998</v>
      </c>
      <c r="L256" s="1464">
        <f>1.2216*1.39</f>
        <v>1.698024</v>
      </c>
      <c r="M256" s="1686"/>
      <c r="N256" s="1686"/>
      <c r="O256" s="1686"/>
      <c r="P256" s="1464">
        <f>(H256+K256+L256)*25/100</f>
        <v>44.021856</v>
      </c>
      <c r="Q256" s="1686"/>
      <c r="R256" s="1686"/>
      <c r="S256" s="1464">
        <f>2.5025*1.39</f>
        <v>3.4784749999999995</v>
      </c>
      <c r="T256" s="1635">
        <f>(H256+K256+L256)*22.5%</f>
        <v>39.619670400000004</v>
      </c>
      <c r="U256" s="1685">
        <f>V256+W256+AH256</f>
        <v>292.19996640000005</v>
      </c>
      <c r="V256" s="1464">
        <f>(122.08)*1.49</f>
        <v>181.89920000000001</v>
      </c>
      <c r="W256" s="1685">
        <f>SUM(X256:AG256)</f>
        <v>66.315430000000021</v>
      </c>
      <c r="X256" s="1686"/>
      <c r="Y256" s="1464">
        <f>7.9*1.49</f>
        <v>11.771000000000001</v>
      </c>
      <c r="Z256" s="1464">
        <f>1.2216*1.49</f>
        <v>1.820184</v>
      </c>
      <c r="AA256" s="1686"/>
      <c r="AB256" s="1686"/>
      <c r="AC256" s="1686"/>
      <c r="AD256" s="1464">
        <f>(V256+Y256+Z256)*25/100</f>
        <v>48.872596000000016</v>
      </c>
      <c r="AE256" s="1686"/>
      <c r="AF256" s="1686"/>
      <c r="AG256" s="1464">
        <f>2.585*1.49</f>
        <v>3.8516499999999998</v>
      </c>
      <c r="AH256" s="1635">
        <f>(V256+Y256+Z256)*22.5%</f>
        <v>43.985336400000008</v>
      </c>
      <c r="AI256" s="1635">
        <f>U256-G256</f>
        <v>28.992541000000017</v>
      </c>
      <c r="AJ256" s="1635">
        <f t="shared" ref="AJ256:AJ257" si="247">AI256*12</f>
        <v>347.9104920000002</v>
      </c>
      <c r="AK256" s="1471">
        <f t="shared" si="245"/>
        <v>0.85272179411764759</v>
      </c>
      <c r="AL256" s="1472">
        <f t="shared" si="227"/>
        <v>111.01509235764897</v>
      </c>
    </row>
    <row r="257" spans="1:38" s="1431" customFormat="1" ht="27.75" hidden="1" customHeight="1">
      <c r="A257" s="1375"/>
      <c r="B257" s="764" t="s">
        <v>2728</v>
      </c>
      <c r="C257" s="1367">
        <f t="shared" si="219"/>
        <v>0</v>
      </c>
      <c r="D257" s="1455"/>
      <c r="E257" s="1455"/>
      <c r="F257" s="1455"/>
      <c r="G257" s="1614">
        <f>H257+I257+T257</f>
        <v>0</v>
      </c>
      <c r="H257" s="1617"/>
      <c r="I257" s="1614">
        <f>SUM(J257:S257)</f>
        <v>0</v>
      </c>
      <c r="J257" s="1617"/>
      <c r="K257" s="1617"/>
      <c r="L257" s="1617"/>
      <c r="M257" s="1617"/>
      <c r="N257" s="1617"/>
      <c r="O257" s="1617"/>
      <c r="P257" s="1617"/>
      <c r="Q257" s="1617"/>
      <c r="R257" s="1617"/>
      <c r="S257" s="1617"/>
      <c r="T257" s="1621">
        <f>(H257+K257+L257)*22.5%</f>
        <v>0</v>
      </c>
      <c r="U257" s="1614">
        <f>V257+W257+AH257</f>
        <v>0</v>
      </c>
      <c r="V257" s="1617"/>
      <c r="W257" s="1614">
        <f>SUM(X257:AG257)</f>
        <v>0</v>
      </c>
      <c r="X257" s="1617"/>
      <c r="Y257" s="1617"/>
      <c r="Z257" s="1617"/>
      <c r="AA257" s="1617"/>
      <c r="AB257" s="1617"/>
      <c r="AC257" s="1617"/>
      <c r="AD257" s="1617"/>
      <c r="AE257" s="1617"/>
      <c r="AF257" s="1617"/>
      <c r="AG257" s="1617"/>
      <c r="AH257" s="1621">
        <f>(V257+Y257+Z257)*22.5%</f>
        <v>0</v>
      </c>
      <c r="AI257" s="1621">
        <f>U257-G257</f>
        <v>0</v>
      </c>
      <c r="AJ257" s="1621">
        <f t="shared" si="247"/>
        <v>0</v>
      </c>
      <c r="AK257" s="1448" t="e">
        <f t="shared" si="245"/>
        <v>#DIV/0!</v>
      </c>
      <c r="AL257" s="1431" t="e">
        <f t="shared" si="227"/>
        <v>#DIV/0!</v>
      </c>
    </row>
    <row r="258" spans="1:38" s="1431" customFormat="1" ht="27.75" hidden="1" customHeight="1">
      <c r="A258" s="1375">
        <v>41</v>
      </c>
      <c r="B258" s="1453" t="s">
        <v>2479</v>
      </c>
      <c r="C258" s="582">
        <f>C259+C260</f>
        <v>45</v>
      </c>
      <c r="D258" s="582">
        <f t="shared" ref="D258:AJ258" si="248">D259+D260</f>
        <v>0</v>
      </c>
      <c r="E258" s="582">
        <f t="shared" si="248"/>
        <v>0</v>
      </c>
      <c r="F258" s="582">
        <f t="shared" si="248"/>
        <v>40</v>
      </c>
      <c r="G258" s="1659">
        <f t="shared" si="248"/>
        <v>331.24</v>
      </c>
      <c r="H258" s="1659">
        <f t="shared" si="248"/>
        <v>213.9</v>
      </c>
      <c r="I258" s="1659">
        <f t="shared" si="248"/>
        <v>64.05</v>
      </c>
      <c r="J258" s="1659">
        <f t="shared" si="248"/>
        <v>0</v>
      </c>
      <c r="K258" s="1659">
        <f t="shared" si="248"/>
        <v>11.14</v>
      </c>
      <c r="L258" s="1659">
        <f t="shared" si="248"/>
        <v>2.2999999999999998</v>
      </c>
      <c r="M258" s="1659">
        <f t="shared" si="248"/>
        <v>0</v>
      </c>
      <c r="N258" s="1659">
        <f t="shared" si="248"/>
        <v>0</v>
      </c>
      <c r="O258" s="1659">
        <f t="shared" si="248"/>
        <v>0</v>
      </c>
      <c r="P258" s="1659">
        <f t="shared" si="248"/>
        <v>36.57</v>
      </c>
      <c r="Q258" s="1659">
        <f t="shared" si="248"/>
        <v>0</v>
      </c>
      <c r="R258" s="1659">
        <f t="shared" si="248"/>
        <v>0</v>
      </c>
      <c r="S258" s="1659">
        <f t="shared" si="248"/>
        <v>14.04</v>
      </c>
      <c r="T258" s="1659">
        <f t="shared" si="248"/>
        <v>53.29</v>
      </c>
      <c r="U258" s="1659">
        <f t="shared" si="248"/>
        <v>355.13</v>
      </c>
      <c r="V258" s="1659">
        <f t="shared" si="248"/>
        <v>229.28</v>
      </c>
      <c r="W258" s="1659">
        <f t="shared" si="248"/>
        <v>68.680000000000007</v>
      </c>
      <c r="X258" s="1659">
        <f t="shared" si="248"/>
        <v>0</v>
      </c>
      <c r="Y258" s="1659">
        <f t="shared" si="248"/>
        <v>11.94</v>
      </c>
      <c r="Z258" s="1659">
        <f t="shared" si="248"/>
        <v>2.5</v>
      </c>
      <c r="AA258" s="1659">
        <f t="shared" si="248"/>
        <v>0</v>
      </c>
      <c r="AB258" s="1659">
        <f t="shared" si="248"/>
        <v>0</v>
      </c>
      <c r="AC258" s="1659">
        <f t="shared" si="248"/>
        <v>0</v>
      </c>
      <c r="AD258" s="1659">
        <f t="shared" si="248"/>
        <v>39.200000000000003</v>
      </c>
      <c r="AE258" s="1659">
        <f t="shared" si="248"/>
        <v>0</v>
      </c>
      <c r="AF258" s="1659">
        <f t="shared" si="248"/>
        <v>0</v>
      </c>
      <c r="AG258" s="1659">
        <f t="shared" si="248"/>
        <v>15.04</v>
      </c>
      <c r="AH258" s="1659">
        <f t="shared" si="248"/>
        <v>57.17</v>
      </c>
      <c r="AI258" s="1659">
        <f t="shared" si="248"/>
        <v>23.890000000000029</v>
      </c>
      <c r="AJ258" s="1659">
        <f t="shared" si="248"/>
        <v>286.68000000000035</v>
      </c>
      <c r="AK258" s="1448">
        <f t="shared" si="245"/>
        <v>0.59725000000000072</v>
      </c>
      <c r="AL258" s="1431">
        <f t="shared" si="227"/>
        <v>107.21229320130419</v>
      </c>
    </row>
    <row r="259" spans="1:38" s="1431" customFormat="1" ht="27.75" hidden="1" customHeight="1">
      <c r="A259" s="1375"/>
      <c r="B259" s="1490" t="s">
        <v>2729</v>
      </c>
      <c r="C259" s="1365">
        <v>26</v>
      </c>
      <c r="D259" s="1365">
        <v>0</v>
      </c>
      <c r="E259" s="1365">
        <v>0</v>
      </c>
      <c r="F259" s="1365">
        <v>24</v>
      </c>
      <c r="G259" s="1365">
        <v>220.04</v>
      </c>
      <c r="H259" s="1365">
        <v>136</v>
      </c>
      <c r="I259" s="1365">
        <v>49.75</v>
      </c>
      <c r="J259" s="1365">
        <v>0</v>
      </c>
      <c r="K259" s="1365">
        <v>8.34</v>
      </c>
      <c r="L259" s="1365">
        <v>2</v>
      </c>
      <c r="M259" s="1365">
        <v>0</v>
      </c>
      <c r="N259" s="1365">
        <v>0</v>
      </c>
      <c r="O259" s="1365">
        <v>0</v>
      </c>
      <c r="P259" s="1365">
        <v>36.57</v>
      </c>
      <c r="Q259" s="1365">
        <v>0</v>
      </c>
      <c r="R259" s="1365">
        <v>0</v>
      </c>
      <c r="S259" s="1365">
        <v>2.84</v>
      </c>
      <c r="T259" s="1368">
        <v>34.29</v>
      </c>
      <c r="U259" s="1368">
        <v>235.83</v>
      </c>
      <c r="V259" s="1368">
        <v>145.78</v>
      </c>
      <c r="W259" s="1368">
        <v>53.28</v>
      </c>
      <c r="X259" s="1368">
        <v>0</v>
      </c>
      <c r="Y259" s="1368">
        <v>8.94</v>
      </c>
      <c r="Z259" s="1368">
        <v>2.1</v>
      </c>
      <c r="AA259" s="1368">
        <v>0</v>
      </c>
      <c r="AB259" s="1368">
        <v>0</v>
      </c>
      <c r="AC259" s="1368">
        <v>0</v>
      </c>
      <c r="AD259" s="1368">
        <v>39.200000000000003</v>
      </c>
      <c r="AE259" s="1368">
        <v>0</v>
      </c>
      <c r="AF259" s="1368">
        <v>0</v>
      </c>
      <c r="AG259" s="1368">
        <v>3.04</v>
      </c>
      <c r="AH259" s="1368">
        <v>36.770000000000003</v>
      </c>
      <c r="AI259" s="1621">
        <f t="shared" ref="AI259:AI269" si="249">U259-G259</f>
        <v>15.79000000000002</v>
      </c>
      <c r="AJ259" s="1621">
        <f t="shared" ref="AJ259:AJ265" si="250">AI259*12</f>
        <v>189.48000000000025</v>
      </c>
      <c r="AK259" s="1448">
        <f t="shared" si="245"/>
        <v>0.65791666666666748</v>
      </c>
      <c r="AL259" s="1431">
        <f t="shared" si="227"/>
        <v>107.17596800581713</v>
      </c>
    </row>
    <row r="260" spans="1:38" s="1431" customFormat="1" ht="27.75" hidden="1" customHeight="1">
      <c r="A260" s="1375"/>
      <c r="B260" s="1506" t="s">
        <v>2730</v>
      </c>
      <c r="C260" s="1365">
        <v>19</v>
      </c>
      <c r="D260" s="1365">
        <v>0</v>
      </c>
      <c r="E260" s="1365">
        <v>0</v>
      </c>
      <c r="F260" s="1365">
        <v>16</v>
      </c>
      <c r="G260" s="1365">
        <v>111.2</v>
      </c>
      <c r="H260" s="1365">
        <v>77.900000000000006</v>
      </c>
      <c r="I260" s="1365">
        <v>14.299999999999999</v>
      </c>
      <c r="J260" s="1365">
        <v>0</v>
      </c>
      <c r="K260" s="1365">
        <v>2.8</v>
      </c>
      <c r="L260" s="1365">
        <v>0.3</v>
      </c>
      <c r="M260" s="1365">
        <v>0</v>
      </c>
      <c r="N260" s="1365">
        <v>0</v>
      </c>
      <c r="O260" s="1365">
        <v>0</v>
      </c>
      <c r="P260" s="1365">
        <v>0</v>
      </c>
      <c r="Q260" s="1365">
        <v>0</v>
      </c>
      <c r="R260" s="1365">
        <v>0</v>
      </c>
      <c r="S260" s="1365">
        <v>11.2</v>
      </c>
      <c r="T260" s="1365">
        <v>19</v>
      </c>
      <c r="U260" s="1365">
        <v>119.30000000000001</v>
      </c>
      <c r="V260" s="1365">
        <v>83.5</v>
      </c>
      <c r="W260" s="1365">
        <v>15.4</v>
      </c>
      <c r="X260" s="1365">
        <v>0</v>
      </c>
      <c r="Y260" s="1365">
        <v>3</v>
      </c>
      <c r="Z260" s="1365">
        <v>0.4</v>
      </c>
      <c r="AA260" s="1365">
        <v>0</v>
      </c>
      <c r="AB260" s="1365">
        <v>0</v>
      </c>
      <c r="AC260" s="1365">
        <v>0</v>
      </c>
      <c r="AD260" s="1365">
        <v>0</v>
      </c>
      <c r="AE260" s="1365">
        <v>0</v>
      </c>
      <c r="AF260" s="1365">
        <v>0</v>
      </c>
      <c r="AG260" s="1365">
        <v>12</v>
      </c>
      <c r="AH260" s="1365">
        <v>20.399999999999999</v>
      </c>
      <c r="AI260" s="1621">
        <f t="shared" si="249"/>
        <v>8.1000000000000085</v>
      </c>
      <c r="AJ260" s="1621">
        <f t="shared" si="250"/>
        <v>97.200000000000102</v>
      </c>
      <c r="AK260" s="1448">
        <f t="shared" si="245"/>
        <v>0.50625000000000053</v>
      </c>
      <c r="AL260" s="1431">
        <f t="shared" si="227"/>
        <v>107.28417266187051</v>
      </c>
    </row>
    <row r="261" spans="1:38" s="1431" customFormat="1" ht="27.75" hidden="1" customHeight="1">
      <c r="A261" s="1375">
        <v>42</v>
      </c>
      <c r="B261" s="764" t="s">
        <v>2300</v>
      </c>
      <c r="C261" s="1367">
        <f t="shared" ref="C261" si="251">D261+E261</f>
        <v>19</v>
      </c>
      <c r="D261" s="1455"/>
      <c r="E261" s="1455">
        <v>19</v>
      </c>
      <c r="F261" s="1455">
        <v>18</v>
      </c>
      <c r="G261" s="1614">
        <f>H261+I261+T261</f>
        <v>160.375325</v>
      </c>
      <c r="H261" s="1617">
        <v>99.620999999999995</v>
      </c>
      <c r="I261" s="1614">
        <f>SUM(J261:S261)</f>
        <v>36.650750000000002</v>
      </c>
      <c r="J261" s="1617"/>
      <c r="K261" s="1617">
        <v>7.5060000000000002</v>
      </c>
      <c r="L261" s="1630"/>
      <c r="M261" s="1617"/>
      <c r="N261" s="1617"/>
      <c r="O261" s="1617"/>
      <c r="P261" s="1655">
        <f>(H261+K261+L261)*0.25</f>
        <v>26.781749999999999</v>
      </c>
      <c r="Q261" s="1617">
        <v>2.085</v>
      </c>
      <c r="R261" s="1617"/>
      <c r="S261" s="1617">
        <v>0.27800000000000002</v>
      </c>
      <c r="T261" s="1621">
        <f>(H261+K261+L261)*22.5%</f>
        <v>24.103574999999999</v>
      </c>
      <c r="U261" s="1614">
        <f t="shared" ref="U261:U269" si="252">V261+W261+AH261</f>
        <v>171.91315</v>
      </c>
      <c r="V261" s="1617">
        <v>106.788</v>
      </c>
      <c r="W261" s="1614">
        <f t="shared" ref="W261:W269" si="253">SUM(X261:AG261)</f>
        <v>39.287500000000001</v>
      </c>
      <c r="X261" s="1617"/>
      <c r="Y261" s="1617">
        <v>8.0459999999999994</v>
      </c>
      <c r="Z261" s="1630"/>
      <c r="AA261" s="1617"/>
      <c r="AB261" s="1617"/>
      <c r="AC261" s="1617"/>
      <c r="AD261" s="1655">
        <f>(V261+Y261+Z261)*0.25</f>
        <v>28.708500000000001</v>
      </c>
      <c r="AE261" s="1617">
        <v>2.2349999999999999</v>
      </c>
      <c r="AF261" s="1617"/>
      <c r="AG261" s="1617">
        <v>0.29799999999999999</v>
      </c>
      <c r="AH261" s="1621">
        <f>(V261+Y261+Z261)*22.5%</f>
        <v>25.83765</v>
      </c>
      <c r="AI261" s="1621">
        <f t="shared" si="249"/>
        <v>11.537824999999998</v>
      </c>
      <c r="AJ261" s="1621">
        <f t="shared" si="250"/>
        <v>138.45389999999998</v>
      </c>
      <c r="AK261" s="1448">
        <f t="shared" si="245"/>
        <v>0.64099027777777762</v>
      </c>
      <c r="AL261" s="1431">
        <f t="shared" si="227"/>
        <v>107.19426445433548</v>
      </c>
    </row>
    <row r="262" spans="1:38" s="1431" customFormat="1" ht="27.75" hidden="1" customHeight="1">
      <c r="A262" s="1375">
        <v>43</v>
      </c>
      <c r="B262" s="764" t="s">
        <v>2731</v>
      </c>
      <c r="C262" s="1367">
        <f t="shared" si="219"/>
        <v>30</v>
      </c>
      <c r="D262" s="1455"/>
      <c r="E262" s="1455">
        <v>30</v>
      </c>
      <c r="F262" s="1455">
        <v>30</v>
      </c>
      <c r="G262" s="1614">
        <f t="shared" ref="G262:G269" si="254">H262+I262+T262</f>
        <v>203.53259869999997</v>
      </c>
      <c r="H262" s="1617">
        <f>(116.39-4.3)*1.39</f>
        <v>155.80509999999998</v>
      </c>
      <c r="I262" s="1614">
        <f>SUM(J262:S262)</f>
        <v>10.420551999999999</v>
      </c>
      <c r="J262" s="1617"/>
      <c r="K262" s="1617">
        <f>6.4*1.39</f>
        <v>8.895999999999999</v>
      </c>
      <c r="L262" s="1617">
        <f>0.7968*1.39</f>
        <v>1.1075519999999999</v>
      </c>
      <c r="M262" s="1617"/>
      <c r="N262" s="1617"/>
      <c r="O262" s="1617"/>
      <c r="P262" s="1617"/>
      <c r="Q262" s="1617"/>
      <c r="R262" s="1617"/>
      <c r="S262" s="1617">
        <f>0.3*1.39</f>
        <v>0.41699999999999998</v>
      </c>
      <c r="T262" s="1621">
        <f>(H262+K262+L262)*22.5%</f>
        <v>37.30694669999999</v>
      </c>
      <c r="U262" s="1614">
        <f t="shared" si="252"/>
        <v>218.17523170000001</v>
      </c>
      <c r="V262" s="1617">
        <f>(116.39-4.3)*1.49</f>
        <v>167.01410000000001</v>
      </c>
      <c r="W262" s="1614">
        <f>SUM(X262:AG262)</f>
        <v>11.170231999999999</v>
      </c>
      <c r="X262" s="1617"/>
      <c r="Y262" s="1617">
        <f>6.4*1.49</f>
        <v>9.5359999999999996</v>
      </c>
      <c r="Z262" s="1617">
        <f>0.7968*1.49</f>
        <v>1.1872319999999998</v>
      </c>
      <c r="AA262" s="1617"/>
      <c r="AB262" s="1617"/>
      <c r="AC262" s="1617"/>
      <c r="AD262" s="1617"/>
      <c r="AE262" s="1617"/>
      <c r="AF262" s="1617"/>
      <c r="AG262" s="1617">
        <f>0.3*1.49</f>
        <v>0.44700000000000001</v>
      </c>
      <c r="AH262" s="1621">
        <f>(V262+Y262+Z262)*22.5%</f>
        <v>39.9908997</v>
      </c>
      <c r="AI262" s="1621">
        <f t="shared" si="249"/>
        <v>14.642633000000046</v>
      </c>
      <c r="AJ262" s="1621">
        <f t="shared" si="250"/>
        <v>175.71159600000055</v>
      </c>
      <c r="AK262" s="1448">
        <f t="shared" si="245"/>
        <v>0.4880877666666682</v>
      </c>
      <c r="AL262" s="1431">
        <f t="shared" si="227"/>
        <v>107.19424460431657</v>
      </c>
    </row>
    <row r="263" spans="1:38" s="1502" customFormat="1" ht="27.75" hidden="1" customHeight="1">
      <c r="A263" s="1499">
        <v>44</v>
      </c>
      <c r="B263" s="1453" t="s">
        <v>2666</v>
      </c>
      <c r="C263" s="1486">
        <f>+D263+E263</f>
        <v>51</v>
      </c>
      <c r="D263" s="1486"/>
      <c r="E263" s="1486">
        <v>51</v>
      </c>
      <c r="F263" s="1486">
        <v>47</v>
      </c>
      <c r="G263" s="1653">
        <f t="shared" si="254"/>
        <v>441.54245854999999</v>
      </c>
      <c r="H263" s="1653">
        <f>+(197.29-1.18)*1.39</f>
        <v>272.59289999999999</v>
      </c>
      <c r="I263" s="1653">
        <f>SUM(J263:S263)</f>
        <v>102.95424199999999</v>
      </c>
      <c r="J263" s="1653"/>
      <c r="K263" s="1653">
        <f>8.5*1.39</f>
        <v>11.815</v>
      </c>
      <c r="L263" s="1653">
        <f>+(2.3904)*1.39</f>
        <v>3.3226559999999998</v>
      </c>
      <c r="M263" s="1653"/>
      <c r="N263" s="1653"/>
      <c r="O263" s="1653"/>
      <c r="P263" s="1655">
        <f>(H263+K263+L263)*0.25</f>
        <v>71.932638999999995</v>
      </c>
      <c r="Q263" s="1655">
        <f>7.1115*1.39</f>
        <v>9.8849850000000004</v>
      </c>
      <c r="R263" s="1653">
        <f>4.0158*1.39</f>
        <v>5.581961999999999</v>
      </c>
      <c r="S263" s="1653">
        <f>0.3*1.39</f>
        <v>0.41699999999999998</v>
      </c>
      <c r="T263" s="1653">
        <f>+(H263+K263+L263+R263)*0.225</f>
        <v>65.995316549999998</v>
      </c>
      <c r="U263" s="1653">
        <f t="shared" si="252"/>
        <v>473.30810305</v>
      </c>
      <c r="V263" s="1653">
        <f>+(197.29-1.18)*1.49</f>
        <v>292.20389999999998</v>
      </c>
      <c r="W263" s="1653">
        <f t="shared" si="253"/>
        <v>110.36102200000001</v>
      </c>
      <c r="X263" s="1653"/>
      <c r="Y263" s="1653">
        <f>8.5*1.49</f>
        <v>12.664999999999999</v>
      </c>
      <c r="Z263" s="1653">
        <f>+(2.3904)*1.49</f>
        <v>3.561696</v>
      </c>
      <c r="AA263" s="1653"/>
      <c r="AB263" s="1653"/>
      <c r="AC263" s="1653"/>
      <c r="AD263" s="1655">
        <f>(V263+Y263+Z263)*0.25</f>
        <v>77.107648999999995</v>
      </c>
      <c r="AE263" s="1655">
        <f>7.1115*1.49</f>
        <v>10.596135</v>
      </c>
      <c r="AF263" s="1653">
        <f>4.0158*1.49</f>
        <v>5.983541999999999</v>
      </c>
      <c r="AG263" s="1653">
        <f>0.3*1.49</f>
        <v>0.44700000000000001</v>
      </c>
      <c r="AH263" s="1653">
        <f>+(V263+Y263+Z263+AF263)*0.225</f>
        <v>70.743181050000004</v>
      </c>
      <c r="AI263" s="1621">
        <f t="shared" si="249"/>
        <v>31.765644500000008</v>
      </c>
      <c r="AJ263" s="1621">
        <f t="shared" si="250"/>
        <v>381.18773400000009</v>
      </c>
      <c r="AK263" s="1448">
        <f t="shared" si="245"/>
        <v>0.67586477659574484</v>
      </c>
      <c r="AL263" s="1431">
        <f t="shared" si="227"/>
        <v>107.19424460431655</v>
      </c>
    </row>
    <row r="264" spans="1:38" s="1502" customFormat="1" ht="27.75" hidden="1" customHeight="1">
      <c r="A264" s="1499">
        <v>45</v>
      </c>
      <c r="B264" s="764" t="s">
        <v>2732</v>
      </c>
      <c r="C264" s="1365">
        <v>29</v>
      </c>
      <c r="D264" s="1365">
        <v>0</v>
      </c>
      <c r="E264" s="1365">
        <v>0</v>
      </c>
      <c r="F264" s="1365">
        <v>27</v>
      </c>
      <c r="G264" s="1365">
        <v>257.16899999999998</v>
      </c>
      <c r="H264" s="1365">
        <v>151.62099999999998</v>
      </c>
      <c r="I264" s="1365">
        <v>68.052999999999997</v>
      </c>
      <c r="J264" s="1365">
        <v>0</v>
      </c>
      <c r="K264" s="1365">
        <v>8.0619999999999994</v>
      </c>
      <c r="L264" s="1365">
        <v>0.96899999999999997</v>
      </c>
      <c r="M264" s="1365">
        <v>0</v>
      </c>
      <c r="N264" s="1365">
        <v>0</v>
      </c>
      <c r="O264" s="1365">
        <v>0</v>
      </c>
      <c r="P264" s="1365">
        <v>41.110999999999997</v>
      </c>
      <c r="Q264" s="1365">
        <v>0</v>
      </c>
      <c r="R264" s="1365">
        <v>5.9290000000000003</v>
      </c>
      <c r="S264" s="1365">
        <v>11.981999999999999</v>
      </c>
      <c r="T264" s="1368">
        <v>37.494999999999997</v>
      </c>
      <c r="U264" s="1368">
        <v>277.44071737410076</v>
      </c>
      <c r="V264" s="1368">
        <v>162.52898561151079</v>
      </c>
      <c r="W264" s="1368">
        <v>72.948899280575546</v>
      </c>
      <c r="X264" s="1368">
        <v>0</v>
      </c>
      <c r="Y264" s="1368">
        <v>8.6419999999999995</v>
      </c>
      <c r="Z264" s="1368">
        <v>1.0387122302158274</v>
      </c>
      <c r="AA264" s="1368">
        <v>0</v>
      </c>
      <c r="AB264" s="1368">
        <v>0</v>
      </c>
      <c r="AC264" s="1368">
        <v>0</v>
      </c>
      <c r="AD264" s="1368">
        <v>44.068625899280576</v>
      </c>
      <c r="AE264" s="1368">
        <v>0</v>
      </c>
      <c r="AF264" s="1368">
        <v>6.3555467625899285</v>
      </c>
      <c r="AG264" s="1368">
        <v>12.84401438848921</v>
      </c>
      <c r="AH264" s="1368">
        <v>41.962832482014385</v>
      </c>
      <c r="AI264" s="1621">
        <f t="shared" si="249"/>
        <v>20.271717374100774</v>
      </c>
      <c r="AJ264" s="1621">
        <f t="shared" si="250"/>
        <v>243.26060848920929</v>
      </c>
      <c r="AK264" s="1448">
        <f t="shared" si="245"/>
        <v>0.75080434718891753</v>
      </c>
      <c r="AL264" s="1431">
        <f t="shared" si="227"/>
        <v>107.88264424331891</v>
      </c>
    </row>
    <row r="265" spans="1:38" s="1502" customFormat="1" ht="27.75" hidden="1" customHeight="1">
      <c r="A265" s="1499">
        <v>46</v>
      </c>
      <c r="B265" s="764" t="s">
        <v>2292</v>
      </c>
      <c r="C265" s="1365">
        <f t="shared" si="219"/>
        <v>49</v>
      </c>
      <c r="D265" s="1365"/>
      <c r="E265" s="1451">
        <v>49</v>
      </c>
      <c r="F265" s="1454">
        <v>33</v>
      </c>
      <c r="G265" s="1367">
        <f t="shared" si="254"/>
        <v>440.19586824999999</v>
      </c>
      <c r="H265" s="1618">
        <f>199.55*1.39</f>
        <v>277.37450000000001</v>
      </c>
      <c r="I265" s="1367">
        <f>SUM(J265:S265)</f>
        <v>96.442369999999983</v>
      </c>
      <c r="J265" s="1617"/>
      <c r="K265" s="1618">
        <f>7.7*1.39</f>
        <v>10.702999999999999</v>
      </c>
      <c r="L265" s="1618">
        <f>3.238*1.39</f>
        <v>4.50082</v>
      </c>
      <c r="M265" s="1618"/>
      <c r="N265" s="1619"/>
      <c r="O265" s="1619"/>
      <c r="P265" s="1617">
        <v>73.11399999999999</v>
      </c>
      <c r="Q265" s="1617"/>
      <c r="R265" s="1618">
        <f>1.755*1.39</f>
        <v>2.4394499999999999</v>
      </c>
      <c r="S265" s="1618">
        <f>4.09*1.39</f>
        <v>5.6850999999999994</v>
      </c>
      <c r="T265" s="1367">
        <f>(H265+K265+L265+R265)*22.5%</f>
        <v>66.378998249999995</v>
      </c>
      <c r="U265" s="1620">
        <f t="shared" si="252"/>
        <v>484.92090975000002</v>
      </c>
      <c r="V265" s="1617">
        <v>309.66669999999999</v>
      </c>
      <c r="W265" s="1617">
        <f t="shared" si="253"/>
        <v>101.18441</v>
      </c>
      <c r="X265" s="1617"/>
      <c r="Y265" s="1617">
        <v>12.367000000000001</v>
      </c>
      <c r="Z265" s="1617">
        <v>4.4506300000000003</v>
      </c>
      <c r="AA265" s="1617"/>
      <c r="AB265" s="1617"/>
      <c r="AC265" s="1617"/>
      <c r="AD265" s="1617">
        <v>81.652000000000001</v>
      </c>
      <c r="AE265" s="1617"/>
      <c r="AF265" s="1617">
        <v>2.7147800000000002</v>
      </c>
      <c r="AG265" s="1617">
        <v>0</v>
      </c>
      <c r="AH265" s="1367">
        <f>(V265+Y265+Z265+AF265)*22.5%</f>
        <v>74.069799750000001</v>
      </c>
      <c r="AI265" s="1622">
        <f t="shared" si="249"/>
        <v>44.725041500000032</v>
      </c>
      <c r="AJ265" s="1621">
        <f t="shared" si="250"/>
        <v>536.70049800000038</v>
      </c>
      <c r="AK265" s="1448">
        <f t="shared" si="245"/>
        <v>1.3553042878787889</v>
      </c>
      <c r="AL265" s="1431">
        <f t="shared" si="227"/>
        <v>110.16025926772201</v>
      </c>
    </row>
    <row r="266" spans="1:38" s="1507" customFormat="1" ht="27.75" hidden="1" customHeight="1">
      <c r="A266" s="1499">
        <v>47</v>
      </c>
      <c r="B266" s="764" t="s">
        <v>2293</v>
      </c>
      <c r="C266" s="1365">
        <f>D266+E266</f>
        <v>31</v>
      </c>
      <c r="D266" s="1365">
        <v>31</v>
      </c>
      <c r="E266" s="1451"/>
      <c r="F266" s="1365">
        <v>28</v>
      </c>
      <c r="G266" s="1367">
        <f t="shared" si="254"/>
        <v>275.46731575000001</v>
      </c>
      <c r="H266" s="1577">
        <f>(122.77*1390)/1000</f>
        <v>170.65029999999999</v>
      </c>
      <c r="I266" s="1367">
        <f>SUM(J266:S266)</f>
        <v>63.645667499999995</v>
      </c>
      <c r="J266" s="1365"/>
      <c r="K266" s="1577">
        <f>(7.1*1390)/1000</f>
        <v>9.8689999999999998</v>
      </c>
      <c r="L266" s="1577">
        <f>(1.773*1390)/1000</f>
        <v>2.4644699999999999</v>
      </c>
      <c r="M266" s="1577">
        <v>0</v>
      </c>
      <c r="N266" s="1365"/>
      <c r="O266" s="1365"/>
      <c r="P266" s="1365">
        <f>(H266+K266+L266)*25%</f>
        <v>45.745942499999998</v>
      </c>
      <c r="Q266" s="1365"/>
      <c r="R266" s="1577"/>
      <c r="S266" s="1577">
        <f>((3.7045+0.3)*1390)/1000</f>
        <v>5.566255</v>
      </c>
      <c r="T266" s="1366">
        <f>(H266+K266+L266+R266)*22.5%</f>
        <v>41.171348250000001</v>
      </c>
      <c r="U266" s="1367">
        <f t="shared" si="252"/>
        <v>295.28510825000001</v>
      </c>
      <c r="V266" s="1367">
        <f>(H266/1.39)*1.49</f>
        <v>182.9273</v>
      </c>
      <c r="W266" s="1367">
        <f t="shared" si="253"/>
        <v>68.224492499999997</v>
      </c>
      <c r="X266" s="1367">
        <f>(J266/1.39)*1.49</f>
        <v>0</v>
      </c>
      <c r="Y266" s="1367">
        <f>(K266/1.39)*1.49</f>
        <v>10.579000000000001</v>
      </c>
      <c r="Z266" s="1367">
        <f>(L266/1.39)*1.49</f>
        <v>2.6417700000000002</v>
      </c>
      <c r="AA266" s="1367">
        <f>(M266/1.3)*1.39</f>
        <v>0</v>
      </c>
      <c r="AB266" s="1367">
        <f>(N266/1.3)*1.39</f>
        <v>0</v>
      </c>
      <c r="AC266" s="1367">
        <f>(O266/1.3)*1.39</f>
        <v>0</v>
      </c>
      <c r="AD266" s="1367">
        <f>(P266/1.39)*1.49</f>
        <v>49.037017499999997</v>
      </c>
      <c r="AE266" s="1367">
        <f>(Q266/1.3)*1.39</f>
        <v>0</v>
      </c>
      <c r="AF266" s="1367">
        <f>(R266/1.39)*1.49</f>
        <v>0</v>
      </c>
      <c r="AG266" s="1367">
        <f>(S266/1.39)*1.49</f>
        <v>5.9667050000000001</v>
      </c>
      <c r="AH266" s="1367">
        <f>(V266+Y266+Z266+AF266)*22.5%</f>
        <v>44.133315750000008</v>
      </c>
      <c r="AI266" s="1621">
        <f t="shared" si="249"/>
        <v>19.817792499999996</v>
      </c>
      <c r="AJ266" s="1621">
        <f>AI266*12</f>
        <v>237.81350999999995</v>
      </c>
      <c r="AK266" s="1463">
        <f t="shared" si="245"/>
        <v>0.70777830357142846</v>
      </c>
      <c r="AL266" s="1431">
        <f t="shared" si="227"/>
        <v>107.19424460431655</v>
      </c>
    </row>
    <row r="267" spans="1:38" s="1502" customFormat="1" ht="27.75" hidden="1" customHeight="1">
      <c r="A267" s="1499">
        <v>48</v>
      </c>
      <c r="B267" s="1490" t="s">
        <v>2733</v>
      </c>
      <c r="C267" s="1478">
        <v>44</v>
      </c>
      <c r="D267" s="1478"/>
      <c r="E267" s="1478">
        <v>43</v>
      </c>
      <c r="F267" s="1478">
        <v>43</v>
      </c>
      <c r="G267" s="1640">
        <f>H267+I267+T267</f>
        <v>310.44402500000001</v>
      </c>
      <c r="H267" s="1688">
        <v>193.91900000000001</v>
      </c>
      <c r="I267" s="1640">
        <f>SUM(J267:S267)</f>
        <v>70.488</v>
      </c>
      <c r="J267" s="1641"/>
      <c r="K267" s="1688">
        <v>9.5909999999999993</v>
      </c>
      <c r="L267" s="1688">
        <v>0.55400000000000005</v>
      </c>
      <c r="M267" s="1641"/>
      <c r="N267" s="1641"/>
      <c r="O267" s="1641"/>
      <c r="P267" s="1689">
        <v>53.445999999999998</v>
      </c>
      <c r="Q267" s="1642"/>
      <c r="R267" s="1689">
        <v>0.54500000000000004</v>
      </c>
      <c r="S267" s="1689">
        <f>5.796+0.556</f>
        <v>6.3520000000000003</v>
      </c>
      <c r="T267" s="1643">
        <v>46.037025</v>
      </c>
      <c r="U267" s="1690">
        <f t="shared" si="252"/>
        <v>339.483</v>
      </c>
      <c r="V267" s="1691">
        <v>214.381</v>
      </c>
      <c r="W267" s="1640">
        <f>SUM(X267:AG267)</f>
        <v>74.287999999999997</v>
      </c>
      <c r="X267" s="1640"/>
      <c r="Y267" s="1691">
        <v>10.281000000000001</v>
      </c>
      <c r="Z267" s="1691">
        <v>0.59399999999999997</v>
      </c>
      <c r="AA267" s="1640"/>
      <c r="AB267" s="1640"/>
      <c r="AC267" s="1640"/>
      <c r="AD267" s="1691">
        <v>56.314</v>
      </c>
      <c r="AE267" s="1640"/>
      <c r="AF267" s="1691">
        <v>0.58399999999999996</v>
      </c>
      <c r="AG267" s="1640">
        <f>5.919+0.596</f>
        <v>6.5149999999999997</v>
      </c>
      <c r="AH267" s="1640">
        <v>50.814</v>
      </c>
      <c r="AI267" s="1621">
        <f t="shared" si="249"/>
        <v>29.038974999999994</v>
      </c>
      <c r="AJ267" s="1621">
        <f t="shared" ref="AJ267:AJ269" si="255">AI267*12</f>
        <v>348.46769999999992</v>
      </c>
      <c r="AK267" s="1448">
        <f t="shared" si="245"/>
        <v>0.67532499999999984</v>
      </c>
      <c r="AL267" s="1508">
        <f t="shared" si="227"/>
        <v>109.35401317516096</v>
      </c>
    </row>
    <row r="268" spans="1:38" s="1502" customFormat="1" ht="27.75" hidden="1" customHeight="1">
      <c r="A268" s="1499">
        <v>49</v>
      </c>
      <c r="B268" s="1490" t="s">
        <v>2734</v>
      </c>
      <c r="C268" s="1491">
        <v>41</v>
      </c>
      <c r="D268" s="1491"/>
      <c r="E268" s="1491">
        <v>40</v>
      </c>
      <c r="F268" s="1491">
        <v>40</v>
      </c>
      <c r="G268" s="1646">
        <f t="shared" ref="G268" si="256">H268+I268+T268</f>
        <v>372.29314999999997</v>
      </c>
      <c r="H268" s="1647">
        <v>224.79</v>
      </c>
      <c r="I268" s="1648">
        <f t="shared" ref="I268" si="257">SUM(J268:S268)</f>
        <v>94.643149999999991</v>
      </c>
      <c r="J268" s="1647">
        <f>SUM(J507,J608)</f>
        <v>0</v>
      </c>
      <c r="K268" s="1647">
        <v>9.73</v>
      </c>
      <c r="L268" s="1647">
        <v>0.42</v>
      </c>
      <c r="M268" s="1647">
        <f>SUM(M507,M608)</f>
        <v>0</v>
      </c>
      <c r="N268" s="1647">
        <f>SUM(N507,N608)</f>
        <v>0</v>
      </c>
      <c r="O268" s="1647">
        <f>SUM(O507,O608)</f>
        <v>0</v>
      </c>
      <c r="P268" s="1647">
        <v>58.73</v>
      </c>
      <c r="Q268" s="1647">
        <f>SUM(Q507,Q608)</f>
        <v>21.663149999999998</v>
      </c>
      <c r="R268" s="1647">
        <f>SUM(R507,R608)</f>
        <v>0</v>
      </c>
      <c r="S268" s="1647">
        <v>4.0999999999999996</v>
      </c>
      <c r="T268" s="1649">
        <v>52.86</v>
      </c>
      <c r="U268" s="1646">
        <f t="shared" si="252"/>
        <v>399.07843776978416</v>
      </c>
      <c r="V268" s="1648">
        <f t="shared" ref="V268" si="258">(H268/1.39)*1.49</f>
        <v>240.9619424460432</v>
      </c>
      <c r="W268" s="1648">
        <f t="shared" ref="W268" si="259">SUM(X268:AG268)</f>
        <v>101.45200971223021</v>
      </c>
      <c r="X268" s="1648">
        <f t="shared" ref="X268:AG268" si="260">(J268/1.39)*1.49</f>
        <v>0</v>
      </c>
      <c r="Y268" s="1648">
        <f t="shared" si="260"/>
        <v>10.430000000000001</v>
      </c>
      <c r="Z268" s="1648">
        <f t="shared" si="260"/>
        <v>0.45021582733812948</v>
      </c>
      <c r="AA268" s="1648">
        <f t="shared" si="260"/>
        <v>0</v>
      </c>
      <c r="AB268" s="1648">
        <f t="shared" si="260"/>
        <v>0</v>
      </c>
      <c r="AC268" s="1648">
        <f t="shared" si="260"/>
        <v>0</v>
      </c>
      <c r="AD268" s="1648">
        <f t="shared" si="260"/>
        <v>62.955179856115102</v>
      </c>
      <c r="AE268" s="1648">
        <f t="shared" si="260"/>
        <v>23.221649999999997</v>
      </c>
      <c r="AF268" s="1648">
        <f t="shared" si="260"/>
        <v>0</v>
      </c>
      <c r="AG268" s="1648">
        <f t="shared" si="260"/>
        <v>4.394964028776978</v>
      </c>
      <c r="AH268" s="1648">
        <f>(V268+Y268+Z268+AF268)*22.5%</f>
        <v>56.664485611510798</v>
      </c>
      <c r="AI268" s="1621">
        <f t="shared" si="249"/>
        <v>26.78528776978419</v>
      </c>
      <c r="AJ268" s="1621">
        <f t="shared" si="255"/>
        <v>321.42345323741029</v>
      </c>
      <c r="AK268" s="1448">
        <f t="shared" si="245"/>
        <v>0.66963219424460474</v>
      </c>
      <c r="AL268" s="1431">
        <f t="shared" si="227"/>
        <v>107.19467649882471</v>
      </c>
    </row>
    <row r="269" spans="1:38" s="1510" customFormat="1" ht="27.75" hidden="1" customHeight="1">
      <c r="A269" s="1509">
        <v>50</v>
      </c>
      <c r="B269" s="1469" t="s">
        <v>2735</v>
      </c>
      <c r="C269" s="1479">
        <f t="shared" ref="C269" si="261">D269+E269</f>
        <v>23</v>
      </c>
      <c r="D269" s="1475"/>
      <c r="E269" s="1475">
        <v>23</v>
      </c>
      <c r="F269" s="1475">
        <v>21</v>
      </c>
      <c r="G269" s="1631">
        <f t="shared" si="254"/>
        <v>202.35948734999997</v>
      </c>
      <c r="H269" s="1632">
        <f>89.78*1.39</f>
        <v>124.79419999999999</v>
      </c>
      <c r="I269" s="1631">
        <f>SUM(J269:S269)</f>
        <v>47.17055349999999</v>
      </c>
      <c r="J269" s="1632"/>
      <c r="K269" s="1632">
        <f>6.4*1.39</f>
        <v>8.895999999999999</v>
      </c>
      <c r="L269" s="1632">
        <f>0.249*1.39</f>
        <v>0.34610999999999997</v>
      </c>
      <c r="M269" s="1632"/>
      <c r="N269" s="1632"/>
      <c r="O269" s="1632"/>
      <c r="P269" s="1464">
        <f>(H269+K269+L269)*25%</f>
        <v>33.509077499999997</v>
      </c>
      <c r="Q269" s="1632"/>
      <c r="R269" s="1632">
        <f>0.7564*1.39</f>
        <v>1.0513959999999998</v>
      </c>
      <c r="S269" s="1632">
        <f>(1.913+0.51)*1.39</f>
        <v>3.3679699999999997</v>
      </c>
      <c r="T269" s="1634">
        <f>(H269+K269+L269+R269)*22.5%</f>
        <v>30.394733850000001</v>
      </c>
      <c r="U269" s="1631">
        <f t="shared" si="252"/>
        <v>216.91772385000002</v>
      </c>
      <c r="V269" s="1632">
        <f>89.78*1.49</f>
        <v>133.7722</v>
      </c>
      <c r="W269" s="1631">
        <f t="shared" si="253"/>
        <v>50.564118499999999</v>
      </c>
      <c r="X269" s="1632"/>
      <c r="Y269" s="1632">
        <f>6.4*1.49</f>
        <v>9.5359999999999996</v>
      </c>
      <c r="Z269" s="1632">
        <f>0.249*1.49</f>
        <v>0.37101000000000001</v>
      </c>
      <c r="AA269" s="1632"/>
      <c r="AB269" s="1632"/>
      <c r="AC269" s="1632"/>
      <c r="AD269" s="1464">
        <f>(V269+Y269+Z269)*25%</f>
        <v>35.919802500000003</v>
      </c>
      <c r="AE269" s="1632"/>
      <c r="AF269" s="1632">
        <f>0.7564*1.49</f>
        <v>1.1270359999999999</v>
      </c>
      <c r="AG269" s="1632">
        <f>(1.913+0.51)*1.49</f>
        <v>3.6102699999999999</v>
      </c>
      <c r="AH269" s="1634">
        <f>(V269+Y269+Z269+AF269)*22.5%</f>
        <v>32.581405350000004</v>
      </c>
      <c r="AI269" s="1635">
        <f t="shared" si="249"/>
        <v>14.558236500000049</v>
      </c>
      <c r="AJ269" s="1635">
        <f t="shared" si="255"/>
        <v>174.69883800000059</v>
      </c>
      <c r="AK269" s="1471">
        <f t="shared" si="245"/>
        <v>0.69324935714285951</v>
      </c>
      <c r="AL269" s="1472">
        <f t="shared" si="227"/>
        <v>107.19424460431657</v>
      </c>
    </row>
    <row r="270" spans="1:38" s="1444" customFormat="1" ht="21" customHeight="1">
      <c r="A270" s="1375"/>
      <c r="B270" s="1511" t="s">
        <v>2539</v>
      </c>
      <c r="C270" s="1512">
        <f t="shared" ref="C270:AI270" si="262">C271+C281</f>
        <v>228</v>
      </c>
      <c r="D270" s="1512">
        <f t="shared" si="262"/>
        <v>0</v>
      </c>
      <c r="E270" s="1512">
        <f t="shared" si="262"/>
        <v>228</v>
      </c>
      <c r="F270" s="1512">
        <f t="shared" si="262"/>
        <v>198</v>
      </c>
      <c r="G270" s="1692">
        <f t="shared" si="262"/>
        <v>2062.3525391749999</v>
      </c>
      <c r="H270" s="1692">
        <f t="shared" si="262"/>
        <v>1115.39716</v>
      </c>
      <c r="I270" s="1692">
        <f t="shared" si="262"/>
        <v>663.23850000000004</v>
      </c>
      <c r="J270" s="1692">
        <f t="shared" si="262"/>
        <v>0</v>
      </c>
      <c r="K270" s="1692">
        <f t="shared" si="262"/>
        <v>72.363399999999984</v>
      </c>
      <c r="L270" s="1692">
        <f t="shared" si="262"/>
        <v>7.7506399999999998</v>
      </c>
      <c r="M270" s="1692">
        <f t="shared" si="262"/>
        <v>35.957909999999998</v>
      </c>
      <c r="N270" s="1692">
        <f t="shared" si="262"/>
        <v>0</v>
      </c>
      <c r="O270" s="1692">
        <f t="shared" si="262"/>
        <v>0</v>
      </c>
      <c r="P270" s="1692">
        <f t="shared" si="262"/>
        <v>255.80864999999997</v>
      </c>
      <c r="Q270" s="1692">
        <f t="shared" si="262"/>
        <v>257.07341099999996</v>
      </c>
      <c r="R270" s="1692">
        <f t="shared" si="262"/>
        <v>14.410269</v>
      </c>
      <c r="S270" s="1692">
        <f t="shared" si="262"/>
        <v>19.874220000000001</v>
      </c>
      <c r="T270" s="1692">
        <f t="shared" si="262"/>
        <v>283.71687917499997</v>
      </c>
      <c r="U270" s="1692">
        <f t="shared" si="262"/>
        <v>2210.0720024249999</v>
      </c>
      <c r="V270" s="1692">
        <f t="shared" si="262"/>
        <v>1195.64156</v>
      </c>
      <c r="W270" s="1692">
        <f t="shared" si="262"/>
        <v>710.95349999999985</v>
      </c>
      <c r="X270" s="1692">
        <f t="shared" si="262"/>
        <v>0</v>
      </c>
      <c r="Y270" s="1692">
        <f t="shared" si="262"/>
        <v>77.569400000000016</v>
      </c>
      <c r="Z270" s="1692">
        <f t="shared" si="262"/>
        <v>8.3082399999999996</v>
      </c>
      <c r="AA270" s="1692">
        <f t="shared" si="262"/>
        <v>38.544809999999998</v>
      </c>
      <c r="AB270" s="1692">
        <f t="shared" si="262"/>
        <v>0</v>
      </c>
      <c r="AC270" s="1692">
        <f t="shared" si="262"/>
        <v>0</v>
      </c>
      <c r="AD270" s="1692">
        <f t="shared" si="262"/>
        <v>274.21215000000001</v>
      </c>
      <c r="AE270" s="1692">
        <f t="shared" si="262"/>
        <v>275.56790100000001</v>
      </c>
      <c r="AF270" s="1692">
        <f t="shared" si="262"/>
        <v>15.446979000000001</v>
      </c>
      <c r="AG270" s="1692">
        <f t="shared" si="262"/>
        <v>21.304019999999998</v>
      </c>
      <c r="AH270" s="1692">
        <f t="shared" si="262"/>
        <v>303.47694242499995</v>
      </c>
      <c r="AI270" s="1692">
        <f t="shared" si="262"/>
        <v>147.71946324999999</v>
      </c>
      <c r="AJ270" s="1692">
        <f>AJ271+AJ281</f>
        <v>1772.6335589999999</v>
      </c>
      <c r="AK270" s="1448">
        <f t="shared" si="245"/>
        <v>0.74605789520202015</v>
      </c>
      <c r="AL270" s="1431">
        <f t="shared" si="227"/>
        <v>107.16266789717204</v>
      </c>
    </row>
    <row r="271" spans="1:38" s="1444" customFormat="1" ht="25.5" hidden="1" customHeight="1">
      <c r="A271" s="1375">
        <v>51</v>
      </c>
      <c r="B271" s="764" t="s">
        <v>2736</v>
      </c>
      <c r="C271" s="560">
        <f>SUM(C272:C280)</f>
        <v>228</v>
      </c>
      <c r="D271" s="560">
        <f t="shared" ref="D271:AJ271" si="263">SUM(D272:D280)</f>
        <v>0</v>
      </c>
      <c r="E271" s="560">
        <f t="shared" si="263"/>
        <v>228</v>
      </c>
      <c r="F271" s="560">
        <f t="shared" si="263"/>
        <v>198</v>
      </c>
      <c r="G271" s="1617">
        <f t="shared" si="263"/>
        <v>2062.3525391749999</v>
      </c>
      <c r="H271" s="1617">
        <f t="shared" si="263"/>
        <v>1115.39716</v>
      </c>
      <c r="I271" s="1617">
        <f t="shared" si="263"/>
        <v>663.23850000000004</v>
      </c>
      <c r="J271" s="1617">
        <f t="shared" si="263"/>
        <v>0</v>
      </c>
      <c r="K271" s="1617">
        <f t="shared" si="263"/>
        <v>72.363399999999984</v>
      </c>
      <c r="L271" s="1617">
        <f t="shared" si="263"/>
        <v>7.7506399999999998</v>
      </c>
      <c r="M271" s="1617">
        <f t="shared" si="263"/>
        <v>35.957909999999998</v>
      </c>
      <c r="N271" s="1617">
        <f t="shared" si="263"/>
        <v>0</v>
      </c>
      <c r="O271" s="1617">
        <f t="shared" si="263"/>
        <v>0</v>
      </c>
      <c r="P271" s="1617">
        <f t="shared" si="263"/>
        <v>255.80864999999997</v>
      </c>
      <c r="Q271" s="1617">
        <f t="shared" si="263"/>
        <v>257.07341099999996</v>
      </c>
      <c r="R271" s="1617">
        <f t="shared" si="263"/>
        <v>14.410269</v>
      </c>
      <c r="S271" s="1617">
        <f t="shared" si="263"/>
        <v>19.874220000000001</v>
      </c>
      <c r="T271" s="1617">
        <f t="shared" si="263"/>
        <v>283.71687917499997</v>
      </c>
      <c r="U271" s="1617">
        <f t="shared" si="263"/>
        <v>2210.0720024249999</v>
      </c>
      <c r="V271" s="1617">
        <f t="shared" si="263"/>
        <v>1195.64156</v>
      </c>
      <c r="W271" s="1617">
        <f t="shared" si="263"/>
        <v>710.95349999999985</v>
      </c>
      <c r="X271" s="1617">
        <f t="shared" si="263"/>
        <v>0</v>
      </c>
      <c r="Y271" s="1617">
        <f t="shared" si="263"/>
        <v>77.569400000000016</v>
      </c>
      <c r="Z271" s="1617">
        <f t="shared" si="263"/>
        <v>8.3082399999999996</v>
      </c>
      <c r="AA271" s="1617">
        <f t="shared" si="263"/>
        <v>38.544809999999998</v>
      </c>
      <c r="AB271" s="1617">
        <f t="shared" si="263"/>
        <v>0</v>
      </c>
      <c r="AC271" s="1617">
        <f t="shared" si="263"/>
        <v>0</v>
      </c>
      <c r="AD271" s="1617">
        <f t="shared" si="263"/>
        <v>274.21215000000001</v>
      </c>
      <c r="AE271" s="1617">
        <f t="shared" si="263"/>
        <v>275.56790100000001</v>
      </c>
      <c r="AF271" s="1617">
        <f t="shared" si="263"/>
        <v>15.446979000000001</v>
      </c>
      <c r="AG271" s="1617">
        <f t="shared" si="263"/>
        <v>21.304019999999998</v>
      </c>
      <c r="AH271" s="1617">
        <f t="shared" si="263"/>
        <v>303.47694242499995</v>
      </c>
      <c r="AI271" s="1617">
        <f t="shared" si="263"/>
        <v>147.71946324999999</v>
      </c>
      <c r="AJ271" s="1617">
        <f t="shared" si="263"/>
        <v>1772.6335589999999</v>
      </c>
      <c r="AK271" s="1448">
        <f t="shared" si="245"/>
        <v>0.74605789520202015</v>
      </c>
      <c r="AL271" s="1431">
        <f t="shared" si="227"/>
        <v>107.16266789717204</v>
      </c>
    </row>
    <row r="272" spans="1:38" s="1502" customFormat="1" ht="25.5" hidden="1" customHeight="1">
      <c r="A272" s="1499"/>
      <c r="B272" s="1513" t="s">
        <v>2737</v>
      </c>
      <c r="C272" s="1367">
        <f>D272+E272</f>
        <v>65</v>
      </c>
      <c r="D272" s="1367"/>
      <c r="E272" s="1514">
        <v>65</v>
      </c>
      <c r="F272" s="1367">
        <v>45</v>
      </c>
      <c r="G272" s="1614">
        <f t="shared" ref="G272:G281" si="264">H272+I272+T272</f>
        <v>489.08653314999992</v>
      </c>
      <c r="H272" s="1659">
        <f>178.596*1.39</f>
        <v>248.24843999999999</v>
      </c>
      <c r="I272" s="1614">
        <f t="shared" ref="I272:I281" si="265">SUM(J272:S272)</f>
        <v>169.43043599999999</v>
      </c>
      <c r="J272" s="1617"/>
      <c r="K272" s="1617">
        <f>(10.6+1.56)*1.39</f>
        <v>16.9024</v>
      </c>
      <c r="L272" s="1617">
        <f>3.105*1.39</f>
        <v>4.31595</v>
      </c>
      <c r="M272" s="1617"/>
      <c r="N272" s="1617"/>
      <c r="O272" s="1617"/>
      <c r="P272" s="1617">
        <f>48.2002*1.39</f>
        <v>66.998277999999999</v>
      </c>
      <c r="Q272" s="1657">
        <f>49.3842*1.39</f>
        <v>68.644037999999995</v>
      </c>
      <c r="R272" s="1617">
        <f>3.201*1.39</f>
        <v>4.4493900000000002</v>
      </c>
      <c r="S272" s="1617">
        <f>(2.4+1+2.442)*1.39</f>
        <v>8.1203800000000008</v>
      </c>
      <c r="T272" s="1621">
        <f>(H272+K272+L272+R272)*22.5%+((7+0.3+1.752)+(6.3+1.449)*1.39*1.5%+4.5%*1.39*9)</f>
        <v>71.407657150000006</v>
      </c>
      <c r="U272" s="1614">
        <f t="shared" ref="U272:U281" si="266">V272+W272+AH272</f>
        <v>523.62139164999996</v>
      </c>
      <c r="V272" s="1659">
        <f>178.596*1.49</f>
        <v>266.10804000000002</v>
      </c>
      <c r="W272" s="1614">
        <f t="shared" ref="W272:W281" si="267">SUM(X272:AG272)</f>
        <v>181.61967599999997</v>
      </c>
      <c r="X272" s="1617"/>
      <c r="Y272" s="1617">
        <f>(10.6+1.56)*1.49</f>
        <v>18.118400000000001</v>
      </c>
      <c r="Z272" s="1617">
        <f>3.105*1.49</f>
        <v>4.6264500000000002</v>
      </c>
      <c r="AA272" s="1617"/>
      <c r="AB272" s="1617"/>
      <c r="AC272" s="1617"/>
      <c r="AD272" s="1617">
        <f>48.2002*1.49</f>
        <v>71.818297999999999</v>
      </c>
      <c r="AE272" s="1657">
        <f>49.3842*1.49</f>
        <v>73.582458000000003</v>
      </c>
      <c r="AF272" s="1617">
        <f>3.201*1.49</f>
        <v>4.7694900000000002</v>
      </c>
      <c r="AG272" s="1617">
        <f>(2.4+1+2.442)*1.49</f>
        <v>8.70458</v>
      </c>
      <c r="AH272" s="1621">
        <f>(V272+Y272+Z272+AF272)*22.5%+((7+0.3+1.752)+(6.3+1.449)*1.49*1.5%+4.5%*1.49*9)</f>
        <v>75.893675650000006</v>
      </c>
      <c r="AI272" s="1621">
        <f t="shared" ref="AI272:AI281" si="268">U272-G272</f>
        <v>34.534858500000041</v>
      </c>
      <c r="AJ272" s="1621">
        <f t="shared" ref="AJ272:AJ281" si="269">AI272*12</f>
        <v>414.41830200000049</v>
      </c>
      <c r="AK272" s="1448">
        <f t="shared" si="245"/>
        <v>0.76744130000000088</v>
      </c>
      <c r="AL272" s="1431">
        <f t="shared" si="227"/>
        <v>107.06109372457581</v>
      </c>
    </row>
    <row r="273" spans="1:38" s="1502" customFormat="1" ht="25.5" hidden="1" customHeight="1">
      <c r="A273" s="1499"/>
      <c r="B273" s="1513" t="s">
        <v>2738</v>
      </c>
      <c r="C273" s="1367">
        <f>D273+E273</f>
        <v>27</v>
      </c>
      <c r="D273" s="1455"/>
      <c r="E273" s="1455">
        <v>27</v>
      </c>
      <c r="F273" s="1455">
        <v>26</v>
      </c>
      <c r="G273" s="1614">
        <f t="shared" si="264"/>
        <v>285.73281324999999</v>
      </c>
      <c r="H273" s="1617">
        <f>107.028*1.39</f>
        <v>148.76892000000001</v>
      </c>
      <c r="I273" s="1614">
        <f t="shared" si="265"/>
        <v>101.28693699999998</v>
      </c>
      <c r="J273" s="1617"/>
      <c r="K273" s="1617">
        <f>6.25*1.39</f>
        <v>8.6875</v>
      </c>
      <c r="L273" s="1617">
        <f>0.797*1.39</f>
        <v>1.1078299999999999</v>
      </c>
      <c r="M273" s="1617"/>
      <c r="N273" s="1617"/>
      <c r="O273" s="1617"/>
      <c r="P273" s="1630">
        <f>28.5188*1.39</f>
        <v>39.641131999999999</v>
      </c>
      <c r="Q273" s="1617">
        <f>34.2225*1.39</f>
        <v>47.56927499999999</v>
      </c>
      <c r="R273" s="1617"/>
      <c r="S273" s="1617">
        <f>3.08*1.39</f>
        <v>4.2812000000000001</v>
      </c>
      <c r="T273" s="1621">
        <f>(H273+K273+L273+R273)*22.5%</f>
        <v>35.676956250000003</v>
      </c>
      <c r="U273" s="1614">
        <f t="shared" si="266"/>
        <v>306.28913074999997</v>
      </c>
      <c r="V273" s="1617">
        <f>107.028*1.49</f>
        <v>159.47172</v>
      </c>
      <c r="W273" s="1614">
        <f t="shared" si="267"/>
        <v>108.573767</v>
      </c>
      <c r="X273" s="1617"/>
      <c r="Y273" s="1617">
        <f>6.25*1.49</f>
        <v>9.3125</v>
      </c>
      <c r="Z273" s="1617">
        <f>0.797*1.49</f>
        <v>1.18753</v>
      </c>
      <c r="AA273" s="1617"/>
      <c r="AB273" s="1617"/>
      <c r="AC273" s="1617"/>
      <c r="AD273" s="1630">
        <f>28.5188*1.49</f>
        <v>42.493012</v>
      </c>
      <c r="AE273" s="1617">
        <f>34.2225*1.49</f>
        <v>50.991524999999996</v>
      </c>
      <c r="AF273" s="1617"/>
      <c r="AG273" s="1617">
        <f>3.08*1.49</f>
        <v>4.5891999999999999</v>
      </c>
      <c r="AH273" s="1621">
        <f>(V273+Y273+Z273)*22.5%</f>
        <v>38.243643750000004</v>
      </c>
      <c r="AI273" s="1621">
        <f t="shared" si="268"/>
        <v>20.556317499999977</v>
      </c>
      <c r="AJ273" s="1621">
        <f t="shared" si="269"/>
        <v>246.67580999999973</v>
      </c>
      <c r="AK273" s="1448">
        <f t="shared" si="245"/>
        <v>0.79062759615384526</v>
      </c>
      <c r="AL273" s="1431">
        <f t="shared" si="227"/>
        <v>107.19424460431655</v>
      </c>
    </row>
    <row r="274" spans="1:38" s="1502" customFormat="1" ht="25.5" hidden="1" customHeight="1">
      <c r="A274" s="1499"/>
      <c r="B274" s="1513" t="s">
        <v>2739</v>
      </c>
      <c r="C274" s="1367">
        <f t="shared" ref="C274:C280" si="270">D274+E274</f>
        <v>24</v>
      </c>
      <c r="D274" s="1455"/>
      <c r="E274" s="1455">
        <v>24</v>
      </c>
      <c r="F274" s="1455">
        <v>23</v>
      </c>
      <c r="G274" s="1614">
        <f t="shared" si="264"/>
        <v>253.13283049999998</v>
      </c>
      <c r="H274" s="1617">
        <f>95.31*1.39</f>
        <v>132.48089999999999</v>
      </c>
      <c r="I274" s="1614">
        <f t="shared" si="265"/>
        <v>88.64572099999998</v>
      </c>
      <c r="J274" s="1617"/>
      <c r="K274" s="1617">
        <f>6.35*1.39</f>
        <v>8.8264999999999993</v>
      </c>
      <c r="L274" s="1617">
        <f>0.678*1.39</f>
        <v>0.94242000000000004</v>
      </c>
      <c r="M274" s="1617"/>
      <c r="N274" s="1617"/>
      <c r="O274" s="1617"/>
      <c r="P274" s="1617">
        <f>25.5845*1.39</f>
        <v>35.562454999999993</v>
      </c>
      <c r="Q274" s="1617">
        <f>30.7014*1.39</f>
        <v>42.674945999999998</v>
      </c>
      <c r="R274" s="1617"/>
      <c r="S274" s="1617">
        <f>0.46*1.39</f>
        <v>0.63939999999999997</v>
      </c>
      <c r="T274" s="1621">
        <f>(H274+K274+L274+R274)*22.5%</f>
        <v>32.006209500000004</v>
      </c>
      <c r="U274" s="1614">
        <f t="shared" si="266"/>
        <v>271.34382549999998</v>
      </c>
      <c r="V274" s="1617">
        <f>95.31*1.49</f>
        <v>142.0119</v>
      </c>
      <c r="W274" s="1614">
        <f t="shared" si="267"/>
        <v>95.023111</v>
      </c>
      <c r="X274" s="1617"/>
      <c r="Y274" s="1617">
        <f>6.35*1.49</f>
        <v>9.4614999999999991</v>
      </c>
      <c r="Z274" s="1617">
        <f>0.678*1.49</f>
        <v>1.0102200000000001</v>
      </c>
      <c r="AA274" s="1617"/>
      <c r="AB274" s="1617"/>
      <c r="AC274" s="1617"/>
      <c r="AD274" s="1617">
        <f>25.5845*1.49</f>
        <v>38.120905</v>
      </c>
      <c r="AE274" s="1617">
        <f>30.7014*1.49</f>
        <v>45.745086000000001</v>
      </c>
      <c r="AF274" s="1617"/>
      <c r="AG274" s="1617">
        <f>0.46*1.49</f>
        <v>0.68540000000000001</v>
      </c>
      <c r="AH274" s="1621">
        <f>(V274+Y274+Z274+AF274)*22.5%</f>
        <v>34.308814500000004</v>
      </c>
      <c r="AI274" s="1621">
        <f t="shared" si="268"/>
        <v>18.210994999999997</v>
      </c>
      <c r="AJ274" s="1621">
        <f t="shared" si="269"/>
        <v>218.53193999999996</v>
      </c>
      <c r="AK274" s="1448">
        <f t="shared" si="245"/>
        <v>0.79178239130434769</v>
      </c>
      <c r="AL274" s="1431">
        <f t="shared" si="227"/>
        <v>107.19424460431655</v>
      </c>
    </row>
    <row r="275" spans="1:38" s="1502" customFormat="1" ht="25.5" hidden="1" customHeight="1">
      <c r="A275" s="1499"/>
      <c r="B275" s="1513" t="s">
        <v>2740</v>
      </c>
      <c r="C275" s="1367">
        <f t="shared" si="270"/>
        <v>21</v>
      </c>
      <c r="D275" s="1455"/>
      <c r="E275" s="1455">
        <v>21</v>
      </c>
      <c r="F275" s="1455">
        <v>19</v>
      </c>
      <c r="G275" s="1614">
        <f t="shared" si="264"/>
        <v>224.79469199999997</v>
      </c>
      <c r="H275" s="1630">
        <f>79.08*1.39</f>
        <v>109.92119999999998</v>
      </c>
      <c r="I275" s="1614">
        <f t="shared" si="265"/>
        <v>85.866554999999991</v>
      </c>
      <c r="J275" s="1617"/>
      <c r="K275" s="1617">
        <f>7.15*1.39</f>
        <v>9.9384999999999994</v>
      </c>
      <c r="L275" s="1617"/>
      <c r="M275" s="1617">
        <f>25.869*1.39</f>
        <v>35.957909999999998</v>
      </c>
      <c r="N275" s="1617"/>
      <c r="O275" s="1617"/>
      <c r="P275" s="1617">
        <f>21.5575*1.39</f>
        <v>29.964925000000001</v>
      </c>
      <c r="Q275" s="1617"/>
      <c r="R275" s="1617">
        <f>6.518*1.39</f>
        <v>9.0600199999999997</v>
      </c>
      <c r="S275" s="1617">
        <f>(0.68)*1.39</f>
        <v>0.94520000000000004</v>
      </c>
      <c r="T275" s="1621">
        <f>(H275+K275+L275+R275)*22.5%</f>
        <v>29.006936999999997</v>
      </c>
      <c r="U275" s="1614">
        <f t="shared" si="266"/>
        <v>240.96697199999997</v>
      </c>
      <c r="V275" s="1630">
        <f>79.08*1.49</f>
        <v>117.8292</v>
      </c>
      <c r="W275" s="1614">
        <f t="shared" si="267"/>
        <v>92.044004999999999</v>
      </c>
      <c r="X275" s="1617"/>
      <c r="Y275" s="1617">
        <f>7.15*1.49</f>
        <v>10.653500000000001</v>
      </c>
      <c r="Z275" s="1617"/>
      <c r="AA275" s="1617">
        <f>25.869*1.49</f>
        <v>38.544809999999998</v>
      </c>
      <c r="AB275" s="1617"/>
      <c r="AC275" s="1617"/>
      <c r="AD275" s="1617">
        <f>21.5575*1.49</f>
        <v>32.120674999999999</v>
      </c>
      <c r="AE275" s="1617"/>
      <c r="AF275" s="1617">
        <f>6.518*1.49</f>
        <v>9.7118199999999995</v>
      </c>
      <c r="AG275" s="1617">
        <f>(0.68)*1.49</f>
        <v>1.0132000000000001</v>
      </c>
      <c r="AH275" s="1621">
        <f>(V275+Y275+Z275+AF275)*22.5%</f>
        <v>31.093766999999996</v>
      </c>
      <c r="AI275" s="1621">
        <f t="shared" si="268"/>
        <v>16.172280000000001</v>
      </c>
      <c r="AJ275" s="1621">
        <f t="shared" si="269"/>
        <v>194.06736000000001</v>
      </c>
      <c r="AK275" s="1448">
        <f t="shared" si="245"/>
        <v>0.8511726315789474</v>
      </c>
      <c r="AL275" s="1431">
        <f t="shared" si="227"/>
        <v>107.19424460431655</v>
      </c>
    </row>
    <row r="276" spans="1:38" s="1502" customFormat="1" ht="25.5" hidden="1" customHeight="1">
      <c r="A276" s="1499"/>
      <c r="B276" s="1513" t="s">
        <v>2741</v>
      </c>
      <c r="C276" s="1367">
        <f t="shared" si="270"/>
        <v>29</v>
      </c>
      <c r="D276" s="1455"/>
      <c r="E276" s="1455">
        <v>29</v>
      </c>
      <c r="F276" s="1455">
        <v>26</v>
      </c>
      <c r="G276" s="1614">
        <f t="shared" si="264"/>
        <v>272.33376577500002</v>
      </c>
      <c r="H276" s="1657">
        <f>(101.31)*1.39</f>
        <v>140.82089999999999</v>
      </c>
      <c r="I276" s="1614">
        <f t="shared" si="265"/>
        <v>97.218545999999989</v>
      </c>
      <c r="J276" s="1617"/>
      <c r="K276" s="1657">
        <f xml:space="preserve"> 6.7*1.39</f>
        <v>9.3129999999999988</v>
      </c>
      <c r="L276" s="1657">
        <f>( 0.996)*1.39</f>
        <v>1.3844399999999999</v>
      </c>
      <c r="M276" s="1617"/>
      <c r="N276" s="1617"/>
      <c r="O276" s="1617"/>
      <c r="P276" s="1658">
        <f>27.2515*1.39</f>
        <v>37.879584999999999</v>
      </c>
      <c r="Q276" s="1658">
        <f>(31.1298)*1.39</f>
        <v>43.270421999999996</v>
      </c>
      <c r="R276" s="1657">
        <f>(0.6481)*1.39</f>
        <v>0.90085899999999997</v>
      </c>
      <c r="S276" s="1617">
        <f>(1.02+1.572+0.524+0.1)*1.39</f>
        <v>4.4702399999999995</v>
      </c>
      <c r="T276" s="1621">
        <f>(H276+K276+L276+R276)*22.5%</f>
        <v>34.294319774999998</v>
      </c>
      <c r="U276" s="1614">
        <f t="shared" si="266"/>
        <v>291.92612302499998</v>
      </c>
      <c r="V276" s="1657">
        <f>(101.31)*1.49</f>
        <v>150.95189999999999</v>
      </c>
      <c r="W276" s="1614">
        <f t="shared" si="267"/>
        <v>104.21268599999999</v>
      </c>
      <c r="X276" s="1617"/>
      <c r="Y276" s="1657">
        <f xml:space="preserve"> 6.7*1.49</f>
        <v>9.9830000000000005</v>
      </c>
      <c r="Z276" s="1657">
        <f>( 0.996)*1.49</f>
        <v>1.48404</v>
      </c>
      <c r="AA276" s="1617"/>
      <c r="AB276" s="1617"/>
      <c r="AC276" s="1617"/>
      <c r="AD276" s="1658">
        <f>27.2515*1.49</f>
        <v>40.604734999999998</v>
      </c>
      <c r="AE276" s="1658">
        <f>(31.1298)*1.49</f>
        <v>46.383401999999997</v>
      </c>
      <c r="AF276" s="1657">
        <f>(0.6481)*1.49</f>
        <v>0.965669</v>
      </c>
      <c r="AG276" s="1617">
        <f>(1.02+1.572+0.524+0.1)*1.49</f>
        <v>4.7918400000000005</v>
      </c>
      <c r="AH276" s="1621">
        <f>(V276+Y276+Z276+AF276)*22.5%</f>
        <v>36.761537024999996</v>
      </c>
      <c r="AI276" s="1621">
        <f t="shared" si="268"/>
        <v>19.592357249999964</v>
      </c>
      <c r="AJ276" s="1621">
        <f t="shared" si="269"/>
        <v>235.10828699999956</v>
      </c>
      <c r="AK276" s="1448">
        <f t="shared" si="245"/>
        <v>0.75355220192307548</v>
      </c>
      <c r="AL276" s="1431">
        <f t="shared" si="227"/>
        <v>107.19424460431652</v>
      </c>
    </row>
    <row r="277" spans="1:38" s="1502" customFormat="1" ht="25.5" hidden="1" customHeight="1">
      <c r="A277" s="1499"/>
      <c r="B277" s="1513" t="s">
        <v>2742</v>
      </c>
      <c r="C277" s="1367">
        <f t="shared" si="270"/>
        <v>31</v>
      </c>
      <c r="D277" s="1455"/>
      <c r="E277" s="1455">
        <v>31</v>
      </c>
      <c r="F277" s="1455">
        <v>31</v>
      </c>
      <c r="G277" s="1614">
        <f t="shared" si="264"/>
        <v>212.35975200000001</v>
      </c>
      <c r="H277" s="1617">
        <f>117.68*1.39</f>
        <v>163.5752</v>
      </c>
      <c r="I277" s="1614">
        <f t="shared" si="265"/>
        <v>8.6457999999999995</v>
      </c>
      <c r="J277" s="1617"/>
      <c r="K277" s="1617">
        <f>5.2*1.39</f>
        <v>7.2279999999999998</v>
      </c>
      <c r="L277" s="1617"/>
      <c r="M277" s="1617"/>
      <c r="N277" s="1617"/>
      <c r="O277" s="1617"/>
      <c r="P277" s="1617"/>
      <c r="Q277" s="1617"/>
      <c r="R277" s="1617"/>
      <c r="S277" s="1617">
        <f>1.02*1.39</f>
        <v>1.4177999999999999</v>
      </c>
      <c r="T277" s="1621">
        <f>(H277+K277+L277+R277)*23.5%</f>
        <v>40.138751999999997</v>
      </c>
      <c r="U277" s="1614">
        <f t="shared" si="266"/>
        <v>227.63743199999999</v>
      </c>
      <c r="V277" s="1617">
        <f>117.68*1.49</f>
        <v>175.3432</v>
      </c>
      <c r="W277" s="1614">
        <f t="shared" si="267"/>
        <v>9.2678000000000011</v>
      </c>
      <c r="X277" s="1617"/>
      <c r="Y277" s="1617">
        <f>5.2*1.49</f>
        <v>7.7480000000000002</v>
      </c>
      <c r="Z277" s="1617"/>
      <c r="AA277" s="1617"/>
      <c r="AB277" s="1617"/>
      <c r="AC277" s="1617"/>
      <c r="AD277" s="1617"/>
      <c r="AE277" s="1617"/>
      <c r="AF277" s="1617"/>
      <c r="AG277" s="1617">
        <f>1.02*1.49</f>
        <v>1.5198</v>
      </c>
      <c r="AH277" s="1621">
        <f>(V277+Y277+Z277+AF277)*23.5%</f>
        <v>43.026431999999993</v>
      </c>
      <c r="AI277" s="1621">
        <f t="shared" si="268"/>
        <v>15.277679999999975</v>
      </c>
      <c r="AJ277" s="1621">
        <f t="shared" si="269"/>
        <v>183.3321599999997</v>
      </c>
      <c r="AK277" s="1448">
        <f t="shared" si="245"/>
        <v>0.4928283870967734</v>
      </c>
      <c r="AL277" s="1431">
        <f t="shared" si="227"/>
        <v>107.19424460431652</v>
      </c>
    </row>
    <row r="278" spans="1:38" s="1502" customFormat="1" ht="25.5" hidden="1" customHeight="1">
      <c r="A278" s="1499"/>
      <c r="B278" s="1513" t="s">
        <v>2743</v>
      </c>
      <c r="C278" s="1367">
        <f t="shared" si="270"/>
        <v>0</v>
      </c>
      <c r="D278" s="1455"/>
      <c r="E278" s="1455"/>
      <c r="F278" s="1455"/>
      <c r="G278" s="1614">
        <f t="shared" si="264"/>
        <v>0</v>
      </c>
      <c r="H278" s="1617"/>
      <c r="I278" s="1614">
        <f t="shared" si="265"/>
        <v>0</v>
      </c>
      <c r="J278" s="1617"/>
      <c r="K278" s="1617"/>
      <c r="L278" s="1617"/>
      <c r="M278" s="1617"/>
      <c r="N278" s="1617"/>
      <c r="O278" s="1617"/>
      <c r="P278" s="1617"/>
      <c r="Q278" s="1617"/>
      <c r="R278" s="1617"/>
      <c r="S278" s="1617"/>
      <c r="T278" s="1621">
        <f>(H278+K278+L278+R278)*22.5%</f>
        <v>0</v>
      </c>
      <c r="U278" s="1614">
        <f t="shared" si="266"/>
        <v>0</v>
      </c>
      <c r="V278" s="1617"/>
      <c r="W278" s="1614">
        <f t="shared" si="267"/>
        <v>0</v>
      </c>
      <c r="X278" s="1617"/>
      <c r="Y278" s="1617"/>
      <c r="Z278" s="1617"/>
      <c r="AA278" s="1617"/>
      <c r="AB278" s="1617"/>
      <c r="AC278" s="1617"/>
      <c r="AD278" s="1617"/>
      <c r="AE278" s="1617"/>
      <c r="AF278" s="1617"/>
      <c r="AG278" s="1617"/>
      <c r="AH278" s="1621">
        <f>(V278+Y278+Z278)*22.5%</f>
        <v>0</v>
      </c>
      <c r="AI278" s="1621">
        <f t="shared" si="268"/>
        <v>0</v>
      </c>
      <c r="AJ278" s="1621">
        <f t="shared" si="269"/>
        <v>0</v>
      </c>
      <c r="AK278" s="1448" t="e">
        <f t="shared" si="245"/>
        <v>#DIV/0!</v>
      </c>
      <c r="AL278" s="1431" t="e">
        <f t="shared" si="227"/>
        <v>#DIV/0!</v>
      </c>
    </row>
    <row r="279" spans="1:38" s="1502" customFormat="1" ht="25.5" hidden="1" customHeight="1">
      <c r="A279" s="1499"/>
      <c r="B279" s="1513" t="s">
        <v>2744</v>
      </c>
      <c r="C279" s="1367">
        <f t="shared" si="270"/>
        <v>16</v>
      </c>
      <c r="D279" s="1455"/>
      <c r="E279" s="1455">
        <v>16</v>
      </c>
      <c r="F279" s="1455">
        <v>15</v>
      </c>
      <c r="G279" s="1614">
        <f t="shared" si="264"/>
        <v>172.73217249999999</v>
      </c>
      <c r="H279" s="1617">
        <f>65.56*1.39</f>
        <v>91.128399999999999</v>
      </c>
      <c r="I279" s="1614">
        <f t="shared" si="265"/>
        <v>59.708145000000002</v>
      </c>
      <c r="J279" s="1617"/>
      <c r="K279" s="1617">
        <f>4.45*1.39</f>
        <v>6.1855000000000002</v>
      </c>
      <c r="L279" s="1617"/>
      <c r="M279" s="1617"/>
      <c r="N279" s="1617"/>
      <c r="O279" s="1617"/>
      <c r="P279" s="1630">
        <f>17.5025*1.39</f>
        <v>24.328475000000001</v>
      </c>
      <c r="Q279" s="1617">
        <f>21.003*1.39</f>
        <v>29.19417</v>
      </c>
      <c r="R279" s="1617"/>
      <c r="S279" s="1617"/>
      <c r="T279" s="1621">
        <f>(H279+K279+L279+R279)*22.5%</f>
        <v>21.8956275</v>
      </c>
      <c r="U279" s="1614">
        <f t="shared" si="266"/>
        <v>185.15894750000001</v>
      </c>
      <c r="V279" s="1617">
        <f>65.56*1.49</f>
        <v>97.684399999999997</v>
      </c>
      <c r="W279" s="1614">
        <f t="shared" si="267"/>
        <v>64.003695000000008</v>
      </c>
      <c r="X279" s="1617"/>
      <c r="Y279" s="1617">
        <f>4.45*1.49</f>
        <v>6.6305000000000005</v>
      </c>
      <c r="Z279" s="1617"/>
      <c r="AA279" s="1617"/>
      <c r="AB279" s="1617"/>
      <c r="AC279" s="1617"/>
      <c r="AD279" s="1630">
        <f>17.5025*1.49</f>
        <v>26.078725000000002</v>
      </c>
      <c r="AE279" s="1617">
        <f>21.003*1.49</f>
        <v>31.29447</v>
      </c>
      <c r="AF279" s="1617"/>
      <c r="AG279" s="1617"/>
      <c r="AH279" s="1621">
        <f>(V279+Y279+Z279+AF279)*22.5%</f>
        <v>23.470852499999999</v>
      </c>
      <c r="AI279" s="1621">
        <f t="shared" si="268"/>
        <v>12.426775000000021</v>
      </c>
      <c r="AJ279" s="1621">
        <f t="shared" si="269"/>
        <v>149.12130000000025</v>
      </c>
      <c r="AK279" s="1448">
        <f t="shared" si="245"/>
        <v>0.82845166666666803</v>
      </c>
      <c r="AL279" s="1431">
        <f t="shared" si="227"/>
        <v>107.19424460431657</v>
      </c>
    </row>
    <row r="280" spans="1:38" s="1502" customFormat="1" ht="25.5" hidden="1" customHeight="1">
      <c r="A280" s="1499"/>
      <c r="B280" s="1513" t="s">
        <v>2745</v>
      </c>
      <c r="C280" s="1367">
        <f t="shared" si="270"/>
        <v>15</v>
      </c>
      <c r="D280" s="1455"/>
      <c r="E280" s="1455">
        <v>15</v>
      </c>
      <c r="F280" s="1455">
        <v>13</v>
      </c>
      <c r="G280" s="1614">
        <f t="shared" si="264"/>
        <v>152.17998</v>
      </c>
      <c r="H280" s="1657">
        <f>57.88*1.39</f>
        <v>80.453199999999995</v>
      </c>
      <c r="I280" s="1614">
        <f t="shared" si="265"/>
        <v>52.436359999999993</v>
      </c>
      <c r="J280" s="1617"/>
      <c r="K280" s="1657">
        <f>(3+0.8)*1.39</f>
        <v>5.2819999999999991</v>
      </c>
      <c r="L280" s="1617"/>
      <c r="M280" s="1617"/>
      <c r="N280" s="1617"/>
      <c r="O280" s="1617"/>
      <c r="P280" s="1617">
        <f>15.42*1.39</f>
        <v>21.433799999999998</v>
      </c>
      <c r="Q280" s="1617">
        <f>18.504*1.39</f>
        <v>25.720559999999999</v>
      </c>
      <c r="R280" s="1617"/>
      <c r="S280" s="1617"/>
      <c r="T280" s="1621">
        <f>(H280+K280+L280+R280)*22.5%</f>
        <v>19.290419999999997</v>
      </c>
      <c r="U280" s="1614">
        <f t="shared" si="266"/>
        <v>163.12818000000001</v>
      </c>
      <c r="V280" s="1657">
        <f>57.88*1.49</f>
        <v>86.241200000000006</v>
      </c>
      <c r="W280" s="1614">
        <f t="shared" si="267"/>
        <v>56.208759999999998</v>
      </c>
      <c r="X280" s="1617"/>
      <c r="Y280" s="1657">
        <f>(3+0.8)*1.49</f>
        <v>5.6619999999999999</v>
      </c>
      <c r="Z280" s="1617"/>
      <c r="AA280" s="1617"/>
      <c r="AB280" s="1617"/>
      <c r="AC280" s="1617"/>
      <c r="AD280" s="1617">
        <f>15.42*1.49</f>
        <v>22.9758</v>
      </c>
      <c r="AE280" s="1617">
        <f>18.504*1.49</f>
        <v>27.570960000000003</v>
      </c>
      <c r="AF280" s="1617"/>
      <c r="AG280" s="1617"/>
      <c r="AH280" s="1621">
        <f>(V280+Y280+Z280+AF280)*22.5%</f>
        <v>20.678220000000003</v>
      </c>
      <c r="AI280" s="1621">
        <f t="shared" si="268"/>
        <v>10.948200000000014</v>
      </c>
      <c r="AJ280" s="1621">
        <f t="shared" si="269"/>
        <v>131.37840000000017</v>
      </c>
      <c r="AK280" s="1448">
        <f t="shared" si="245"/>
        <v>0.84216923076923189</v>
      </c>
      <c r="AL280" s="1431">
        <f t="shared" si="227"/>
        <v>107.19424460431655</v>
      </c>
    </row>
    <row r="281" spans="1:38" s="1431" customFormat="1" ht="25.5" hidden="1" customHeight="1">
      <c r="A281" s="1375">
        <v>52</v>
      </c>
      <c r="B281" s="1373" t="s">
        <v>2746</v>
      </c>
      <c r="C281" s="1367">
        <f>D281+E281</f>
        <v>0</v>
      </c>
      <c r="D281" s="1455"/>
      <c r="E281" s="1455"/>
      <c r="F281" s="1455"/>
      <c r="G281" s="1614">
        <f t="shared" si="264"/>
        <v>0</v>
      </c>
      <c r="H281" s="1617"/>
      <c r="I281" s="1614">
        <f t="shared" si="265"/>
        <v>0</v>
      </c>
      <c r="J281" s="1617"/>
      <c r="K281" s="1617"/>
      <c r="L281" s="1617"/>
      <c r="M281" s="1617"/>
      <c r="N281" s="1617"/>
      <c r="O281" s="1617"/>
      <c r="P281" s="1617"/>
      <c r="Q281" s="1617"/>
      <c r="R281" s="1617"/>
      <c r="S281" s="1617"/>
      <c r="T281" s="1621">
        <f>(H281+K281+L281)*22.5%</f>
        <v>0</v>
      </c>
      <c r="U281" s="1614">
        <f t="shared" si="266"/>
        <v>0</v>
      </c>
      <c r="V281" s="1617"/>
      <c r="W281" s="1614">
        <f t="shared" si="267"/>
        <v>0</v>
      </c>
      <c r="X281" s="1617"/>
      <c r="Y281" s="1617"/>
      <c r="Z281" s="1617"/>
      <c r="AA281" s="1617"/>
      <c r="AB281" s="1617"/>
      <c r="AC281" s="1617"/>
      <c r="AD281" s="1617"/>
      <c r="AE281" s="1617"/>
      <c r="AF281" s="1617"/>
      <c r="AG281" s="1617"/>
      <c r="AH281" s="1621">
        <f>(V281+Y281+Z281)*22.5%</f>
        <v>0</v>
      </c>
      <c r="AI281" s="1621">
        <f t="shared" si="268"/>
        <v>0</v>
      </c>
      <c r="AJ281" s="1621">
        <f t="shared" si="269"/>
        <v>0</v>
      </c>
      <c r="AK281" s="1448" t="e">
        <f t="shared" si="245"/>
        <v>#DIV/0!</v>
      </c>
      <c r="AL281" s="1431" t="e">
        <f t="shared" si="227"/>
        <v>#DIV/0!</v>
      </c>
    </row>
    <row r="282" spans="1:38" s="1502" customFormat="1" ht="27.75" customHeight="1">
      <c r="A282" s="1499"/>
      <c r="B282" s="1500" t="s">
        <v>2540</v>
      </c>
      <c r="C282" s="1515">
        <f>C283+SUM(C286:C289)</f>
        <v>91</v>
      </c>
      <c r="D282" s="1515">
        <f>D283+SUM(D286:D289)</f>
        <v>0</v>
      </c>
      <c r="E282" s="1515">
        <f>E283+SUM(E286:E289)</f>
        <v>91</v>
      </c>
      <c r="F282" s="1515">
        <f t="shared" ref="F282:S282" si="271">F283+SUM(F286:F289)</f>
        <v>76</v>
      </c>
      <c r="G282" s="1678">
        <f t="shared" si="271"/>
        <v>755.25524900000005</v>
      </c>
      <c r="H282" s="1678">
        <f t="shared" si="271"/>
        <v>405.79381999999993</v>
      </c>
      <c r="I282" s="1678">
        <f t="shared" si="271"/>
        <v>250.04445899999999</v>
      </c>
      <c r="J282" s="1678">
        <f t="shared" si="271"/>
        <v>0</v>
      </c>
      <c r="K282" s="1678">
        <f t="shared" si="271"/>
        <v>33.846499999999999</v>
      </c>
      <c r="L282" s="1678">
        <f t="shared" si="271"/>
        <v>0</v>
      </c>
      <c r="M282" s="1678">
        <f t="shared" si="271"/>
        <v>0</v>
      </c>
      <c r="N282" s="1678">
        <f t="shared" si="271"/>
        <v>0</v>
      </c>
      <c r="O282" s="1678">
        <f t="shared" si="271"/>
        <v>0</v>
      </c>
      <c r="P282" s="1678">
        <f t="shared" si="271"/>
        <v>97.340310000000002</v>
      </c>
      <c r="Q282" s="1678">
        <f t="shared" si="271"/>
        <v>116.808789</v>
      </c>
      <c r="R282" s="1678">
        <f t="shared" si="271"/>
        <v>0</v>
      </c>
      <c r="S282" s="1678">
        <f t="shared" si="271"/>
        <v>2.0488599999999999</v>
      </c>
      <c r="T282" s="1693">
        <f>(H282+K282+L282)*22.5%</f>
        <v>98.919071999999986</v>
      </c>
      <c r="U282" s="1678">
        <f t="shared" ref="U282:AJ282" si="272">U283+SUM(U286:U289)</f>
        <v>809.59015900000009</v>
      </c>
      <c r="V282" s="1678">
        <f t="shared" si="272"/>
        <v>434.98761999999999</v>
      </c>
      <c r="W282" s="1678">
        <f t="shared" si="272"/>
        <v>268.03326900000002</v>
      </c>
      <c r="X282" s="1678">
        <f t="shared" si="272"/>
        <v>0</v>
      </c>
      <c r="Y282" s="1678">
        <f t="shared" si="272"/>
        <v>36.281500000000001</v>
      </c>
      <c r="Z282" s="1678">
        <f t="shared" si="272"/>
        <v>0</v>
      </c>
      <c r="AA282" s="1678">
        <f t="shared" si="272"/>
        <v>0</v>
      </c>
      <c r="AB282" s="1678">
        <f t="shared" si="272"/>
        <v>0</v>
      </c>
      <c r="AC282" s="1678">
        <f t="shared" si="272"/>
        <v>0</v>
      </c>
      <c r="AD282" s="1678">
        <f t="shared" si="272"/>
        <v>104.34321</v>
      </c>
      <c r="AE282" s="1678">
        <f t="shared" si="272"/>
        <v>125.212299</v>
      </c>
      <c r="AF282" s="1678">
        <f t="shared" si="272"/>
        <v>0</v>
      </c>
      <c r="AG282" s="1678">
        <f t="shared" si="272"/>
        <v>2.1962600000000001</v>
      </c>
      <c r="AH282" s="1678">
        <f t="shared" si="272"/>
        <v>106.56926999999999</v>
      </c>
      <c r="AI282" s="1678">
        <f t="shared" si="272"/>
        <v>54.334910000000072</v>
      </c>
      <c r="AJ282" s="1678">
        <f t="shared" si="272"/>
        <v>652.01892000000078</v>
      </c>
      <c r="AK282" s="1448">
        <f t="shared" si="245"/>
        <v>0.71493302631579037</v>
      </c>
      <c r="AL282" s="1431">
        <f t="shared" si="227"/>
        <v>107.19424460431655</v>
      </c>
    </row>
    <row r="283" spans="1:38" s="1431" customFormat="1" ht="30.75" hidden="1" customHeight="1">
      <c r="A283" s="1375">
        <v>53</v>
      </c>
      <c r="B283" s="1453" t="s">
        <v>2747</v>
      </c>
      <c r="C283" s="1455">
        <f>SUM(C284:C285)</f>
        <v>32</v>
      </c>
      <c r="D283" s="1455">
        <f t="shared" ref="D283:AJ283" si="273">SUM(D284:D285)</f>
        <v>0</v>
      </c>
      <c r="E283" s="1455">
        <f t="shared" si="273"/>
        <v>32</v>
      </c>
      <c r="F283" s="1455">
        <f t="shared" si="273"/>
        <v>22</v>
      </c>
      <c r="G283" s="1365">
        <f t="shared" si="273"/>
        <v>153.99587600000001</v>
      </c>
      <c r="H283" s="1365">
        <f t="shared" si="273"/>
        <v>94.711819999999989</v>
      </c>
      <c r="I283" s="1365">
        <f t="shared" si="273"/>
        <v>35.927886000000001</v>
      </c>
      <c r="J283" s="1365">
        <f t="shared" si="273"/>
        <v>0</v>
      </c>
      <c r="K283" s="1365">
        <f t="shared" si="273"/>
        <v>6.8804999999999996</v>
      </c>
      <c r="L283" s="1365">
        <f t="shared" si="273"/>
        <v>0</v>
      </c>
      <c r="M283" s="1365">
        <f t="shared" si="273"/>
        <v>0</v>
      </c>
      <c r="N283" s="1365">
        <f t="shared" si="273"/>
        <v>0</v>
      </c>
      <c r="O283" s="1365">
        <f t="shared" si="273"/>
        <v>0</v>
      </c>
      <c r="P283" s="1365">
        <f t="shared" si="273"/>
        <v>12.950629999999999</v>
      </c>
      <c r="Q283" s="1365">
        <f t="shared" si="273"/>
        <v>15.540756</v>
      </c>
      <c r="R283" s="1365">
        <f t="shared" si="273"/>
        <v>0</v>
      </c>
      <c r="S283" s="1365">
        <f t="shared" si="273"/>
        <v>0.55599999999999994</v>
      </c>
      <c r="T283" s="1365">
        <f t="shared" si="273"/>
        <v>23.356169999999999</v>
      </c>
      <c r="U283" s="1365">
        <f t="shared" si="273"/>
        <v>165.07471600000002</v>
      </c>
      <c r="V283" s="1365">
        <f t="shared" si="273"/>
        <v>101.52562</v>
      </c>
      <c r="W283" s="1365">
        <f t="shared" si="273"/>
        <v>38.512626000000004</v>
      </c>
      <c r="X283" s="1365">
        <f t="shared" si="273"/>
        <v>0</v>
      </c>
      <c r="Y283" s="1365">
        <f t="shared" si="273"/>
        <v>7.3754999999999997</v>
      </c>
      <c r="Z283" s="1365">
        <f t="shared" si="273"/>
        <v>0</v>
      </c>
      <c r="AA283" s="1365">
        <f t="shared" si="273"/>
        <v>0</v>
      </c>
      <c r="AB283" s="1365">
        <f t="shared" si="273"/>
        <v>0</v>
      </c>
      <c r="AC283" s="1365">
        <f t="shared" si="273"/>
        <v>0</v>
      </c>
      <c r="AD283" s="1365">
        <f t="shared" si="273"/>
        <v>13.88233</v>
      </c>
      <c r="AE283" s="1365">
        <f t="shared" si="273"/>
        <v>16.658796000000002</v>
      </c>
      <c r="AF283" s="1365">
        <f t="shared" si="273"/>
        <v>0</v>
      </c>
      <c r="AG283" s="1365">
        <f t="shared" si="273"/>
        <v>0.59599999999999997</v>
      </c>
      <c r="AH283" s="1365">
        <f t="shared" si="273"/>
        <v>25.036470000000001</v>
      </c>
      <c r="AI283" s="1365">
        <f t="shared" si="273"/>
        <v>11.078840000000007</v>
      </c>
      <c r="AJ283" s="1365">
        <f t="shared" si="273"/>
        <v>132.94608000000008</v>
      </c>
      <c r="AK283" s="1448">
        <f t="shared" si="245"/>
        <v>0.50358363636363668</v>
      </c>
      <c r="AL283" s="1431">
        <f t="shared" si="227"/>
        <v>107.19424460431655</v>
      </c>
    </row>
    <row r="284" spans="1:38" s="1502" customFormat="1" ht="30.75" hidden="1" customHeight="1">
      <c r="A284" s="1499"/>
      <c r="B284" s="1490" t="s">
        <v>2748</v>
      </c>
      <c r="C284" s="1455">
        <f t="shared" ref="C284:C289" si="274">D284+E284</f>
        <v>22</v>
      </c>
      <c r="D284" s="1455"/>
      <c r="E284" s="1455">
        <v>22</v>
      </c>
      <c r="F284" s="1455">
        <v>12</v>
      </c>
      <c r="G284" s="1614">
        <f t="shared" ref="G284:G289" si="275">H284+I284+T284</f>
        <v>92.227473000000003</v>
      </c>
      <c r="H284" s="1617">
        <f>33.618*1.39</f>
        <v>46.729019999999998</v>
      </c>
      <c r="I284" s="1614">
        <f t="shared" ref="I284:I289" si="276">SUM(J284:S284)</f>
        <v>33.842886</v>
      </c>
      <c r="J284" s="1617"/>
      <c r="K284" s="1617">
        <f>3.65*1.39</f>
        <v>5.0734999999999992</v>
      </c>
      <c r="L284" s="1617"/>
      <c r="M284" s="1617"/>
      <c r="N284" s="1617"/>
      <c r="O284" s="1617"/>
      <c r="P284" s="1617">
        <f>9.317*1.39</f>
        <v>12.950629999999999</v>
      </c>
      <c r="Q284" s="1617">
        <f>11.1804*1.39</f>
        <v>15.540756</v>
      </c>
      <c r="R284" s="1617"/>
      <c r="S284" s="1617">
        <f>0.2*1.39</f>
        <v>0.27799999999999997</v>
      </c>
      <c r="T284" s="1621">
        <f>(H284+K284+L284)*22.5%</f>
        <v>11.655567000000001</v>
      </c>
      <c r="U284" s="1614">
        <f t="shared" ref="U284:U289" si="277">V284+W284+AH284</f>
        <v>98.862543000000002</v>
      </c>
      <c r="V284" s="1617">
        <f>33.618*1.49</f>
        <v>50.090820000000001</v>
      </c>
      <c r="W284" s="1614">
        <f t="shared" ref="W284:W289" si="278">SUM(X284:AG284)</f>
        <v>36.277626000000005</v>
      </c>
      <c r="X284" s="1617"/>
      <c r="Y284" s="1617">
        <f>3.65*1.49</f>
        <v>5.4384999999999994</v>
      </c>
      <c r="Z284" s="1617"/>
      <c r="AA284" s="1617"/>
      <c r="AB284" s="1617"/>
      <c r="AC284" s="1617"/>
      <c r="AD284" s="1617">
        <f>9.317*1.49</f>
        <v>13.88233</v>
      </c>
      <c r="AE284" s="1617">
        <f>11.1804*1.49</f>
        <v>16.658796000000002</v>
      </c>
      <c r="AF284" s="1617"/>
      <c r="AG284" s="1617">
        <f>0.2*1.49</f>
        <v>0.29799999999999999</v>
      </c>
      <c r="AH284" s="1621">
        <f>(V284+Y284+Z284)*22.5%</f>
        <v>12.494097</v>
      </c>
      <c r="AI284" s="1621">
        <f t="shared" ref="AI284:AI289" si="279">U284-G284</f>
        <v>6.6350699999999989</v>
      </c>
      <c r="AJ284" s="1621">
        <f t="shared" ref="AJ284:AJ289" si="280">AI284*12</f>
        <v>79.620839999999987</v>
      </c>
      <c r="AK284" s="1448">
        <f t="shared" si="245"/>
        <v>0.55292249999999987</v>
      </c>
      <c r="AL284" s="1431">
        <f t="shared" si="227"/>
        <v>107.19424460431655</v>
      </c>
    </row>
    <row r="285" spans="1:38" s="1502" customFormat="1" ht="30.75" hidden="1" customHeight="1">
      <c r="A285" s="1499"/>
      <c r="B285" s="1490" t="s">
        <v>2749</v>
      </c>
      <c r="C285" s="1455">
        <f t="shared" si="274"/>
        <v>10</v>
      </c>
      <c r="D285" s="1455"/>
      <c r="E285" s="1455">
        <v>10</v>
      </c>
      <c r="F285" s="1455">
        <v>10</v>
      </c>
      <c r="G285" s="1614">
        <f t="shared" si="275"/>
        <v>61.768402999999999</v>
      </c>
      <c r="H285" s="1617">
        <f>34.52*1.39</f>
        <v>47.982799999999997</v>
      </c>
      <c r="I285" s="1614">
        <f t="shared" si="276"/>
        <v>2.085</v>
      </c>
      <c r="J285" s="1617"/>
      <c r="K285" s="1617">
        <f>1.3*1.39</f>
        <v>1.8069999999999999</v>
      </c>
      <c r="L285" s="1617"/>
      <c r="M285" s="1617"/>
      <c r="N285" s="1617"/>
      <c r="O285" s="1617"/>
      <c r="P285" s="1617"/>
      <c r="Q285" s="1617"/>
      <c r="R285" s="1617"/>
      <c r="S285" s="1617">
        <f>0.2*1.39</f>
        <v>0.27799999999999997</v>
      </c>
      <c r="T285" s="1621">
        <f>(H285+K285+L285)*23.5%</f>
        <v>11.700602999999999</v>
      </c>
      <c r="U285" s="1614">
        <f t="shared" si="277"/>
        <v>66.212173000000007</v>
      </c>
      <c r="V285" s="1617">
        <f>34.52*1.49</f>
        <v>51.434800000000003</v>
      </c>
      <c r="W285" s="1614">
        <f t="shared" si="278"/>
        <v>2.2349999999999999</v>
      </c>
      <c r="X285" s="1617"/>
      <c r="Y285" s="1617">
        <f>1.3*1.49</f>
        <v>1.9370000000000001</v>
      </c>
      <c r="Z285" s="1617"/>
      <c r="AA285" s="1617"/>
      <c r="AB285" s="1617"/>
      <c r="AC285" s="1617"/>
      <c r="AD285" s="1617"/>
      <c r="AE285" s="1617"/>
      <c r="AF285" s="1617"/>
      <c r="AG285" s="1617">
        <f>0.2*1.49</f>
        <v>0.29799999999999999</v>
      </c>
      <c r="AH285" s="1621">
        <f>(V285+Y285+Z285)*23.5%</f>
        <v>12.542373</v>
      </c>
      <c r="AI285" s="1621">
        <f t="shared" si="279"/>
        <v>4.4437700000000078</v>
      </c>
      <c r="AJ285" s="1621">
        <f t="shared" si="280"/>
        <v>53.325240000000093</v>
      </c>
      <c r="AK285" s="1448">
        <f t="shared" si="245"/>
        <v>0.4443770000000008</v>
      </c>
      <c r="AL285" s="1431">
        <f t="shared" si="227"/>
        <v>107.19424460431657</v>
      </c>
    </row>
    <row r="286" spans="1:38" s="1502" customFormat="1" ht="30.75" hidden="1" customHeight="1">
      <c r="A286" s="1499">
        <v>54</v>
      </c>
      <c r="B286" s="764" t="s">
        <v>2750</v>
      </c>
      <c r="C286" s="1455">
        <f t="shared" si="274"/>
        <v>18</v>
      </c>
      <c r="D286" s="1455"/>
      <c r="E286" s="1455">
        <v>18</v>
      </c>
      <c r="F286" s="1455">
        <v>16</v>
      </c>
      <c r="G286" s="1614">
        <f t="shared" si="275"/>
        <v>177.47200299999997</v>
      </c>
      <c r="H286" s="1617">
        <f>66.49*1.39</f>
        <v>92.421099999999981</v>
      </c>
      <c r="I286" s="1614">
        <f t="shared" si="276"/>
        <v>62.520392999999999</v>
      </c>
      <c r="J286" s="1617"/>
      <c r="K286" s="1617">
        <f>5.55*1.39</f>
        <v>7.7144999999999992</v>
      </c>
      <c r="L286" s="1617"/>
      <c r="M286" s="1617"/>
      <c r="N286" s="1617"/>
      <c r="O286" s="1617"/>
      <c r="P286" s="1617">
        <f>17.922*1.39</f>
        <v>24.911580000000001</v>
      </c>
      <c r="Q286" s="1617">
        <f>21.5067*1.39</f>
        <v>29.894312999999997</v>
      </c>
      <c r="R286" s="1617"/>
      <c r="S286" s="1617"/>
      <c r="T286" s="1621">
        <f>(H286+K286+L286)*22.5%</f>
        <v>22.530509999999996</v>
      </c>
      <c r="U286" s="1614">
        <f t="shared" si="277"/>
        <v>190.23977299999999</v>
      </c>
      <c r="V286" s="1617">
        <f>66.49*1.49</f>
        <v>99.070099999999996</v>
      </c>
      <c r="W286" s="1614">
        <f t="shared" si="278"/>
        <v>67.01826299999999</v>
      </c>
      <c r="X286" s="1617"/>
      <c r="Y286" s="1617">
        <f>5.55*1.49</f>
        <v>8.269499999999999</v>
      </c>
      <c r="Z286" s="1617"/>
      <c r="AA286" s="1617"/>
      <c r="AB286" s="1617"/>
      <c r="AC286" s="1617"/>
      <c r="AD286" s="1617">
        <f>17.922*1.49</f>
        <v>26.703780000000002</v>
      </c>
      <c r="AE286" s="1617">
        <f>21.5067*1.49</f>
        <v>32.044982999999995</v>
      </c>
      <c r="AF286" s="1617"/>
      <c r="AG286" s="1617"/>
      <c r="AH286" s="1621">
        <f>(V286+Y286+Z286)*22.5%</f>
        <v>24.151409999999998</v>
      </c>
      <c r="AI286" s="1621">
        <f t="shared" si="279"/>
        <v>12.767770000000013</v>
      </c>
      <c r="AJ286" s="1621">
        <f t="shared" si="280"/>
        <v>153.21324000000016</v>
      </c>
      <c r="AK286" s="1448">
        <f t="shared" si="245"/>
        <v>0.79798562500000081</v>
      </c>
      <c r="AL286" s="1431">
        <f t="shared" si="227"/>
        <v>107.19424460431655</v>
      </c>
    </row>
    <row r="287" spans="1:38" s="1502" customFormat="1" ht="30.75" hidden="1" customHeight="1">
      <c r="A287" s="1499">
        <v>55</v>
      </c>
      <c r="B287" s="764" t="s">
        <v>2751</v>
      </c>
      <c r="C287" s="1455">
        <f t="shared" si="274"/>
        <v>16</v>
      </c>
      <c r="D287" s="1455"/>
      <c r="E287" s="1455">
        <v>16</v>
      </c>
      <c r="F287" s="1455">
        <v>16</v>
      </c>
      <c r="G287" s="1614">
        <f t="shared" si="275"/>
        <v>186.62939249999999</v>
      </c>
      <c r="H287" s="1617">
        <f>69.43*1.39</f>
        <v>96.5077</v>
      </c>
      <c r="I287" s="1614">
        <f t="shared" si="276"/>
        <v>66.499684999999999</v>
      </c>
      <c r="J287" s="1617"/>
      <c r="K287" s="1617">
        <f>6.1*1.39</f>
        <v>8.4789999999999992</v>
      </c>
      <c r="L287" s="1617"/>
      <c r="M287" s="1617"/>
      <c r="N287" s="1617"/>
      <c r="O287" s="1617"/>
      <c r="P287" s="1617">
        <f>(H287+K287+L287)*25%</f>
        <v>26.246675</v>
      </c>
      <c r="Q287" s="1617">
        <f>(H287+K287+L287)*30%</f>
        <v>31.496009999999998</v>
      </c>
      <c r="R287" s="1617"/>
      <c r="S287" s="1617">
        <f>0.2*1.39</f>
        <v>0.27799999999999997</v>
      </c>
      <c r="T287" s="1621">
        <f>(H287+K287+L287)*22.5%</f>
        <v>23.622007499999999</v>
      </c>
      <c r="U287" s="1614">
        <f t="shared" si="277"/>
        <v>200.05596750000004</v>
      </c>
      <c r="V287" s="1617">
        <f>69.43*1.49</f>
        <v>103.45070000000001</v>
      </c>
      <c r="W287" s="1614">
        <f t="shared" si="278"/>
        <v>71.28383500000001</v>
      </c>
      <c r="X287" s="1617"/>
      <c r="Y287" s="1617">
        <f>6.1*1.49</f>
        <v>9.0889999999999986</v>
      </c>
      <c r="Z287" s="1617"/>
      <c r="AA287" s="1617"/>
      <c r="AB287" s="1617"/>
      <c r="AC287" s="1617"/>
      <c r="AD287" s="1617">
        <f>(V287+Y287+Z287)*25%</f>
        <v>28.134925000000003</v>
      </c>
      <c r="AE287" s="1617">
        <f>(V287+Y287+Z287)*30%</f>
        <v>33.76191</v>
      </c>
      <c r="AF287" s="1617"/>
      <c r="AG287" s="1617">
        <f>0.2*1.49</f>
        <v>0.29799999999999999</v>
      </c>
      <c r="AH287" s="1621">
        <f>(V287+Y287+Z287)*22.5%</f>
        <v>25.321432500000004</v>
      </c>
      <c r="AI287" s="1621">
        <f t="shared" si="279"/>
        <v>13.426575000000042</v>
      </c>
      <c r="AJ287" s="1621">
        <f t="shared" si="280"/>
        <v>161.11890000000051</v>
      </c>
      <c r="AK287" s="1448">
        <f t="shared" si="245"/>
        <v>0.83916093750000265</v>
      </c>
      <c r="AL287" s="1431">
        <f t="shared" si="227"/>
        <v>107.19424460431657</v>
      </c>
    </row>
    <row r="288" spans="1:38" s="1502" customFormat="1" ht="30.75" hidden="1" customHeight="1">
      <c r="A288" s="1499">
        <v>56</v>
      </c>
      <c r="B288" s="764" t="s">
        <v>2752</v>
      </c>
      <c r="C288" s="1455">
        <f t="shared" si="274"/>
        <v>17</v>
      </c>
      <c r="D288" s="1455"/>
      <c r="E288" s="1455">
        <v>17</v>
      </c>
      <c r="F288" s="1455">
        <v>14</v>
      </c>
      <c r="G288" s="1614">
        <f t="shared" si="275"/>
        <v>150.65688750000001</v>
      </c>
      <c r="H288" s="1617">
        <f>55.5*1.39</f>
        <v>77.144999999999996</v>
      </c>
      <c r="I288" s="1614">
        <f t="shared" si="276"/>
        <v>54.449774999999995</v>
      </c>
      <c r="J288" s="1617"/>
      <c r="K288" s="1617">
        <f>5.45*1.39</f>
        <v>7.5754999999999999</v>
      </c>
      <c r="L288" s="1617"/>
      <c r="M288" s="1617"/>
      <c r="N288" s="1617"/>
      <c r="O288" s="1617"/>
      <c r="P288" s="1617">
        <f>15.2375*1.39</f>
        <v>21.180125</v>
      </c>
      <c r="Q288" s="1617">
        <f>18.285*1.39</f>
        <v>25.416149999999998</v>
      </c>
      <c r="R288" s="1617"/>
      <c r="S288" s="1617">
        <f>0.2*1.39</f>
        <v>0.27799999999999997</v>
      </c>
      <c r="T288" s="1621">
        <f>(H288+K288+L288)*22.5%</f>
        <v>19.062112500000001</v>
      </c>
      <c r="U288" s="1614">
        <f t="shared" si="277"/>
        <v>161.49551250000002</v>
      </c>
      <c r="V288" s="1617">
        <f>55.5*1.49</f>
        <v>82.694999999999993</v>
      </c>
      <c r="W288" s="1614">
        <f t="shared" si="278"/>
        <v>58.367024999999998</v>
      </c>
      <c r="X288" s="1617"/>
      <c r="Y288" s="1617">
        <f>5.45*1.49</f>
        <v>8.1204999999999998</v>
      </c>
      <c r="Z288" s="1617"/>
      <c r="AA288" s="1617"/>
      <c r="AB288" s="1617"/>
      <c r="AC288" s="1617"/>
      <c r="AD288" s="1617">
        <f>15.2375*1.49</f>
        <v>22.703875</v>
      </c>
      <c r="AE288" s="1617">
        <f>18.285*1.49</f>
        <v>27.24465</v>
      </c>
      <c r="AF288" s="1617"/>
      <c r="AG288" s="1617">
        <f>0.2*1.49</f>
        <v>0.29799999999999999</v>
      </c>
      <c r="AH288" s="1621">
        <f>(V288+Y288+Z288)*22.5%</f>
        <v>20.433487499999998</v>
      </c>
      <c r="AI288" s="1621">
        <f t="shared" si="279"/>
        <v>10.838625000000008</v>
      </c>
      <c r="AJ288" s="1621">
        <f t="shared" si="280"/>
        <v>130.06350000000009</v>
      </c>
      <c r="AK288" s="1448">
        <f t="shared" si="245"/>
        <v>0.77418750000000058</v>
      </c>
      <c r="AL288" s="1431">
        <f t="shared" si="227"/>
        <v>107.19424460431655</v>
      </c>
    </row>
    <row r="289" spans="1:38" s="1502" customFormat="1" ht="30.75" hidden="1" customHeight="1">
      <c r="A289" s="1499">
        <v>57</v>
      </c>
      <c r="B289" s="764" t="s">
        <v>2753</v>
      </c>
      <c r="C289" s="1455">
        <f t="shared" si="274"/>
        <v>8</v>
      </c>
      <c r="D289" s="1455"/>
      <c r="E289" s="1455">
        <v>8</v>
      </c>
      <c r="F289" s="1455">
        <v>8</v>
      </c>
      <c r="G289" s="1614">
        <f t="shared" si="275"/>
        <v>86.501090000000005</v>
      </c>
      <c r="H289" s="1617">
        <f>32.38*1.39</f>
        <v>45.008200000000002</v>
      </c>
      <c r="I289" s="1614">
        <f t="shared" si="276"/>
        <v>30.646719999999998</v>
      </c>
      <c r="J289" s="1617"/>
      <c r="K289" s="1617">
        <f>2.3*1.39</f>
        <v>3.1969999999999996</v>
      </c>
      <c r="L289" s="1617"/>
      <c r="M289" s="1617"/>
      <c r="N289" s="1617"/>
      <c r="O289" s="1617"/>
      <c r="P289" s="1617">
        <f>8.67*1.39</f>
        <v>12.051299999999999</v>
      </c>
      <c r="Q289" s="1617">
        <f>10.404*1.39</f>
        <v>14.461559999999999</v>
      </c>
      <c r="R289" s="1617"/>
      <c r="S289" s="1617">
        <f>(0.2+0.474)*1.39</f>
        <v>0.9368599999999998</v>
      </c>
      <c r="T289" s="1621">
        <f>(H289+K289+L289)*22.5%</f>
        <v>10.846170000000001</v>
      </c>
      <c r="U289" s="1614">
        <f t="shared" si="277"/>
        <v>92.724190000000007</v>
      </c>
      <c r="V289" s="1617">
        <f>32.38*1.49</f>
        <v>48.246200000000002</v>
      </c>
      <c r="W289" s="1614">
        <f t="shared" si="278"/>
        <v>32.851520000000001</v>
      </c>
      <c r="X289" s="1617"/>
      <c r="Y289" s="1617">
        <f>2.3*1.49</f>
        <v>3.4269999999999996</v>
      </c>
      <c r="Z289" s="1617"/>
      <c r="AA289" s="1617"/>
      <c r="AB289" s="1617"/>
      <c r="AC289" s="1617"/>
      <c r="AD289" s="1617">
        <f>8.67*1.49</f>
        <v>12.9183</v>
      </c>
      <c r="AE289" s="1617">
        <f>10.404*1.49</f>
        <v>15.50196</v>
      </c>
      <c r="AF289" s="1617"/>
      <c r="AG289" s="1617">
        <f>(0.2+0.474)*1.49</f>
        <v>1.0042599999999999</v>
      </c>
      <c r="AH289" s="1621">
        <f>(V289+Y289+Z289)*22.5%</f>
        <v>11.626470000000001</v>
      </c>
      <c r="AI289" s="1621">
        <f t="shared" si="279"/>
        <v>6.2231000000000023</v>
      </c>
      <c r="AJ289" s="1621">
        <f t="shared" si="280"/>
        <v>74.677200000000028</v>
      </c>
      <c r="AK289" s="1448">
        <f t="shared" si="245"/>
        <v>0.77788750000000029</v>
      </c>
      <c r="AL289" s="1431">
        <f t="shared" si="227"/>
        <v>107.19424460431655</v>
      </c>
    </row>
    <row r="290" spans="1:38" s="1502" customFormat="1" ht="27.75" customHeight="1">
      <c r="A290" s="1499"/>
      <c r="B290" s="1500" t="s">
        <v>2754</v>
      </c>
      <c r="C290" s="1501">
        <f>SUM(C291:C306)</f>
        <v>81</v>
      </c>
      <c r="D290" s="1501">
        <f t="shared" ref="D290:AJ290" si="281">SUM(D291:D306)</f>
        <v>59</v>
      </c>
      <c r="E290" s="1501">
        <f t="shared" si="281"/>
        <v>15</v>
      </c>
      <c r="F290" s="1501">
        <f t="shared" si="281"/>
        <v>74</v>
      </c>
      <c r="G290" s="1678">
        <f>SUM(G291:G306)</f>
        <v>531.49110918999997</v>
      </c>
      <c r="H290" s="1678">
        <f t="shared" si="281"/>
        <v>368.17381999999998</v>
      </c>
      <c r="I290" s="1678">
        <f t="shared" si="281"/>
        <v>71.641546000000005</v>
      </c>
      <c r="J290" s="1678">
        <f t="shared" si="281"/>
        <v>0</v>
      </c>
      <c r="K290" s="1678">
        <f t="shared" si="281"/>
        <v>24.043999999999997</v>
      </c>
      <c r="L290" s="1678">
        <f t="shared" si="281"/>
        <v>1.3769339999999999</v>
      </c>
      <c r="M290" s="1678">
        <f t="shared" si="281"/>
        <v>0</v>
      </c>
      <c r="N290" s="1678">
        <f t="shared" si="281"/>
        <v>0</v>
      </c>
      <c r="O290" s="1678">
        <f t="shared" si="281"/>
        <v>0</v>
      </c>
      <c r="P290" s="1678">
        <f t="shared" si="281"/>
        <v>0</v>
      </c>
      <c r="Q290" s="1678">
        <f t="shared" si="281"/>
        <v>0</v>
      </c>
      <c r="R290" s="1678">
        <f t="shared" si="281"/>
        <v>0</v>
      </c>
      <c r="S290" s="1678">
        <f t="shared" si="281"/>
        <v>46.22061200000001</v>
      </c>
      <c r="T290" s="1678">
        <f t="shared" si="281"/>
        <v>91.675743190000006</v>
      </c>
      <c r="U290" s="1678">
        <f t="shared" si="281"/>
        <v>569.72744222525193</v>
      </c>
      <c r="V290" s="1678">
        <f t="shared" si="281"/>
        <v>394.66114517985608</v>
      </c>
      <c r="W290" s="1678">
        <f t="shared" si="281"/>
        <v>76.795614057553948</v>
      </c>
      <c r="X290" s="1678">
        <f t="shared" si="281"/>
        <v>0</v>
      </c>
      <c r="Y290" s="1678">
        <f t="shared" si="281"/>
        <v>25.773784172661863</v>
      </c>
      <c r="Z290" s="1678">
        <f t="shared" si="281"/>
        <v>1.475994</v>
      </c>
      <c r="AA290" s="1678">
        <f t="shared" si="281"/>
        <v>0</v>
      </c>
      <c r="AB290" s="1678">
        <f t="shared" si="281"/>
        <v>0</v>
      </c>
      <c r="AC290" s="1678">
        <f t="shared" si="281"/>
        <v>0</v>
      </c>
      <c r="AD290" s="1678">
        <f t="shared" si="281"/>
        <v>0</v>
      </c>
      <c r="AE290" s="1678">
        <f t="shared" si="281"/>
        <v>0</v>
      </c>
      <c r="AF290" s="1678">
        <f t="shared" si="281"/>
        <v>0</v>
      </c>
      <c r="AG290" s="1678">
        <f t="shared" si="281"/>
        <v>49.545835884892085</v>
      </c>
      <c r="AH290" s="1678">
        <f t="shared" si="281"/>
        <v>98.270682987841724</v>
      </c>
      <c r="AI290" s="1678">
        <f t="shared" si="281"/>
        <v>38.236333035251818</v>
      </c>
      <c r="AJ290" s="1678">
        <f t="shared" si="281"/>
        <v>458.83599642302187</v>
      </c>
      <c r="AK290" s="1448">
        <f t="shared" si="245"/>
        <v>0.51670720317907859</v>
      </c>
      <c r="AL290" s="1431">
        <f t="shared" si="227"/>
        <v>107.1941623056545</v>
      </c>
    </row>
    <row r="291" spans="1:38" s="1502" customFormat="1" ht="30.75" hidden="1" customHeight="1">
      <c r="A291" s="1499">
        <v>58</v>
      </c>
      <c r="B291" s="764" t="s">
        <v>2755</v>
      </c>
      <c r="C291" s="1455">
        <f>D291+E291</f>
        <v>13</v>
      </c>
      <c r="D291" s="1455"/>
      <c r="E291" s="1455">
        <v>13</v>
      </c>
      <c r="F291" s="1455">
        <v>13</v>
      </c>
      <c r="G291" s="1614">
        <f t="shared" ref="G291:G307" si="282">H291+I291+T291</f>
        <v>98.590545500000005</v>
      </c>
      <c r="H291" s="1617">
        <f>52.17*1.39</f>
        <v>72.516300000000001</v>
      </c>
      <c r="I291" s="1614">
        <f t="shared" ref="I291:I307" si="283">SUM(J291:S291)</f>
        <v>7.3669999999999982</v>
      </c>
      <c r="J291" s="1617"/>
      <c r="K291" s="1630">
        <f>5.1*1.39</f>
        <v>7.0889999999999986</v>
      </c>
      <c r="L291" s="1617"/>
      <c r="M291" s="1617"/>
      <c r="N291" s="1617"/>
      <c r="O291" s="1617"/>
      <c r="P291" s="1617"/>
      <c r="Q291" s="1617"/>
      <c r="R291" s="1617"/>
      <c r="S291" s="1617">
        <f>0.2*1.39</f>
        <v>0.27799999999999997</v>
      </c>
      <c r="T291" s="1621">
        <f>(H291+K291+L291)*23.5%</f>
        <v>18.707245499999999</v>
      </c>
      <c r="U291" s="1614">
        <f t="shared" ref="U291:U307" si="284">V291+W291+AH291</f>
        <v>105.6833905</v>
      </c>
      <c r="V291" s="1617">
        <f>52.17*1.49</f>
        <v>77.7333</v>
      </c>
      <c r="W291" s="1614">
        <f t="shared" ref="W291:W307" si="285">SUM(X291:AG291)</f>
        <v>7.8969999999999994</v>
      </c>
      <c r="X291" s="1617"/>
      <c r="Y291" s="1630">
        <f>5.1*1.49</f>
        <v>7.5989999999999993</v>
      </c>
      <c r="Z291" s="1617"/>
      <c r="AA291" s="1617"/>
      <c r="AB291" s="1617"/>
      <c r="AC291" s="1617"/>
      <c r="AD291" s="1617"/>
      <c r="AE291" s="1617"/>
      <c r="AF291" s="1617"/>
      <c r="AG291" s="1617">
        <f>0.2*1.49</f>
        <v>0.29799999999999999</v>
      </c>
      <c r="AH291" s="1621">
        <f>(V291+Y291+Z291)*23.5%</f>
        <v>20.0530905</v>
      </c>
      <c r="AI291" s="1621">
        <f t="shared" ref="AI291:AI307" si="286">U291-G291</f>
        <v>7.092844999999997</v>
      </c>
      <c r="AJ291" s="1621">
        <f t="shared" ref="AJ291:AJ306" si="287">AI291*12</f>
        <v>85.114139999999963</v>
      </c>
      <c r="AK291" s="1448">
        <f t="shared" si="245"/>
        <v>0.54560346153846129</v>
      </c>
      <c r="AL291" s="1431">
        <f t="shared" si="227"/>
        <v>107.19424460431655</v>
      </c>
    </row>
    <row r="292" spans="1:38" s="1502" customFormat="1" ht="30.75" hidden="1" customHeight="1">
      <c r="A292" s="1499">
        <v>59</v>
      </c>
      <c r="B292" s="764" t="s">
        <v>2756</v>
      </c>
      <c r="C292" s="1455">
        <f t="shared" ref="C292:C306" si="288">D292+E292</f>
        <v>2</v>
      </c>
      <c r="D292" s="1455"/>
      <c r="E292" s="1455">
        <v>2</v>
      </c>
      <c r="F292" s="1455">
        <v>2</v>
      </c>
      <c r="G292" s="1614">
        <f t="shared" si="282"/>
        <v>13.271372499999998</v>
      </c>
      <c r="H292" s="1617">
        <f>7.65*1.39</f>
        <v>10.6335</v>
      </c>
      <c r="I292" s="1614">
        <f t="shared" si="283"/>
        <v>0.13899999999999998</v>
      </c>
      <c r="J292" s="1617"/>
      <c r="K292" s="1617"/>
      <c r="L292" s="1617"/>
      <c r="M292" s="1617"/>
      <c r="N292" s="1617"/>
      <c r="O292" s="1617"/>
      <c r="P292" s="1617"/>
      <c r="Q292" s="1617"/>
      <c r="R292" s="1617"/>
      <c r="S292" s="1617">
        <f>0.1*1.39</f>
        <v>0.13899999999999998</v>
      </c>
      <c r="T292" s="1621">
        <f>(H292+K292+L292)*23.5%</f>
        <v>2.4988724999999996</v>
      </c>
      <c r="U292" s="1614">
        <f t="shared" si="284"/>
        <v>14.2261475</v>
      </c>
      <c r="V292" s="1617">
        <f>7.65*1.49</f>
        <v>11.3985</v>
      </c>
      <c r="W292" s="1614">
        <f t="shared" si="285"/>
        <v>0.14899999999999999</v>
      </c>
      <c r="X292" s="1617"/>
      <c r="Y292" s="1617"/>
      <c r="Z292" s="1617"/>
      <c r="AA292" s="1617"/>
      <c r="AB292" s="1617"/>
      <c r="AC292" s="1617"/>
      <c r="AD292" s="1617"/>
      <c r="AE292" s="1617"/>
      <c r="AF292" s="1617"/>
      <c r="AG292" s="1617">
        <f>0.1*1.49</f>
        <v>0.14899999999999999</v>
      </c>
      <c r="AH292" s="1621">
        <f>(V292+Y292+Z292)*23.5%</f>
        <v>2.6786474999999998</v>
      </c>
      <c r="AI292" s="1621">
        <f t="shared" si="286"/>
        <v>0.95477500000000148</v>
      </c>
      <c r="AJ292" s="1621">
        <f t="shared" si="287"/>
        <v>11.457300000000018</v>
      </c>
      <c r="AK292" s="1448">
        <f t="shared" si="245"/>
        <v>0.47738750000000074</v>
      </c>
      <c r="AL292" s="1431">
        <f t="shared" si="227"/>
        <v>107.19424460431657</v>
      </c>
    </row>
    <row r="293" spans="1:38" s="1502" customFormat="1" ht="33.75" hidden="1" customHeight="1">
      <c r="A293" s="1499">
        <v>60</v>
      </c>
      <c r="B293" s="764" t="s">
        <v>2757</v>
      </c>
      <c r="C293" s="1481">
        <v>7</v>
      </c>
      <c r="D293" s="1481">
        <v>7</v>
      </c>
      <c r="E293" s="1481"/>
      <c r="F293" s="1481">
        <v>7</v>
      </c>
      <c r="G293" s="1648">
        <f t="shared" si="282"/>
        <v>35.700000000000003</v>
      </c>
      <c r="H293" s="1647">
        <v>27.71</v>
      </c>
      <c r="I293" s="1648">
        <f t="shared" ref="I293" si="289">SUM(J293:S293)</f>
        <v>1.25</v>
      </c>
      <c r="J293" s="1647">
        <f>SUM(J486,J633)</f>
        <v>0</v>
      </c>
      <c r="K293" s="1647">
        <v>0.97</v>
      </c>
      <c r="L293" s="1647">
        <f t="shared" ref="L293:R293" si="290">SUM(L486,L633)</f>
        <v>0</v>
      </c>
      <c r="M293" s="1647">
        <f t="shared" si="290"/>
        <v>0</v>
      </c>
      <c r="N293" s="1647">
        <f t="shared" si="290"/>
        <v>0</v>
      </c>
      <c r="O293" s="1647">
        <f t="shared" si="290"/>
        <v>0</v>
      </c>
      <c r="P293" s="1647">
        <f t="shared" si="290"/>
        <v>0</v>
      </c>
      <c r="Q293" s="1647">
        <f t="shared" si="290"/>
        <v>0</v>
      </c>
      <c r="R293" s="1647">
        <f t="shared" si="290"/>
        <v>0</v>
      </c>
      <c r="S293" s="1647">
        <v>0.28000000000000003</v>
      </c>
      <c r="T293" s="1649">
        <v>6.74</v>
      </c>
      <c r="U293" s="1648">
        <f t="shared" si="284"/>
        <v>38.268130935251804</v>
      </c>
      <c r="V293" s="1648">
        <f t="shared" ref="V293" si="291">(H293/1.39)*1.49</f>
        <v>29.703525179856118</v>
      </c>
      <c r="W293" s="1694">
        <f t="shared" ref="W293" si="292">SUM(X293:AG293)</f>
        <v>1.3399280575539567</v>
      </c>
      <c r="X293" s="1694">
        <f t="shared" ref="X293:AG293" si="293">(J293/1.39)*1.49</f>
        <v>0</v>
      </c>
      <c r="Y293" s="1694">
        <f t="shared" si="293"/>
        <v>1.0397841726618704</v>
      </c>
      <c r="Z293" s="1648">
        <f t="shared" si="293"/>
        <v>0</v>
      </c>
      <c r="AA293" s="1648">
        <f t="shared" si="293"/>
        <v>0</v>
      </c>
      <c r="AB293" s="1648">
        <f t="shared" si="293"/>
        <v>0</v>
      </c>
      <c r="AC293" s="1648">
        <f t="shared" si="293"/>
        <v>0</v>
      </c>
      <c r="AD293" s="1648">
        <f t="shared" si="293"/>
        <v>0</v>
      </c>
      <c r="AE293" s="1648">
        <f t="shared" si="293"/>
        <v>0</v>
      </c>
      <c r="AF293" s="1648">
        <f t="shared" si="293"/>
        <v>0</v>
      </c>
      <c r="AG293" s="1648">
        <f t="shared" si="293"/>
        <v>0.30014388489208638</v>
      </c>
      <c r="AH293" s="1648">
        <f t="shared" ref="AH293" si="294">(V293+Y293+Z293+AF293)*23.5%</f>
        <v>7.2246776978417273</v>
      </c>
      <c r="AI293" s="1621">
        <f t="shared" si="286"/>
        <v>2.5681309352518014</v>
      </c>
      <c r="AJ293" s="1621">
        <f t="shared" si="287"/>
        <v>30.817571223021616</v>
      </c>
      <c r="AK293" s="1448">
        <f t="shared" si="245"/>
        <v>0.3668758478931145</v>
      </c>
      <c r="AL293" s="1431">
        <f t="shared" si="227"/>
        <v>107.19364407633559</v>
      </c>
    </row>
    <row r="294" spans="1:38" s="1502" customFormat="1" ht="33.75" hidden="1" customHeight="1">
      <c r="A294" s="1499">
        <v>61</v>
      </c>
      <c r="B294" s="764" t="s">
        <v>2758</v>
      </c>
      <c r="C294" s="1455">
        <f t="shared" si="288"/>
        <v>0</v>
      </c>
      <c r="D294" s="1455"/>
      <c r="E294" s="1455"/>
      <c r="F294" s="1455"/>
      <c r="G294" s="1614">
        <f t="shared" si="282"/>
        <v>0</v>
      </c>
      <c r="H294" s="1617"/>
      <c r="I294" s="1614">
        <f t="shared" si="283"/>
        <v>0</v>
      </c>
      <c r="J294" s="1617"/>
      <c r="K294" s="1617"/>
      <c r="L294" s="1617"/>
      <c r="M294" s="1617"/>
      <c r="N294" s="1617"/>
      <c r="O294" s="1617"/>
      <c r="P294" s="1617"/>
      <c r="Q294" s="1617"/>
      <c r="R294" s="1617"/>
      <c r="S294" s="1617"/>
      <c r="T294" s="1621">
        <f>(H294+K294+L294)*22.5%</f>
        <v>0</v>
      </c>
      <c r="U294" s="1614">
        <f t="shared" si="284"/>
        <v>0</v>
      </c>
      <c r="V294" s="1617"/>
      <c r="W294" s="1614">
        <f t="shared" si="285"/>
        <v>0</v>
      </c>
      <c r="X294" s="1617"/>
      <c r="Y294" s="1617"/>
      <c r="Z294" s="1617"/>
      <c r="AA294" s="1617"/>
      <c r="AB294" s="1617"/>
      <c r="AC294" s="1617"/>
      <c r="AD294" s="1617"/>
      <c r="AE294" s="1617"/>
      <c r="AF294" s="1617"/>
      <c r="AG294" s="1617"/>
      <c r="AH294" s="1621"/>
      <c r="AI294" s="1621">
        <f t="shared" si="286"/>
        <v>0</v>
      </c>
      <c r="AJ294" s="1621">
        <f t="shared" si="287"/>
        <v>0</v>
      </c>
      <c r="AK294" s="1448" t="e">
        <f t="shared" si="245"/>
        <v>#DIV/0!</v>
      </c>
      <c r="AL294" s="1431" t="e">
        <f t="shared" si="227"/>
        <v>#DIV/0!</v>
      </c>
    </row>
    <row r="295" spans="1:38" s="1502" customFormat="1" ht="53.25" hidden="1" customHeight="1">
      <c r="A295" s="1499">
        <v>62</v>
      </c>
      <c r="B295" s="764" t="s">
        <v>2759</v>
      </c>
      <c r="C295" s="1461">
        <v>7</v>
      </c>
      <c r="D295" s="1461"/>
      <c r="E295" s="1461"/>
      <c r="F295" s="1461"/>
      <c r="G295" s="1620">
        <f t="shared" si="282"/>
        <v>0</v>
      </c>
      <c r="H295" s="1624"/>
      <c r="I295" s="1620">
        <f t="shared" si="283"/>
        <v>0</v>
      </c>
      <c r="J295" s="1624"/>
      <c r="K295" s="1624"/>
      <c r="L295" s="1624"/>
      <c r="M295" s="1624"/>
      <c r="N295" s="1624"/>
      <c r="O295" s="1624"/>
      <c r="P295" s="1617"/>
      <c r="Q295" s="1617"/>
      <c r="R295" s="1624"/>
      <c r="S295" s="1624"/>
      <c r="T295" s="1621">
        <f>(H295+K295+L295+R295)*23.5%</f>
        <v>0</v>
      </c>
      <c r="U295" s="1620">
        <f t="shared" si="284"/>
        <v>0</v>
      </c>
      <c r="V295" s="1624"/>
      <c r="W295" s="1620">
        <f t="shared" si="285"/>
        <v>0</v>
      </c>
      <c r="X295" s="1620">
        <f>(J295/1.39)*1.49</f>
        <v>0</v>
      </c>
      <c r="Y295" s="1620"/>
      <c r="Z295" s="1620"/>
      <c r="AA295" s="1620"/>
      <c r="AB295" s="1620"/>
      <c r="AC295" s="1620"/>
      <c r="AD295" s="1620"/>
      <c r="AE295" s="1620"/>
      <c r="AF295" s="1620"/>
      <c r="AG295" s="1620"/>
      <c r="AH295" s="1620">
        <f>(V295+Y295+Z295+AF295)*23.5%</f>
        <v>0</v>
      </c>
      <c r="AI295" s="1621">
        <f t="shared" si="286"/>
        <v>0</v>
      </c>
      <c r="AJ295" s="1621">
        <f t="shared" si="287"/>
        <v>0</v>
      </c>
      <c r="AK295" s="1448" t="e">
        <f t="shared" si="245"/>
        <v>#DIV/0!</v>
      </c>
      <c r="AL295" s="1431" t="e">
        <f t="shared" si="227"/>
        <v>#DIV/0!</v>
      </c>
    </row>
    <row r="296" spans="1:38" s="1502" customFormat="1" ht="34.5" hidden="1" customHeight="1">
      <c r="A296" s="1499">
        <v>63</v>
      </c>
      <c r="B296" s="764" t="s">
        <v>2760</v>
      </c>
      <c r="C296" s="1365">
        <f>D296+E296</f>
        <v>3</v>
      </c>
      <c r="D296" s="1365">
        <v>3</v>
      </c>
      <c r="E296" s="1451"/>
      <c r="F296" s="1454">
        <v>3</v>
      </c>
      <c r="G296" s="1367">
        <f t="shared" si="282"/>
        <v>16.067843999999997</v>
      </c>
      <c r="H296" s="1618">
        <f>8.86*1.39</f>
        <v>12.315399999999999</v>
      </c>
      <c r="I296" s="1367">
        <f t="shared" si="283"/>
        <v>0.69499999999999995</v>
      </c>
      <c r="J296" s="1617"/>
      <c r="K296" s="1618">
        <f>0.5*1.39</f>
        <v>0.69499999999999995</v>
      </c>
      <c r="L296" s="1618">
        <v>0</v>
      </c>
      <c r="M296" s="1618">
        <v>0</v>
      </c>
      <c r="N296" s="1619"/>
      <c r="O296" s="1619"/>
      <c r="P296" s="1617"/>
      <c r="Q296" s="1617"/>
      <c r="R296" s="1618">
        <v>0</v>
      </c>
      <c r="S296" s="1618">
        <v>0</v>
      </c>
      <c r="T296" s="1554">
        <f>(H296+K296+L296+R296)*23.5%</f>
        <v>3.0574439999999994</v>
      </c>
      <c r="U296" s="1620">
        <f t="shared" si="284"/>
        <v>17.223803999999998</v>
      </c>
      <c r="V296" s="1617">
        <v>13.2014</v>
      </c>
      <c r="W296" s="1617">
        <f t="shared" si="285"/>
        <v>0.745</v>
      </c>
      <c r="X296" s="1617"/>
      <c r="Y296" s="1617">
        <v>0.745</v>
      </c>
      <c r="Z296" s="1617"/>
      <c r="AA296" s="1617">
        <v>0</v>
      </c>
      <c r="AB296" s="1617"/>
      <c r="AC296" s="1617"/>
      <c r="AD296" s="1617"/>
      <c r="AE296" s="1617"/>
      <c r="AF296" s="1617"/>
      <c r="AG296" s="1617"/>
      <c r="AH296" s="1554">
        <f>(V296+Y296+Z296+AF296)*23.5%</f>
        <v>3.2774039999999993</v>
      </c>
      <c r="AI296" s="1621">
        <f t="shared" si="286"/>
        <v>1.1559600000000003</v>
      </c>
      <c r="AJ296" s="1621">
        <f t="shared" si="287"/>
        <v>13.871520000000004</v>
      </c>
      <c r="AK296" s="1448">
        <f t="shared" si="245"/>
        <v>0.38532000000000011</v>
      </c>
      <c r="AL296" s="1431">
        <f t="shared" si="227"/>
        <v>107.19424460431655</v>
      </c>
    </row>
    <row r="297" spans="1:38" s="1502" customFormat="1" ht="39" hidden="1" customHeight="1">
      <c r="A297" s="1499">
        <v>64</v>
      </c>
      <c r="B297" s="764" t="s">
        <v>2761</v>
      </c>
      <c r="C297" s="1484">
        <f>+D297+E297</f>
        <v>0</v>
      </c>
      <c r="D297" s="1484"/>
      <c r="E297" s="1484"/>
      <c r="F297" s="1484"/>
      <c r="G297" s="1657">
        <f t="shared" si="282"/>
        <v>0</v>
      </c>
      <c r="H297" s="1657"/>
      <c r="I297" s="1657">
        <f t="shared" si="283"/>
        <v>0</v>
      </c>
      <c r="J297" s="1657"/>
      <c r="K297" s="1657"/>
      <c r="L297" s="1657"/>
      <c r="M297" s="1657"/>
      <c r="N297" s="1657"/>
      <c r="O297" s="1657"/>
      <c r="P297" s="1658"/>
      <c r="Q297" s="1658"/>
      <c r="R297" s="1657"/>
      <c r="S297" s="1657"/>
      <c r="T297" s="1657">
        <f>(H297+K297+L297+R297)*0.235</f>
        <v>0</v>
      </c>
      <c r="U297" s="1657">
        <f t="shared" si="284"/>
        <v>0</v>
      </c>
      <c r="V297" s="1657"/>
      <c r="W297" s="1657">
        <f t="shared" si="285"/>
        <v>0</v>
      </c>
      <c r="X297" s="1657"/>
      <c r="Y297" s="1657"/>
      <c r="Z297" s="1657"/>
      <c r="AA297" s="1657"/>
      <c r="AB297" s="1657"/>
      <c r="AC297" s="1657"/>
      <c r="AD297" s="1658"/>
      <c r="AE297" s="1658"/>
      <c r="AF297" s="1657"/>
      <c r="AG297" s="1657"/>
      <c r="AH297" s="1657">
        <f>(V297+Y297+Z297+AF297)*0.235</f>
        <v>0</v>
      </c>
      <c r="AI297" s="1621">
        <f t="shared" si="286"/>
        <v>0</v>
      </c>
      <c r="AJ297" s="1621">
        <f t="shared" si="287"/>
        <v>0</v>
      </c>
      <c r="AK297" s="1448" t="e">
        <f t="shared" si="245"/>
        <v>#DIV/0!</v>
      </c>
      <c r="AL297" s="1431" t="e">
        <f t="shared" si="227"/>
        <v>#DIV/0!</v>
      </c>
    </row>
    <row r="298" spans="1:38" s="1502" customFormat="1" ht="39" hidden="1" customHeight="1">
      <c r="A298" s="1499">
        <v>65</v>
      </c>
      <c r="B298" s="764" t="s">
        <v>3442</v>
      </c>
      <c r="C298" s="1483">
        <f>+D298+E298</f>
        <v>3</v>
      </c>
      <c r="D298" s="1483">
        <v>3</v>
      </c>
      <c r="E298" s="1483"/>
      <c r="F298" s="1483">
        <v>3</v>
      </c>
      <c r="G298" s="1653">
        <f t="shared" si="282"/>
        <v>25.321977499999999</v>
      </c>
      <c r="H298" s="1653">
        <f>(10.65)*1.39</f>
        <v>14.8035</v>
      </c>
      <c r="I298" s="1653">
        <f t="shared" si="283"/>
        <v>6.8109999999999999</v>
      </c>
      <c r="J298" s="1653"/>
      <c r="K298" s="1653">
        <f>0.7*1.39</f>
        <v>0.97299999999999986</v>
      </c>
      <c r="L298" s="1653"/>
      <c r="M298" s="1653"/>
      <c r="N298" s="1653"/>
      <c r="O298" s="1653"/>
      <c r="P298" s="1655"/>
      <c r="Q298" s="1655"/>
      <c r="R298" s="1653"/>
      <c r="S298" s="1653">
        <f>(0.2+4)*1.39</f>
        <v>5.8380000000000001</v>
      </c>
      <c r="T298" s="1653">
        <f>(H298+K298+L298+R298)*0.235</f>
        <v>3.7074774999999995</v>
      </c>
      <c r="U298" s="1653">
        <f t="shared" si="284"/>
        <v>27.1437025</v>
      </c>
      <c r="V298" s="1653">
        <f>(10.65)*1.49</f>
        <v>15.868500000000001</v>
      </c>
      <c r="W298" s="1653">
        <f t="shared" si="285"/>
        <v>7.3010000000000002</v>
      </c>
      <c r="X298" s="1653"/>
      <c r="Y298" s="1653">
        <f>0.7*1.49</f>
        <v>1.0429999999999999</v>
      </c>
      <c r="Z298" s="1653"/>
      <c r="AA298" s="1653"/>
      <c r="AB298" s="1653"/>
      <c r="AC298" s="1653"/>
      <c r="AD298" s="1655"/>
      <c r="AE298" s="1655"/>
      <c r="AF298" s="1653"/>
      <c r="AG298" s="1653">
        <f>(0.2+4)*1.49</f>
        <v>6.258</v>
      </c>
      <c r="AH298" s="1653">
        <f>(V298+Y298+Z298+AF298)*0.235</f>
        <v>3.9742024999999996</v>
      </c>
      <c r="AI298" s="1621">
        <f t="shared" si="286"/>
        <v>1.8217250000000007</v>
      </c>
      <c r="AJ298" s="1621">
        <f t="shared" si="287"/>
        <v>21.860700000000008</v>
      </c>
      <c r="AK298" s="1448">
        <f t="shared" si="245"/>
        <v>0.6072416666666669</v>
      </c>
      <c r="AL298" s="1431">
        <f t="shared" si="227"/>
        <v>107.19424460431655</v>
      </c>
    </row>
    <row r="299" spans="1:38" s="1502" customFormat="1" ht="39" hidden="1" customHeight="1">
      <c r="A299" s="1499">
        <v>66</v>
      </c>
      <c r="B299" s="764" t="s">
        <v>2763</v>
      </c>
      <c r="C299" s="1476">
        <f t="shared" ref="C299" si="295">D299+E299</f>
        <v>8</v>
      </c>
      <c r="D299" s="1476">
        <v>8</v>
      </c>
      <c r="E299" s="1476"/>
      <c r="F299" s="1476">
        <v>8</v>
      </c>
      <c r="G299" s="1637">
        <f t="shared" si="282"/>
        <v>44.642351999999995</v>
      </c>
      <c r="H299" s="1638">
        <f>24.66*1.39</f>
        <v>34.2774</v>
      </c>
      <c r="I299" s="1637">
        <f t="shared" si="283"/>
        <v>2.4336119999999997</v>
      </c>
      <c r="J299" s="1638"/>
      <c r="K299" s="1661">
        <f>0.7*1.39</f>
        <v>0.97299999999999986</v>
      </c>
      <c r="L299" s="1661"/>
      <c r="M299" s="1638"/>
      <c r="N299" s="1638"/>
      <c r="O299" s="1638"/>
      <c r="P299" s="1638"/>
      <c r="Q299" s="1638"/>
      <c r="R299" s="1638"/>
      <c r="S299" s="1638">
        <f>(0.2+0.8508)*1.39</f>
        <v>1.4606119999999998</v>
      </c>
      <c r="T299" s="1639">
        <f>(H299+K299+L299)*22.5%</f>
        <v>7.9313399999999996</v>
      </c>
      <c r="U299" s="1637">
        <f t="shared" si="284"/>
        <v>47.854032000000004</v>
      </c>
      <c r="V299" s="1638">
        <f>24.66*1.49</f>
        <v>36.743400000000001</v>
      </c>
      <c r="W299" s="1637">
        <f t="shared" si="285"/>
        <v>2.6086919999999996</v>
      </c>
      <c r="X299" s="1638"/>
      <c r="Y299" s="1661">
        <f>0.7*1.49</f>
        <v>1.0429999999999999</v>
      </c>
      <c r="Z299" s="1661"/>
      <c r="AA299" s="1638"/>
      <c r="AB299" s="1638"/>
      <c r="AC299" s="1638"/>
      <c r="AD299" s="1638"/>
      <c r="AE299" s="1638"/>
      <c r="AF299" s="1638"/>
      <c r="AG299" s="1638">
        <f>(0.2+0.8508)*1.49</f>
        <v>1.5656919999999999</v>
      </c>
      <c r="AH299" s="1639">
        <f>(V299+Y299+Z299)*22.5%</f>
        <v>8.5019400000000012</v>
      </c>
      <c r="AI299" s="1621">
        <f t="shared" si="286"/>
        <v>3.2116800000000083</v>
      </c>
      <c r="AJ299" s="1621">
        <f t="shared" si="287"/>
        <v>38.5401600000001</v>
      </c>
      <c r="AK299" s="1448">
        <f t="shared" si="245"/>
        <v>0.40146000000000104</v>
      </c>
      <c r="AL299" s="1431">
        <f t="shared" ref="AL299:AL329" si="296">U299/G299*100</f>
        <v>107.19424460431657</v>
      </c>
    </row>
    <row r="300" spans="1:38" s="1502" customFormat="1" ht="34.5" hidden="1" customHeight="1">
      <c r="A300" s="1499">
        <v>67</v>
      </c>
      <c r="B300" s="764" t="s">
        <v>2764</v>
      </c>
      <c r="C300" s="1489">
        <f>+D300+E300</f>
        <v>4</v>
      </c>
      <c r="D300" s="1489">
        <v>4</v>
      </c>
      <c r="E300" s="1489">
        <v>0</v>
      </c>
      <c r="F300" s="1489">
        <v>4</v>
      </c>
      <c r="G300" s="1695">
        <f>H300+I300+T300</f>
        <v>34.767000000000003</v>
      </c>
      <c r="H300" s="1695">
        <v>22.379000000000001</v>
      </c>
      <c r="I300" s="1695">
        <f>SUM(J300:S300)</f>
        <v>7.367</v>
      </c>
      <c r="J300" s="1695"/>
      <c r="K300" s="1695">
        <v>0.97299999999999998</v>
      </c>
      <c r="L300" s="1695">
        <v>0</v>
      </c>
      <c r="M300" s="1695"/>
      <c r="N300" s="1695"/>
      <c r="O300" s="1695"/>
      <c r="P300" s="1696">
        <v>0</v>
      </c>
      <c r="Q300" s="1696"/>
      <c r="R300" s="1695">
        <v>0</v>
      </c>
      <c r="S300" s="1695">
        <v>6.3940000000000001</v>
      </c>
      <c r="T300" s="1695">
        <v>5.0209999999999999</v>
      </c>
      <c r="U300" s="1695">
        <f>V300+W300+AH300</f>
        <v>37.268000000000001</v>
      </c>
      <c r="V300" s="1695">
        <v>23.989000000000001</v>
      </c>
      <c r="W300" s="1695">
        <f>SUM(X300:AG300)</f>
        <v>7.8970000000000002</v>
      </c>
      <c r="X300" s="1695"/>
      <c r="Y300" s="1695">
        <v>1.0429999999999999</v>
      </c>
      <c r="Z300" s="1695"/>
      <c r="AA300" s="1695"/>
      <c r="AB300" s="1695"/>
      <c r="AC300" s="1695"/>
      <c r="AD300" s="1696"/>
      <c r="AE300" s="1696"/>
      <c r="AF300" s="1695"/>
      <c r="AG300" s="1696">
        <v>6.8540000000000001</v>
      </c>
      <c r="AH300" s="1695">
        <v>5.3819999999999997</v>
      </c>
      <c r="AI300" s="1621">
        <f t="shared" si="286"/>
        <v>2.5009999999999977</v>
      </c>
      <c r="AJ300" s="1621">
        <f t="shared" si="287"/>
        <v>30.011999999999972</v>
      </c>
      <c r="AK300" s="1448">
        <f t="shared" si="245"/>
        <v>0.62524999999999942</v>
      </c>
      <c r="AL300" s="1431">
        <f t="shared" si="296"/>
        <v>107.19360312940431</v>
      </c>
    </row>
    <row r="301" spans="1:38" s="1502" customFormat="1" ht="36" hidden="1" customHeight="1">
      <c r="A301" s="1499">
        <v>68</v>
      </c>
      <c r="B301" s="764" t="s">
        <v>2765</v>
      </c>
      <c r="C301" s="1455">
        <f t="shared" si="288"/>
        <v>3</v>
      </c>
      <c r="D301" s="1455">
        <v>3</v>
      </c>
      <c r="E301" s="1455"/>
      <c r="F301" s="1455">
        <v>3</v>
      </c>
      <c r="G301" s="1614">
        <f t="shared" si="282"/>
        <v>37.858248499999995</v>
      </c>
      <c r="H301" s="1617">
        <f>(3+11.09)*1.39</f>
        <v>19.585099999999997</v>
      </c>
      <c r="I301" s="1614">
        <f t="shared" si="283"/>
        <v>13.343999999999999</v>
      </c>
      <c r="J301" s="1617"/>
      <c r="K301" s="1617">
        <f>1*1.39</f>
        <v>1.39</v>
      </c>
      <c r="L301" s="1617"/>
      <c r="M301" s="1617"/>
      <c r="N301" s="1617"/>
      <c r="O301" s="1617"/>
      <c r="P301" s="1617"/>
      <c r="Q301" s="1617"/>
      <c r="R301" s="1617"/>
      <c r="S301" s="1617">
        <f>(0.1+8.5)*1.39</f>
        <v>11.953999999999999</v>
      </c>
      <c r="T301" s="1621">
        <f t="shared" ref="T301:T306" si="297">(H301+K301+L301)*23.5%</f>
        <v>4.9291484999999993</v>
      </c>
      <c r="U301" s="1614">
        <f t="shared" si="284"/>
        <v>40.581863499999997</v>
      </c>
      <c r="V301" s="1617">
        <f>(3+11.09)*1.49</f>
        <v>20.9941</v>
      </c>
      <c r="W301" s="1614">
        <f t="shared" ref="W301:W302" si="298">SUM(X301:AG301)</f>
        <v>14.304</v>
      </c>
      <c r="X301" s="1617"/>
      <c r="Y301" s="1617">
        <f>1*1.49</f>
        <v>1.49</v>
      </c>
      <c r="Z301" s="1617"/>
      <c r="AA301" s="1617"/>
      <c r="AB301" s="1617"/>
      <c r="AC301" s="1617"/>
      <c r="AD301" s="1617"/>
      <c r="AE301" s="1617"/>
      <c r="AF301" s="1617"/>
      <c r="AG301" s="1617">
        <f>(0.1+8.5)*1.49</f>
        <v>12.814</v>
      </c>
      <c r="AH301" s="1621">
        <f t="shared" ref="AH301:AH306" si="299">(V301+Y301+Z301)*23.5%</f>
        <v>5.2837634999999992</v>
      </c>
      <c r="AI301" s="1621">
        <f t="shared" si="286"/>
        <v>2.7236150000000023</v>
      </c>
      <c r="AJ301" s="1621">
        <f t="shared" si="287"/>
        <v>32.683380000000028</v>
      </c>
      <c r="AK301" s="1448">
        <f t="shared" si="245"/>
        <v>0.90787166666666741</v>
      </c>
      <c r="AL301" s="1431">
        <f t="shared" si="296"/>
        <v>107.19424460431655</v>
      </c>
    </row>
    <row r="302" spans="1:38" s="1502" customFormat="1" ht="27.75" hidden="1" customHeight="1">
      <c r="A302" s="1499">
        <v>69</v>
      </c>
      <c r="B302" s="764" t="s">
        <v>2766</v>
      </c>
      <c r="C302" s="1455">
        <f t="shared" si="288"/>
        <v>6</v>
      </c>
      <c r="D302" s="1455">
        <v>6</v>
      </c>
      <c r="E302" s="1455"/>
      <c r="F302" s="1455">
        <v>6</v>
      </c>
      <c r="G302" s="1614">
        <f t="shared" si="282"/>
        <v>55.384638959999997</v>
      </c>
      <c r="H302" s="1617">
        <f>(32.12-4-1.9)*1.39</f>
        <v>36.445799999999998</v>
      </c>
      <c r="I302" s="1614">
        <f t="shared" si="283"/>
        <v>9.5109360000000009</v>
      </c>
      <c r="J302" s="1617"/>
      <c r="K302" s="1617">
        <f>2.1*1.39</f>
        <v>2.919</v>
      </c>
      <c r="L302" s="1617">
        <f>0.5424*1.39</f>
        <v>0.75393599999999994</v>
      </c>
      <c r="M302" s="1617"/>
      <c r="N302" s="1617"/>
      <c r="O302" s="1617"/>
      <c r="P302" s="1617"/>
      <c r="Q302" s="1617"/>
      <c r="R302" s="1617"/>
      <c r="S302" s="1617">
        <f>(0.2+4)*1.39</f>
        <v>5.8380000000000001</v>
      </c>
      <c r="T302" s="1621">
        <f t="shared" si="297"/>
        <v>9.4279029599999991</v>
      </c>
      <c r="U302" s="1614">
        <f t="shared" si="284"/>
        <v>59.36914535999999</v>
      </c>
      <c r="V302" s="1617">
        <f>(32.12-4-1.9)*1.49</f>
        <v>39.067799999999998</v>
      </c>
      <c r="W302" s="1614">
        <f t="shared" si="298"/>
        <v>10.195176</v>
      </c>
      <c r="X302" s="1617"/>
      <c r="Y302" s="1617">
        <f>2.1*1.49</f>
        <v>3.129</v>
      </c>
      <c r="Z302" s="1617">
        <f>0.5424*1.49</f>
        <v>0.80817600000000001</v>
      </c>
      <c r="AA302" s="1617"/>
      <c r="AB302" s="1617"/>
      <c r="AC302" s="1617"/>
      <c r="AD302" s="1617"/>
      <c r="AE302" s="1617"/>
      <c r="AF302" s="1617"/>
      <c r="AG302" s="1617">
        <f>(0.2+4)*1.49</f>
        <v>6.258</v>
      </c>
      <c r="AH302" s="1621">
        <f t="shared" si="299"/>
        <v>10.106169359999999</v>
      </c>
      <c r="AI302" s="1621">
        <f t="shared" si="286"/>
        <v>3.9845063999999937</v>
      </c>
      <c r="AJ302" s="1621">
        <f t="shared" si="287"/>
        <v>47.814076799999924</v>
      </c>
      <c r="AK302" s="1448">
        <f t="shared" si="245"/>
        <v>0.66408439999999891</v>
      </c>
      <c r="AL302" s="1431">
        <f t="shared" si="296"/>
        <v>107.19424460431655</v>
      </c>
    </row>
    <row r="303" spans="1:38" s="1502" customFormat="1" ht="27.75" hidden="1" customHeight="1">
      <c r="A303" s="1499">
        <v>70</v>
      </c>
      <c r="B303" s="764" t="s">
        <v>2767</v>
      </c>
      <c r="C303" s="1455">
        <f t="shared" si="288"/>
        <v>7</v>
      </c>
      <c r="D303" s="1455">
        <v>7</v>
      </c>
      <c r="E303" s="1455"/>
      <c r="F303" s="1455">
        <v>7</v>
      </c>
      <c r="G303" s="1614">
        <f t="shared" si="282"/>
        <v>41.432675199999998</v>
      </c>
      <c r="H303" s="1617">
        <f>(23.908-2.62)*1.39</f>
        <v>29.590319999999998</v>
      </c>
      <c r="I303" s="1614">
        <f t="shared" si="283"/>
        <v>4.17</v>
      </c>
      <c r="J303" s="1617"/>
      <c r="K303" s="1617">
        <f>2.2*1.39</f>
        <v>3.0579999999999998</v>
      </c>
      <c r="L303" s="1617"/>
      <c r="M303" s="1617"/>
      <c r="N303" s="1617"/>
      <c r="O303" s="1617"/>
      <c r="P303" s="1617"/>
      <c r="Q303" s="1617"/>
      <c r="R303" s="1617"/>
      <c r="S303" s="1617">
        <f>0.8*1.39</f>
        <v>1.1119999999999999</v>
      </c>
      <c r="T303" s="1621">
        <f t="shared" si="297"/>
        <v>7.6723551999999993</v>
      </c>
      <c r="U303" s="1614">
        <f t="shared" si="284"/>
        <v>44.413443200000003</v>
      </c>
      <c r="V303" s="1617">
        <f>(23.908-2.62)*1.49</f>
        <v>31.71912</v>
      </c>
      <c r="W303" s="1614">
        <f t="shared" ref="W303" si="300">SUM(X303:AG303)</f>
        <v>4.47</v>
      </c>
      <c r="X303" s="1617"/>
      <c r="Y303" s="1617">
        <f>2.2*1.49</f>
        <v>3.278</v>
      </c>
      <c r="Z303" s="1617"/>
      <c r="AA303" s="1617"/>
      <c r="AB303" s="1617"/>
      <c r="AC303" s="1617"/>
      <c r="AD303" s="1617"/>
      <c r="AE303" s="1617"/>
      <c r="AF303" s="1617"/>
      <c r="AG303" s="1617">
        <f>0.8*1.49</f>
        <v>1.1919999999999999</v>
      </c>
      <c r="AH303" s="1621">
        <f t="shared" si="299"/>
        <v>8.2243232000000006</v>
      </c>
      <c r="AI303" s="1621">
        <f t="shared" si="286"/>
        <v>2.9807680000000047</v>
      </c>
      <c r="AJ303" s="1621">
        <f t="shared" si="287"/>
        <v>35.769216000000057</v>
      </c>
      <c r="AK303" s="1448">
        <f t="shared" si="245"/>
        <v>0.4258240000000007</v>
      </c>
      <c r="AL303" s="1431">
        <f t="shared" si="296"/>
        <v>107.19424460431657</v>
      </c>
    </row>
    <row r="304" spans="1:38" s="1502" customFormat="1" ht="27.75" hidden="1" customHeight="1">
      <c r="A304" s="1499">
        <v>71</v>
      </c>
      <c r="B304" s="764" t="s">
        <v>2768</v>
      </c>
      <c r="C304" s="1455">
        <f t="shared" si="288"/>
        <v>5</v>
      </c>
      <c r="D304" s="1455">
        <v>5</v>
      </c>
      <c r="E304" s="1455"/>
      <c r="F304" s="1455">
        <v>5</v>
      </c>
      <c r="G304" s="1614">
        <f t="shared" si="282"/>
        <v>27.948729999999998</v>
      </c>
      <c r="H304" s="1617">
        <f>15.5*1.39</f>
        <v>21.544999999999998</v>
      </c>
      <c r="I304" s="1614">
        <f t="shared" si="283"/>
        <v>1.1119999999999999</v>
      </c>
      <c r="J304" s="1617"/>
      <c r="K304" s="1617">
        <f>0.7*1.39</f>
        <v>0.97299999999999986</v>
      </c>
      <c r="L304" s="1617"/>
      <c r="M304" s="1617"/>
      <c r="N304" s="1617"/>
      <c r="O304" s="1617"/>
      <c r="P304" s="1617"/>
      <c r="Q304" s="1617"/>
      <c r="R304" s="1617"/>
      <c r="S304" s="1617">
        <f>0.1*1.39</f>
        <v>0.13899999999999998</v>
      </c>
      <c r="T304" s="1621">
        <f t="shared" si="297"/>
        <v>5.2917299999999994</v>
      </c>
      <c r="U304" s="1614">
        <f t="shared" si="284"/>
        <v>29.959429999999998</v>
      </c>
      <c r="V304" s="1617">
        <f>15.5*1.49</f>
        <v>23.094999999999999</v>
      </c>
      <c r="W304" s="1614">
        <f t="shared" si="285"/>
        <v>1.1919999999999999</v>
      </c>
      <c r="X304" s="1617"/>
      <c r="Y304" s="1617">
        <f>0.7*1.49</f>
        <v>1.0429999999999999</v>
      </c>
      <c r="Z304" s="1617"/>
      <c r="AA304" s="1617"/>
      <c r="AB304" s="1617"/>
      <c r="AC304" s="1617"/>
      <c r="AD304" s="1617"/>
      <c r="AE304" s="1617"/>
      <c r="AF304" s="1617"/>
      <c r="AG304" s="1617">
        <f>0.1*1.49</f>
        <v>0.14899999999999999</v>
      </c>
      <c r="AH304" s="1621">
        <f t="shared" si="299"/>
        <v>5.6724299999999994</v>
      </c>
      <c r="AI304" s="1621">
        <f t="shared" si="286"/>
        <v>2.0106999999999999</v>
      </c>
      <c r="AJ304" s="1621">
        <f t="shared" si="287"/>
        <v>24.128399999999999</v>
      </c>
      <c r="AK304" s="1448">
        <f t="shared" si="245"/>
        <v>0.40214</v>
      </c>
      <c r="AL304" s="1431">
        <f t="shared" si="296"/>
        <v>107.19424460431655</v>
      </c>
    </row>
    <row r="305" spans="1:38" s="1502" customFormat="1" ht="27.75" hidden="1" customHeight="1">
      <c r="A305" s="1499">
        <v>72</v>
      </c>
      <c r="B305" s="764" t="s">
        <v>2769</v>
      </c>
      <c r="C305" s="1455">
        <f t="shared" si="288"/>
        <v>3</v>
      </c>
      <c r="D305" s="1455">
        <v>3</v>
      </c>
      <c r="E305" s="1455"/>
      <c r="F305" s="1455">
        <v>3</v>
      </c>
      <c r="G305" s="1614">
        <f t="shared" si="282"/>
        <v>24.039493999999998</v>
      </c>
      <c r="H305" s="1617">
        <f>9.66*1.39</f>
        <v>13.427399999999999</v>
      </c>
      <c r="I305" s="1614">
        <f t="shared" si="283"/>
        <v>7.2279999999999998</v>
      </c>
      <c r="J305" s="1617"/>
      <c r="K305" s="1617">
        <f>0.7*1.39</f>
        <v>0.97299999999999986</v>
      </c>
      <c r="L305" s="1617"/>
      <c r="M305" s="1617"/>
      <c r="N305" s="1617"/>
      <c r="O305" s="1617"/>
      <c r="P305" s="1617"/>
      <c r="Q305" s="1617"/>
      <c r="R305" s="1617"/>
      <c r="S305" s="1617">
        <f>4.5*1.39</f>
        <v>6.2549999999999999</v>
      </c>
      <c r="T305" s="1621">
        <f t="shared" si="297"/>
        <v>3.3840939999999993</v>
      </c>
      <c r="U305" s="1614">
        <f t="shared" si="284"/>
        <v>25.768954000000001</v>
      </c>
      <c r="V305" s="1617">
        <f>9.66*1.49</f>
        <v>14.3934</v>
      </c>
      <c r="W305" s="1614">
        <f t="shared" si="285"/>
        <v>7.7480000000000002</v>
      </c>
      <c r="X305" s="1617"/>
      <c r="Y305" s="1617">
        <f>0.7*1.49</f>
        <v>1.0429999999999999</v>
      </c>
      <c r="Z305" s="1617"/>
      <c r="AA305" s="1617"/>
      <c r="AB305" s="1617"/>
      <c r="AC305" s="1617"/>
      <c r="AD305" s="1617"/>
      <c r="AE305" s="1617"/>
      <c r="AF305" s="1617"/>
      <c r="AG305" s="1617">
        <f>4.5*1.49</f>
        <v>6.7050000000000001</v>
      </c>
      <c r="AH305" s="1621">
        <f t="shared" si="299"/>
        <v>3.6275539999999995</v>
      </c>
      <c r="AI305" s="1621">
        <f t="shared" si="286"/>
        <v>1.7294600000000031</v>
      </c>
      <c r="AJ305" s="1621">
        <f t="shared" si="287"/>
        <v>20.753520000000037</v>
      </c>
      <c r="AK305" s="1448">
        <f t="shared" si="245"/>
        <v>0.5764866666666677</v>
      </c>
      <c r="AL305" s="1431">
        <f t="shared" si="296"/>
        <v>107.19424460431657</v>
      </c>
    </row>
    <row r="306" spans="1:38" s="1502" customFormat="1" ht="27.75" hidden="1" customHeight="1">
      <c r="A306" s="1499">
        <v>73</v>
      </c>
      <c r="B306" s="764" t="s">
        <v>2770</v>
      </c>
      <c r="C306" s="1455">
        <f t="shared" si="288"/>
        <v>10</v>
      </c>
      <c r="D306" s="1455">
        <v>10</v>
      </c>
      <c r="E306" s="1455"/>
      <c r="F306" s="1455">
        <v>10</v>
      </c>
      <c r="G306" s="1614">
        <f t="shared" si="282"/>
        <v>76.466231030000003</v>
      </c>
      <c r="H306" s="1617">
        <f>38.09*1.39</f>
        <v>52.945100000000004</v>
      </c>
      <c r="I306" s="1614">
        <f t="shared" si="283"/>
        <v>10.213998</v>
      </c>
      <c r="J306" s="1617"/>
      <c r="K306" s="1617">
        <f>2.2*1.39</f>
        <v>3.0579999999999998</v>
      </c>
      <c r="L306" s="1617">
        <f>0.4482*1.39</f>
        <v>0.62299799999999994</v>
      </c>
      <c r="M306" s="1617"/>
      <c r="N306" s="1617"/>
      <c r="O306" s="1617"/>
      <c r="P306" s="1617"/>
      <c r="Q306" s="1617"/>
      <c r="R306" s="1617"/>
      <c r="S306" s="1617">
        <f>(0.2+4.5)*1.39</f>
        <v>6.5329999999999995</v>
      </c>
      <c r="T306" s="1621">
        <f t="shared" si="297"/>
        <v>13.307133030000001</v>
      </c>
      <c r="U306" s="1614">
        <f t="shared" si="284"/>
        <v>81.967398730000014</v>
      </c>
      <c r="V306" s="1617">
        <f>38.09*1.49</f>
        <v>56.754100000000008</v>
      </c>
      <c r="W306" s="1614">
        <f t="shared" si="285"/>
        <v>10.948817999999999</v>
      </c>
      <c r="X306" s="1617"/>
      <c r="Y306" s="1617">
        <f>2.2*1.49</f>
        <v>3.278</v>
      </c>
      <c r="Z306" s="1617">
        <f>0.4482*1.49</f>
        <v>0.66781800000000002</v>
      </c>
      <c r="AA306" s="1617"/>
      <c r="AB306" s="1617"/>
      <c r="AC306" s="1617"/>
      <c r="AD306" s="1617"/>
      <c r="AE306" s="1617"/>
      <c r="AF306" s="1617"/>
      <c r="AG306" s="1617">
        <f>(0.2+4.5)*1.49</f>
        <v>7.0030000000000001</v>
      </c>
      <c r="AH306" s="1621">
        <f t="shared" si="299"/>
        <v>14.264480730000001</v>
      </c>
      <c r="AI306" s="1621">
        <f t="shared" si="286"/>
        <v>5.5011677000000105</v>
      </c>
      <c r="AJ306" s="1621">
        <f t="shared" si="287"/>
        <v>66.014012400000126</v>
      </c>
      <c r="AK306" s="1448">
        <f t="shared" si="245"/>
        <v>0.55011677000000103</v>
      </c>
      <c r="AL306" s="1431">
        <f t="shared" si="296"/>
        <v>107.19424460431657</v>
      </c>
    </row>
    <row r="307" spans="1:38" s="1437" customFormat="1" ht="31.5" customHeight="1">
      <c r="A307" s="1516" t="s">
        <v>65</v>
      </c>
      <c r="B307" s="1517" t="s">
        <v>2541</v>
      </c>
      <c r="C307" s="1518"/>
      <c r="D307" s="1518"/>
      <c r="E307" s="1518"/>
      <c r="F307" s="1518"/>
      <c r="G307" s="1614">
        <f t="shared" si="282"/>
        <v>0</v>
      </c>
      <c r="H307" s="1697"/>
      <c r="I307" s="1614">
        <f t="shared" si="283"/>
        <v>0</v>
      </c>
      <c r="J307" s="1697"/>
      <c r="K307" s="1697"/>
      <c r="L307" s="1697"/>
      <c r="M307" s="1697"/>
      <c r="N307" s="1697"/>
      <c r="O307" s="1697"/>
      <c r="P307" s="1697"/>
      <c r="Q307" s="1697"/>
      <c r="R307" s="1697"/>
      <c r="S307" s="1697"/>
      <c r="T307" s="1621">
        <f t="shared" ref="T307:T314" si="301">(H307+K307+L307)*22.5%</f>
        <v>0</v>
      </c>
      <c r="U307" s="1698">
        <f t="shared" si="284"/>
        <v>0</v>
      </c>
      <c r="V307" s="1614">
        <f>(H307/1.3)*1.39</f>
        <v>0</v>
      </c>
      <c r="W307" s="1698">
        <f t="shared" si="285"/>
        <v>0</v>
      </c>
      <c r="X307" s="1614">
        <f t="shared" ref="X307:AG307" si="302">(J307/1.3)*1.39</f>
        <v>0</v>
      </c>
      <c r="Y307" s="1614">
        <f t="shared" si="302"/>
        <v>0</v>
      </c>
      <c r="Z307" s="1614">
        <f t="shared" si="302"/>
        <v>0</v>
      </c>
      <c r="AA307" s="1614">
        <f t="shared" si="302"/>
        <v>0</v>
      </c>
      <c r="AB307" s="1614">
        <f t="shared" si="302"/>
        <v>0</v>
      </c>
      <c r="AC307" s="1614">
        <f t="shared" si="302"/>
        <v>0</v>
      </c>
      <c r="AD307" s="1614">
        <f t="shared" si="302"/>
        <v>0</v>
      </c>
      <c r="AE307" s="1614">
        <f t="shared" si="302"/>
        <v>0</v>
      </c>
      <c r="AF307" s="1614">
        <f t="shared" si="302"/>
        <v>0</v>
      </c>
      <c r="AG307" s="1614">
        <f t="shared" si="302"/>
        <v>0</v>
      </c>
      <c r="AH307" s="1614">
        <f>(V307+Y307+Z307+AF307)*23.5%</f>
        <v>0</v>
      </c>
      <c r="AI307" s="1699">
        <f t="shared" si="286"/>
        <v>0</v>
      </c>
      <c r="AJ307" s="1699">
        <f>AI307*6</f>
        <v>0</v>
      </c>
      <c r="AK307" s="1448" t="e">
        <f t="shared" si="245"/>
        <v>#DIV/0!</v>
      </c>
      <c r="AL307" s="1431" t="e">
        <f t="shared" si="296"/>
        <v>#DIV/0!</v>
      </c>
    </row>
    <row r="308" spans="1:38" s="1437" customFormat="1" ht="21" customHeight="1">
      <c r="A308" s="1516" t="s">
        <v>14</v>
      </c>
      <c r="B308" s="1517" t="s">
        <v>2542</v>
      </c>
      <c r="C308" s="1519">
        <f>C309+C311+C312</f>
        <v>0</v>
      </c>
      <c r="D308" s="1519"/>
      <c r="E308" s="1519"/>
      <c r="F308" s="1519">
        <f t="shared" ref="F308:AJ308" si="303">F309+F311+F312</f>
        <v>49</v>
      </c>
      <c r="G308" s="1700">
        <f t="shared" si="303"/>
        <v>34.055</v>
      </c>
      <c r="H308" s="1700">
        <f t="shared" si="303"/>
        <v>0</v>
      </c>
      <c r="I308" s="1700">
        <f t="shared" si="303"/>
        <v>34.055</v>
      </c>
      <c r="J308" s="1700">
        <f t="shared" si="303"/>
        <v>0</v>
      </c>
      <c r="K308" s="1700">
        <f t="shared" si="303"/>
        <v>0</v>
      </c>
      <c r="L308" s="1700">
        <f t="shared" si="303"/>
        <v>0</v>
      </c>
      <c r="M308" s="1700">
        <f t="shared" si="303"/>
        <v>0</v>
      </c>
      <c r="N308" s="1700">
        <f t="shared" si="303"/>
        <v>0</v>
      </c>
      <c r="O308" s="1700">
        <f t="shared" si="303"/>
        <v>0</v>
      </c>
      <c r="P308" s="1700">
        <f t="shared" si="303"/>
        <v>0</v>
      </c>
      <c r="Q308" s="1700">
        <f t="shared" si="303"/>
        <v>0</v>
      </c>
      <c r="R308" s="1700">
        <f t="shared" si="303"/>
        <v>0</v>
      </c>
      <c r="S308" s="1700">
        <f t="shared" si="303"/>
        <v>34.055</v>
      </c>
      <c r="T308" s="1693">
        <f t="shared" si="301"/>
        <v>0</v>
      </c>
      <c r="U308" s="1700">
        <f t="shared" si="303"/>
        <v>36.505000000000003</v>
      </c>
      <c r="V308" s="1700">
        <f t="shared" si="303"/>
        <v>0</v>
      </c>
      <c r="W308" s="1700">
        <f t="shared" si="303"/>
        <v>36.505000000000003</v>
      </c>
      <c r="X308" s="1700">
        <f t="shared" si="303"/>
        <v>0</v>
      </c>
      <c r="Y308" s="1700">
        <f t="shared" si="303"/>
        <v>0</v>
      </c>
      <c r="Z308" s="1700">
        <f t="shared" si="303"/>
        <v>0</v>
      </c>
      <c r="AA308" s="1700">
        <f t="shared" si="303"/>
        <v>0</v>
      </c>
      <c r="AB308" s="1700">
        <f t="shared" si="303"/>
        <v>0</v>
      </c>
      <c r="AC308" s="1700">
        <f t="shared" si="303"/>
        <v>0</v>
      </c>
      <c r="AD308" s="1700">
        <f t="shared" si="303"/>
        <v>0</v>
      </c>
      <c r="AE308" s="1700">
        <f t="shared" si="303"/>
        <v>0</v>
      </c>
      <c r="AF308" s="1700">
        <f t="shared" si="303"/>
        <v>0</v>
      </c>
      <c r="AG308" s="1700">
        <f t="shared" si="303"/>
        <v>36.505000000000003</v>
      </c>
      <c r="AH308" s="1700">
        <f t="shared" si="303"/>
        <v>0</v>
      </c>
      <c r="AI308" s="1700">
        <f t="shared" si="303"/>
        <v>2.4500000000000028</v>
      </c>
      <c r="AJ308" s="1700">
        <f t="shared" si="303"/>
        <v>29.400000000000034</v>
      </c>
      <c r="AK308" s="1448">
        <f t="shared" si="245"/>
        <v>5.0000000000000058E-2</v>
      </c>
      <c r="AL308" s="1431">
        <f t="shared" si="296"/>
        <v>107.19424460431655</v>
      </c>
    </row>
    <row r="309" spans="1:38" s="1502" customFormat="1" ht="21" customHeight="1">
      <c r="A309" s="1499"/>
      <c r="B309" s="1520" t="s">
        <v>2543</v>
      </c>
      <c r="C309" s="1494">
        <f>C310</f>
        <v>0</v>
      </c>
      <c r="D309" s="1494"/>
      <c r="E309" s="1494"/>
      <c r="F309" s="1494">
        <f t="shared" ref="F309:AI309" si="304">F310</f>
        <v>49</v>
      </c>
      <c r="G309" s="1674">
        <f t="shared" si="304"/>
        <v>34.055</v>
      </c>
      <c r="H309" s="1674">
        <f t="shared" si="304"/>
        <v>0</v>
      </c>
      <c r="I309" s="1674">
        <f t="shared" si="304"/>
        <v>34.055</v>
      </c>
      <c r="J309" s="1674">
        <f t="shared" si="304"/>
        <v>0</v>
      </c>
      <c r="K309" s="1674">
        <f t="shared" si="304"/>
        <v>0</v>
      </c>
      <c r="L309" s="1674">
        <f t="shared" si="304"/>
        <v>0</v>
      </c>
      <c r="M309" s="1674">
        <f t="shared" si="304"/>
        <v>0</v>
      </c>
      <c r="N309" s="1674">
        <f t="shared" si="304"/>
        <v>0</v>
      </c>
      <c r="O309" s="1674">
        <f t="shared" si="304"/>
        <v>0</v>
      </c>
      <c r="P309" s="1674">
        <f t="shared" si="304"/>
        <v>0</v>
      </c>
      <c r="Q309" s="1674">
        <f t="shared" si="304"/>
        <v>0</v>
      </c>
      <c r="R309" s="1674">
        <f t="shared" si="304"/>
        <v>0</v>
      </c>
      <c r="S309" s="1674">
        <f t="shared" si="304"/>
        <v>34.055</v>
      </c>
      <c r="T309" s="1621">
        <f t="shared" si="301"/>
        <v>0</v>
      </c>
      <c r="U309" s="1674">
        <f t="shared" si="304"/>
        <v>36.505000000000003</v>
      </c>
      <c r="V309" s="1674">
        <f t="shared" si="304"/>
        <v>0</v>
      </c>
      <c r="W309" s="1674">
        <f t="shared" si="304"/>
        <v>36.505000000000003</v>
      </c>
      <c r="X309" s="1674">
        <f t="shared" si="304"/>
        <v>0</v>
      </c>
      <c r="Y309" s="1674">
        <f t="shared" si="304"/>
        <v>0</v>
      </c>
      <c r="Z309" s="1674">
        <f t="shared" si="304"/>
        <v>0</v>
      </c>
      <c r="AA309" s="1674">
        <f t="shared" si="304"/>
        <v>0</v>
      </c>
      <c r="AB309" s="1674">
        <f t="shared" si="304"/>
        <v>0</v>
      </c>
      <c r="AC309" s="1674">
        <f t="shared" si="304"/>
        <v>0</v>
      </c>
      <c r="AD309" s="1674">
        <f t="shared" si="304"/>
        <v>0</v>
      </c>
      <c r="AE309" s="1674">
        <f t="shared" si="304"/>
        <v>0</v>
      </c>
      <c r="AF309" s="1674">
        <f t="shared" si="304"/>
        <v>0</v>
      </c>
      <c r="AG309" s="1674">
        <f t="shared" si="304"/>
        <v>36.505000000000003</v>
      </c>
      <c r="AH309" s="1674">
        <f t="shared" si="304"/>
        <v>0</v>
      </c>
      <c r="AI309" s="1674">
        <f t="shared" si="304"/>
        <v>2.4500000000000028</v>
      </c>
      <c r="AJ309" s="1621">
        <f>AI309*12</f>
        <v>29.400000000000034</v>
      </c>
      <c r="AK309" s="1448">
        <f t="shared" si="245"/>
        <v>5.0000000000000058E-2</v>
      </c>
      <c r="AL309" s="1431">
        <f t="shared" si="296"/>
        <v>107.19424460431655</v>
      </c>
    </row>
    <row r="310" spans="1:38" s="1431" customFormat="1" ht="21" hidden="1" customHeight="1">
      <c r="A310" s="1375"/>
      <c r="B310" s="1376" t="s">
        <v>2477</v>
      </c>
      <c r="C310" s="1455"/>
      <c r="D310" s="1455"/>
      <c r="E310" s="1455"/>
      <c r="F310" s="1455">
        <v>49</v>
      </c>
      <c r="G310" s="1614">
        <f>H310+I310+T310</f>
        <v>34.055</v>
      </c>
      <c r="H310" s="1617"/>
      <c r="I310" s="1614">
        <f>SUM(J310:S310)</f>
        <v>34.055</v>
      </c>
      <c r="J310" s="1617"/>
      <c r="K310" s="1617"/>
      <c r="L310" s="1617"/>
      <c r="M310" s="1617"/>
      <c r="N310" s="1617"/>
      <c r="O310" s="1617"/>
      <c r="P310" s="1617"/>
      <c r="Q310" s="1617"/>
      <c r="R310" s="1617"/>
      <c r="S310" s="1617">
        <f>F310*0.5*1.39</f>
        <v>34.055</v>
      </c>
      <c r="T310" s="1621">
        <f t="shared" si="301"/>
        <v>0</v>
      </c>
      <c r="U310" s="1614">
        <f>V310+W310+AH310</f>
        <v>36.505000000000003</v>
      </c>
      <c r="V310" s="1617"/>
      <c r="W310" s="1614">
        <f>SUM(X310:AG310)</f>
        <v>36.505000000000003</v>
      </c>
      <c r="X310" s="1617"/>
      <c r="Y310" s="1617"/>
      <c r="Z310" s="1617"/>
      <c r="AA310" s="1617"/>
      <c r="AB310" s="1617"/>
      <c r="AC310" s="1617"/>
      <c r="AD310" s="1617"/>
      <c r="AE310" s="1617"/>
      <c r="AF310" s="1617"/>
      <c r="AG310" s="1617">
        <f>F310*0.5*1.49</f>
        <v>36.505000000000003</v>
      </c>
      <c r="AH310" s="1621">
        <f>(V310+Y310+Z310)*22.5%</f>
        <v>0</v>
      </c>
      <c r="AI310" s="1621">
        <f>U310-G310</f>
        <v>2.4500000000000028</v>
      </c>
      <c r="AJ310" s="1621">
        <f>AI310*12</f>
        <v>29.400000000000034</v>
      </c>
      <c r="AK310" s="1448">
        <f t="shared" si="245"/>
        <v>5.0000000000000058E-2</v>
      </c>
      <c r="AL310" s="1431">
        <f t="shared" si="296"/>
        <v>107.19424460431655</v>
      </c>
    </row>
    <row r="311" spans="1:38" s="1502" customFormat="1" ht="21" customHeight="1">
      <c r="A311" s="1499"/>
      <c r="B311" s="1520" t="s">
        <v>2544</v>
      </c>
      <c r="C311" s="1494"/>
      <c r="D311" s="1494"/>
      <c r="E311" s="1494"/>
      <c r="F311" s="1494"/>
      <c r="G311" s="1701">
        <f>H311+I311+T311</f>
        <v>0</v>
      </c>
      <c r="H311" s="1674"/>
      <c r="I311" s="1701">
        <f>SUM(J311:S311)</f>
        <v>0</v>
      </c>
      <c r="J311" s="1674"/>
      <c r="K311" s="1674"/>
      <c r="L311" s="1674"/>
      <c r="M311" s="1674"/>
      <c r="N311" s="1674"/>
      <c r="O311" s="1674"/>
      <c r="P311" s="1674"/>
      <c r="Q311" s="1674"/>
      <c r="R311" s="1674"/>
      <c r="S311" s="1702">
        <f>F311*0.4*1.3</f>
        <v>0</v>
      </c>
      <c r="T311" s="1693">
        <f t="shared" si="301"/>
        <v>0</v>
      </c>
      <c r="U311" s="1703">
        <f>V311+W311+AH311</f>
        <v>0</v>
      </c>
      <c r="V311" s="1626">
        <f>(H311/1.21)*1.3</f>
        <v>0</v>
      </c>
      <c r="W311" s="1703">
        <f>SUM(X311:AG311)</f>
        <v>0</v>
      </c>
      <c r="X311" s="1626">
        <f t="shared" ref="X311:AG312" si="305">(J311/1.3)*1.39</f>
        <v>0</v>
      </c>
      <c r="Y311" s="1626">
        <f t="shared" si="305"/>
        <v>0</v>
      </c>
      <c r="Z311" s="1626">
        <f t="shared" si="305"/>
        <v>0</v>
      </c>
      <c r="AA311" s="1626">
        <f t="shared" si="305"/>
        <v>0</v>
      </c>
      <c r="AB311" s="1626">
        <f t="shared" si="305"/>
        <v>0</v>
      </c>
      <c r="AC311" s="1626">
        <f t="shared" si="305"/>
        <v>0</v>
      </c>
      <c r="AD311" s="1626">
        <f t="shared" si="305"/>
        <v>0</v>
      </c>
      <c r="AE311" s="1626">
        <f t="shared" si="305"/>
        <v>0</v>
      </c>
      <c r="AF311" s="1626">
        <f t="shared" si="305"/>
        <v>0</v>
      </c>
      <c r="AG311" s="1626">
        <f t="shared" si="305"/>
        <v>0</v>
      </c>
      <c r="AH311" s="1626">
        <f>(V311+Y311+Z311+AF311)*23.5%</f>
        <v>0</v>
      </c>
      <c r="AI311" s="1704">
        <f>U311-G311</f>
        <v>0</v>
      </c>
      <c r="AJ311" s="1621">
        <f t="shared" ref="AJ311:AJ312" si="306">AI311*12</f>
        <v>0</v>
      </c>
      <c r="AK311" s="1448" t="e">
        <f t="shared" si="245"/>
        <v>#DIV/0!</v>
      </c>
      <c r="AL311" s="1431" t="e">
        <f t="shared" si="296"/>
        <v>#DIV/0!</v>
      </c>
    </row>
    <row r="312" spans="1:38" s="1502" customFormat="1" ht="21" customHeight="1">
      <c r="A312" s="1499"/>
      <c r="B312" s="1520" t="s">
        <v>2545</v>
      </c>
      <c r="C312" s="1494"/>
      <c r="D312" s="1494"/>
      <c r="E312" s="1494"/>
      <c r="F312" s="1494"/>
      <c r="G312" s="1701">
        <f>H312+I312+T312</f>
        <v>0</v>
      </c>
      <c r="H312" s="1674"/>
      <c r="I312" s="1701">
        <f>SUM(J312:S312)</f>
        <v>0</v>
      </c>
      <c r="J312" s="1674"/>
      <c r="K312" s="1674"/>
      <c r="L312" s="1674"/>
      <c r="M312" s="1674"/>
      <c r="N312" s="1674"/>
      <c r="O312" s="1674"/>
      <c r="P312" s="1674"/>
      <c r="Q312" s="1674"/>
      <c r="R312" s="1674"/>
      <c r="S312" s="1702">
        <f>F312*0.3*1.3</f>
        <v>0</v>
      </c>
      <c r="T312" s="1693">
        <f t="shared" si="301"/>
        <v>0</v>
      </c>
      <c r="U312" s="1703">
        <f>V312+W312+AH312</f>
        <v>0</v>
      </c>
      <c r="V312" s="1626">
        <f>(H312/1.21)*1.3</f>
        <v>0</v>
      </c>
      <c r="W312" s="1703">
        <f>SUM(X312:AG312)</f>
        <v>0</v>
      </c>
      <c r="X312" s="1626">
        <f t="shared" si="305"/>
        <v>0</v>
      </c>
      <c r="Y312" s="1626">
        <f t="shared" si="305"/>
        <v>0</v>
      </c>
      <c r="Z312" s="1626">
        <f t="shared" si="305"/>
        <v>0</v>
      </c>
      <c r="AA312" s="1626">
        <f t="shared" si="305"/>
        <v>0</v>
      </c>
      <c r="AB312" s="1626">
        <f t="shared" si="305"/>
        <v>0</v>
      </c>
      <c r="AC312" s="1626">
        <f t="shared" si="305"/>
        <v>0</v>
      </c>
      <c r="AD312" s="1626">
        <f t="shared" si="305"/>
        <v>0</v>
      </c>
      <c r="AE312" s="1626">
        <f t="shared" si="305"/>
        <v>0</v>
      </c>
      <c r="AF312" s="1626">
        <f t="shared" si="305"/>
        <v>0</v>
      </c>
      <c r="AG312" s="1626">
        <f t="shared" si="305"/>
        <v>0</v>
      </c>
      <c r="AH312" s="1626">
        <f>(V312+Y312+Z312+AF312)*23.5%</f>
        <v>0</v>
      </c>
      <c r="AI312" s="1704">
        <f>U312-G312</f>
        <v>0</v>
      </c>
      <c r="AJ312" s="1621">
        <f t="shared" si="306"/>
        <v>0</v>
      </c>
      <c r="AK312" s="1448" t="e">
        <f t="shared" si="245"/>
        <v>#DIV/0!</v>
      </c>
      <c r="AL312" s="1431" t="e">
        <f t="shared" si="296"/>
        <v>#DIV/0!</v>
      </c>
    </row>
    <row r="313" spans="1:38" s="1437" customFormat="1" ht="21" customHeight="1">
      <c r="A313" s="1516" t="s">
        <v>18</v>
      </c>
      <c r="B313" s="1517" t="s">
        <v>2546</v>
      </c>
      <c r="C313" s="1519">
        <f>C314+C349+C350</f>
        <v>0</v>
      </c>
      <c r="D313" s="1519"/>
      <c r="E313" s="1519"/>
      <c r="F313" s="1519">
        <f t="shared" ref="F313:AJ313" si="307">F314+F349+F350</f>
        <v>320</v>
      </c>
      <c r="G313" s="1700">
        <f t="shared" si="307"/>
        <v>186.67700000000002</v>
      </c>
      <c r="H313" s="1700">
        <f t="shared" si="307"/>
        <v>0</v>
      </c>
      <c r="I313" s="1700">
        <f t="shared" si="307"/>
        <v>186.67700000000002</v>
      </c>
      <c r="J313" s="1700">
        <f t="shared" si="307"/>
        <v>0</v>
      </c>
      <c r="K313" s="1700">
        <f t="shared" si="307"/>
        <v>0</v>
      </c>
      <c r="L313" s="1700">
        <f t="shared" si="307"/>
        <v>0</v>
      </c>
      <c r="M313" s="1700">
        <f t="shared" si="307"/>
        <v>0</v>
      </c>
      <c r="N313" s="1700">
        <f t="shared" si="307"/>
        <v>0</v>
      </c>
      <c r="O313" s="1700">
        <f t="shared" si="307"/>
        <v>0</v>
      </c>
      <c r="P313" s="1700">
        <f t="shared" si="307"/>
        <v>0</v>
      </c>
      <c r="Q313" s="1700">
        <f t="shared" si="307"/>
        <v>0</v>
      </c>
      <c r="R313" s="1700">
        <f t="shared" si="307"/>
        <v>0</v>
      </c>
      <c r="S313" s="1700">
        <f t="shared" si="307"/>
        <v>186.67700000000002</v>
      </c>
      <c r="T313" s="1693">
        <f t="shared" si="301"/>
        <v>0</v>
      </c>
      <c r="U313" s="1700">
        <f t="shared" si="307"/>
        <v>200.10700000000003</v>
      </c>
      <c r="V313" s="1700">
        <f t="shared" si="307"/>
        <v>0</v>
      </c>
      <c r="W313" s="1700">
        <f t="shared" si="307"/>
        <v>200.10700000000003</v>
      </c>
      <c r="X313" s="1700">
        <f t="shared" si="307"/>
        <v>0</v>
      </c>
      <c r="Y313" s="1700">
        <f t="shared" si="307"/>
        <v>0</v>
      </c>
      <c r="Z313" s="1700">
        <f t="shared" si="307"/>
        <v>0</v>
      </c>
      <c r="AA313" s="1700">
        <f t="shared" si="307"/>
        <v>0</v>
      </c>
      <c r="AB313" s="1700">
        <f t="shared" si="307"/>
        <v>0</v>
      </c>
      <c r="AC313" s="1700">
        <f t="shared" si="307"/>
        <v>0</v>
      </c>
      <c r="AD313" s="1700">
        <f t="shared" si="307"/>
        <v>0</v>
      </c>
      <c r="AE313" s="1700">
        <f t="shared" si="307"/>
        <v>0</v>
      </c>
      <c r="AF313" s="1700">
        <f t="shared" si="307"/>
        <v>0</v>
      </c>
      <c r="AG313" s="1700">
        <f t="shared" si="307"/>
        <v>200.10700000000003</v>
      </c>
      <c r="AH313" s="1700">
        <f t="shared" si="307"/>
        <v>0</v>
      </c>
      <c r="AI313" s="1700">
        <f t="shared" si="307"/>
        <v>13.430000000000012</v>
      </c>
      <c r="AJ313" s="1700">
        <f t="shared" si="307"/>
        <v>161.16000000000014</v>
      </c>
      <c r="AK313" s="1448">
        <f t="shared" si="245"/>
        <v>4.1968750000000041E-2</v>
      </c>
      <c r="AL313" s="1431">
        <f t="shared" si="296"/>
        <v>107.19424460431655</v>
      </c>
    </row>
    <row r="314" spans="1:38" s="1431" customFormat="1" ht="21" customHeight="1">
      <c r="A314" s="1375"/>
      <c r="B314" s="1376" t="s">
        <v>2547</v>
      </c>
      <c r="C314" s="1455">
        <f>C315</f>
        <v>0</v>
      </c>
      <c r="D314" s="1455"/>
      <c r="E314" s="1455"/>
      <c r="F314" s="1455">
        <f t="shared" ref="F314:AJ314" si="308">F315</f>
        <v>320</v>
      </c>
      <c r="G314" s="1617">
        <f t="shared" si="308"/>
        <v>186.67700000000002</v>
      </c>
      <c r="H314" s="1617">
        <f t="shared" si="308"/>
        <v>0</v>
      </c>
      <c r="I314" s="1617">
        <f t="shared" si="308"/>
        <v>186.67700000000002</v>
      </c>
      <c r="J314" s="1617">
        <f t="shared" si="308"/>
        <v>0</v>
      </c>
      <c r="K314" s="1617">
        <f t="shared" si="308"/>
        <v>0</v>
      </c>
      <c r="L314" s="1617">
        <f t="shared" si="308"/>
        <v>0</v>
      </c>
      <c r="M314" s="1617">
        <f t="shared" si="308"/>
        <v>0</v>
      </c>
      <c r="N314" s="1617">
        <f t="shared" si="308"/>
        <v>0</v>
      </c>
      <c r="O314" s="1617">
        <f t="shared" si="308"/>
        <v>0</v>
      </c>
      <c r="P314" s="1617">
        <f t="shared" si="308"/>
        <v>0</v>
      </c>
      <c r="Q314" s="1617">
        <f t="shared" si="308"/>
        <v>0</v>
      </c>
      <c r="R314" s="1617">
        <f t="shared" si="308"/>
        <v>0</v>
      </c>
      <c r="S314" s="1617">
        <f t="shared" si="308"/>
        <v>186.67700000000002</v>
      </c>
      <c r="T314" s="1621">
        <f t="shared" si="301"/>
        <v>0</v>
      </c>
      <c r="U314" s="1617">
        <f t="shared" si="308"/>
        <v>200.10700000000003</v>
      </c>
      <c r="V314" s="1617">
        <f t="shared" si="308"/>
        <v>0</v>
      </c>
      <c r="W314" s="1617">
        <f t="shared" si="308"/>
        <v>200.10700000000003</v>
      </c>
      <c r="X314" s="1617">
        <f t="shared" si="308"/>
        <v>0</v>
      </c>
      <c r="Y314" s="1617">
        <f t="shared" si="308"/>
        <v>0</v>
      </c>
      <c r="Z314" s="1617">
        <f t="shared" si="308"/>
        <v>0</v>
      </c>
      <c r="AA314" s="1617">
        <f t="shared" si="308"/>
        <v>0</v>
      </c>
      <c r="AB314" s="1617">
        <f t="shared" si="308"/>
        <v>0</v>
      </c>
      <c r="AC314" s="1617">
        <f t="shared" si="308"/>
        <v>0</v>
      </c>
      <c r="AD314" s="1617">
        <f t="shared" si="308"/>
        <v>0</v>
      </c>
      <c r="AE314" s="1617">
        <f t="shared" si="308"/>
        <v>0</v>
      </c>
      <c r="AF314" s="1617">
        <f t="shared" si="308"/>
        <v>0</v>
      </c>
      <c r="AG314" s="1617">
        <f t="shared" si="308"/>
        <v>200.10700000000003</v>
      </c>
      <c r="AH314" s="1617">
        <f t="shared" si="308"/>
        <v>0</v>
      </c>
      <c r="AI314" s="1617">
        <f t="shared" si="308"/>
        <v>13.430000000000012</v>
      </c>
      <c r="AJ314" s="1617">
        <f t="shared" si="308"/>
        <v>161.16000000000014</v>
      </c>
      <c r="AK314" s="1448">
        <f t="shared" si="245"/>
        <v>4.1968750000000041E-2</v>
      </c>
      <c r="AL314" s="1431">
        <f t="shared" si="296"/>
        <v>107.19424460431655</v>
      </c>
    </row>
    <row r="315" spans="1:38" s="1431" customFormat="1" ht="21" hidden="1" customHeight="1">
      <c r="A315" s="1375"/>
      <c r="B315" s="1521" t="s">
        <v>2736</v>
      </c>
      <c r="C315" s="560">
        <f>SUM(C316,C320,C338,C342)</f>
        <v>0</v>
      </c>
      <c r="D315" s="560">
        <f>SUM(D316,D320,D338,D342)</f>
        <v>0</v>
      </c>
      <c r="E315" s="560">
        <f>SUM(E316,E320,E338,E342)</f>
        <v>0</v>
      </c>
      <c r="F315" s="560">
        <f>SUM(F316,F320,F338,F342)</f>
        <v>320</v>
      </c>
      <c r="G315" s="1617">
        <f>SUM(G316,G320,G338,G342,G344,G347,G330)</f>
        <v>186.67700000000002</v>
      </c>
      <c r="H315" s="1617">
        <f t="shared" ref="H315:AI315" si="309">SUM(H316,H320,H338,H342,H344,H347,H330)</f>
        <v>0</v>
      </c>
      <c r="I315" s="1617">
        <f t="shared" si="309"/>
        <v>186.67700000000002</v>
      </c>
      <c r="J315" s="1617">
        <f t="shared" si="309"/>
        <v>0</v>
      </c>
      <c r="K315" s="1617">
        <f t="shared" si="309"/>
        <v>0</v>
      </c>
      <c r="L315" s="1617">
        <f t="shared" si="309"/>
        <v>0</v>
      </c>
      <c r="M315" s="1617">
        <f t="shared" si="309"/>
        <v>0</v>
      </c>
      <c r="N315" s="1617">
        <f t="shared" si="309"/>
        <v>0</v>
      </c>
      <c r="O315" s="1617">
        <f t="shared" si="309"/>
        <v>0</v>
      </c>
      <c r="P315" s="1617">
        <f t="shared" si="309"/>
        <v>0</v>
      </c>
      <c r="Q315" s="1617">
        <f t="shared" si="309"/>
        <v>0</v>
      </c>
      <c r="R315" s="1617">
        <f t="shared" si="309"/>
        <v>0</v>
      </c>
      <c r="S315" s="1617">
        <f t="shared" si="309"/>
        <v>186.67700000000002</v>
      </c>
      <c r="T315" s="1617">
        <f t="shared" si="309"/>
        <v>0</v>
      </c>
      <c r="U315" s="1617">
        <f t="shared" si="309"/>
        <v>200.10700000000003</v>
      </c>
      <c r="V315" s="1617">
        <f t="shared" si="309"/>
        <v>0</v>
      </c>
      <c r="W315" s="1617">
        <f t="shared" si="309"/>
        <v>200.10700000000003</v>
      </c>
      <c r="X315" s="1617">
        <f t="shared" si="309"/>
        <v>0</v>
      </c>
      <c r="Y315" s="1617">
        <f t="shared" si="309"/>
        <v>0</v>
      </c>
      <c r="Z315" s="1617">
        <f t="shared" si="309"/>
        <v>0</v>
      </c>
      <c r="AA315" s="1617">
        <f t="shared" si="309"/>
        <v>0</v>
      </c>
      <c r="AB315" s="1617">
        <f t="shared" si="309"/>
        <v>0</v>
      </c>
      <c r="AC315" s="1617">
        <f t="shared" si="309"/>
        <v>0</v>
      </c>
      <c r="AD315" s="1617">
        <f t="shared" si="309"/>
        <v>0</v>
      </c>
      <c r="AE315" s="1617">
        <f t="shared" si="309"/>
        <v>0</v>
      </c>
      <c r="AF315" s="1617">
        <f t="shared" si="309"/>
        <v>0</v>
      </c>
      <c r="AG315" s="1617">
        <f t="shared" si="309"/>
        <v>200.10700000000003</v>
      </c>
      <c r="AH315" s="1617">
        <f t="shared" si="309"/>
        <v>0</v>
      </c>
      <c r="AI315" s="1617">
        <f t="shared" si="309"/>
        <v>13.430000000000012</v>
      </c>
      <c r="AJ315" s="1621">
        <f>AI315*12</f>
        <v>161.16000000000014</v>
      </c>
      <c r="AK315" s="1448">
        <f t="shared" si="245"/>
        <v>4.1968750000000041E-2</v>
      </c>
      <c r="AL315" s="1431">
        <f t="shared" si="296"/>
        <v>107.19424460431655</v>
      </c>
    </row>
    <row r="316" spans="1:38" s="1431" customFormat="1" ht="38.25" hidden="1" customHeight="1">
      <c r="A316" s="1375"/>
      <c r="B316" s="1521" t="s">
        <v>2771</v>
      </c>
      <c r="C316" s="1455">
        <f>C317+C318+C319</f>
        <v>0</v>
      </c>
      <c r="D316" s="1455"/>
      <c r="E316" s="1455"/>
      <c r="F316" s="1455">
        <f t="shared" ref="F316:AJ316" si="310">F317+F318+F319</f>
        <v>77</v>
      </c>
      <c r="G316" s="1617">
        <f t="shared" si="310"/>
        <v>49.762</v>
      </c>
      <c r="H316" s="1617">
        <f t="shared" si="310"/>
        <v>0</v>
      </c>
      <c r="I316" s="1617">
        <f t="shared" si="310"/>
        <v>49.762</v>
      </c>
      <c r="J316" s="1617">
        <f t="shared" si="310"/>
        <v>0</v>
      </c>
      <c r="K316" s="1617">
        <f t="shared" si="310"/>
        <v>0</v>
      </c>
      <c r="L316" s="1617">
        <f t="shared" si="310"/>
        <v>0</v>
      </c>
      <c r="M316" s="1617">
        <f t="shared" si="310"/>
        <v>0</v>
      </c>
      <c r="N316" s="1617">
        <f t="shared" si="310"/>
        <v>0</v>
      </c>
      <c r="O316" s="1617">
        <f t="shared" si="310"/>
        <v>0</v>
      </c>
      <c r="P316" s="1617">
        <f t="shared" si="310"/>
        <v>0</v>
      </c>
      <c r="Q316" s="1617">
        <f t="shared" si="310"/>
        <v>0</v>
      </c>
      <c r="R316" s="1617">
        <f t="shared" si="310"/>
        <v>0</v>
      </c>
      <c r="S316" s="1617">
        <f t="shared" si="310"/>
        <v>49.762</v>
      </c>
      <c r="T316" s="1621">
        <f t="shared" ref="T316:T329" si="311">(H316+K316+L316)*22.5%</f>
        <v>0</v>
      </c>
      <c r="U316" s="1617">
        <f t="shared" si="310"/>
        <v>53.341999999999999</v>
      </c>
      <c r="V316" s="1617">
        <f t="shared" si="310"/>
        <v>0</v>
      </c>
      <c r="W316" s="1617">
        <f t="shared" si="310"/>
        <v>53.341999999999999</v>
      </c>
      <c r="X316" s="1617">
        <f t="shared" si="310"/>
        <v>0</v>
      </c>
      <c r="Y316" s="1617">
        <f t="shared" si="310"/>
        <v>0</v>
      </c>
      <c r="Z316" s="1617">
        <f t="shared" si="310"/>
        <v>0</v>
      </c>
      <c r="AA316" s="1617">
        <f t="shared" si="310"/>
        <v>0</v>
      </c>
      <c r="AB316" s="1617">
        <f t="shared" si="310"/>
        <v>0</v>
      </c>
      <c r="AC316" s="1617">
        <f t="shared" si="310"/>
        <v>0</v>
      </c>
      <c r="AD316" s="1617">
        <f t="shared" si="310"/>
        <v>0</v>
      </c>
      <c r="AE316" s="1617">
        <f t="shared" si="310"/>
        <v>0</v>
      </c>
      <c r="AF316" s="1617">
        <f t="shared" si="310"/>
        <v>0</v>
      </c>
      <c r="AG316" s="1617">
        <f t="shared" si="310"/>
        <v>53.341999999999999</v>
      </c>
      <c r="AH316" s="1617">
        <f t="shared" si="310"/>
        <v>0</v>
      </c>
      <c r="AI316" s="1617">
        <f t="shared" si="310"/>
        <v>3.5800000000000018</v>
      </c>
      <c r="AJ316" s="1617">
        <f t="shared" si="310"/>
        <v>42.960000000000022</v>
      </c>
      <c r="AK316" s="1448">
        <f t="shared" si="245"/>
        <v>4.6493506493506517E-2</v>
      </c>
      <c r="AL316" s="1431">
        <f t="shared" si="296"/>
        <v>107.19424460431655</v>
      </c>
    </row>
    <row r="317" spans="1:38" s="1502" customFormat="1" ht="21" hidden="1" customHeight="1">
      <c r="A317" s="1499"/>
      <c r="B317" s="1374" t="s">
        <v>2772</v>
      </c>
      <c r="C317" s="1455"/>
      <c r="D317" s="1455"/>
      <c r="E317" s="1455"/>
      <c r="F317" s="1455">
        <v>50</v>
      </c>
      <c r="G317" s="1614">
        <f>H317+I317+T317</f>
        <v>34.75</v>
      </c>
      <c r="H317" s="1617"/>
      <c r="I317" s="1614">
        <f>SUM(J317:S317)</f>
        <v>34.75</v>
      </c>
      <c r="J317" s="1617"/>
      <c r="K317" s="1617"/>
      <c r="L317" s="1617"/>
      <c r="M317" s="1617"/>
      <c r="N317" s="1617"/>
      <c r="O317" s="1617"/>
      <c r="P317" s="1617"/>
      <c r="Q317" s="1617"/>
      <c r="R317" s="1617"/>
      <c r="S317" s="1617">
        <f>50*0.5*1.39</f>
        <v>34.75</v>
      </c>
      <c r="T317" s="1621">
        <f t="shared" si="311"/>
        <v>0</v>
      </c>
      <c r="U317" s="1614">
        <f>V317+W317+AH317</f>
        <v>37.25</v>
      </c>
      <c r="V317" s="1617"/>
      <c r="W317" s="1614">
        <f>SUM(X317:AG317)</f>
        <v>37.25</v>
      </c>
      <c r="X317" s="1617"/>
      <c r="Y317" s="1617"/>
      <c r="Z317" s="1617"/>
      <c r="AA317" s="1617"/>
      <c r="AB317" s="1617"/>
      <c r="AC317" s="1617"/>
      <c r="AD317" s="1617"/>
      <c r="AE317" s="1617"/>
      <c r="AF317" s="1617"/>
      <c r="AG317" s="1617">
        <f>50*0.5*1.49</f>
        <v>37.25</v>
      </c>
      <c r="AH317" s="1621">
        <f>(V317+Y317+Z317)*22.5%</f>
        <v>0</v>
      </c>
      <c r="AI317" s="1621">
        <f>U317-G317</f>
        <v>2.5</v>
      </c>
      <c r="AJ317" s="1621">
        <f t="shared" ref="AJ317:AJ319" si="312">AI317*12</f>
        <v>30</v>
      </c>
      <c r="AK317" s="1448">
        <f t="shared" si="245"/>
        <v>0.05</v>
      </c>
      <c r="AL317" s="1431">
        <f t="shared" si="296"/>
        <v>107.19424460431655</v>
      </c>
    </row>
    <row r="318" spans="1:38" s="1502" customFormat="1" ht="21" hidden="1" customHeight="1">
      <c r="A318" s="1499"/>
      <c r="B318" s="1374" t="s">
        <v>2773</v>
      </c>
      <c r="C318" s="1455"/>
      <c r="D318" s="1455"/>
      <c r="E318" s="1455"/>
      <c r="F318" s="1455">
        <v>27</v>
      </c>
      <c r="G318" s="1614">
        <f>H318+I318+T318</f>
        <v>15.012</v>
      </c>
      <c r="H318" s="1617"/>
      <c r="I318" s="1614">
        <f>SUM(J318:S318)</f>
        <v>15.012</v>
      </c>
      <c r="J318" s="1617"/>
      <c r="K318" s="1617"/>
      <c r="L318" s="1617"/>
      <c r="M318" s="1617"/>
      <c r="N318" s="1617"/>
      <c r="O318" s="1617"/>
      <c r="P318" s="1617"/>
      <c r="Q318" s="1617"/>
      <c r="R318" s="1617"/>
      <c r="S318" s="1617">
        <f>27*0.4*1.39</f>
        <v>15.012</v>
      </c>
      <c r="T318" s="1621">
        <f t="shared" si="311"/>
        <v>0</v>
      </c>
      <c r="U318" s="1614">
        <f>V318+W318+AH318</f>
        <v>16.092000000000002</v>
      </c>
      <c r="V318" s="1617"/>
      <c r="W318" s="1614">
        <f>SUM(X318:AG318)</f>
        <v>16.092000000000002</v>
      </c>
      <c r="X318" s="1617"/>
      <c r="Y318" s="1617"/>
      <c r="Z318" s="1617"/>
      <c r="AA318" s="1617"/>
      <c r="AB318" s="1617"/>
      <c r="AC318" s="1617"/>
      <c r="AD318" s="1617"/>
      <c r="AE318" s="1617"/>
      <c r="AF318" s="1617"/>
      <c r="AG318" s="1617">
        <f>27*0.4*1.49</f>
        <v>16.092000000000002</v>
      </c>
      <c r="AH318" s="1621">
        <f>(V318+Y318+Z318)*22.5%</f>
        <v>0</v>
      </c>
      <c r="AI318" s="1621">
        <f>U318-G318</f>
        <v>1.0800000000000018</v>
      </c>
      <c r="AJ318" s="1621">
        <f t="shared" si="312"/>
        <v>12.960000000000022</v>
      </c>
      <c r="AK318" s="1448">
        <f t="shared" ref="AK318:AK329" si="313">AI318/F318</f>
        <v>4.000000000000007E-2</v>
      </c>
      <c r="AL318" s="1431">
        <f t="shared" si="296"/>
        <v>107.19424460431657</v>
      </c>
    </row>
    <row r="319" spans="1:38" s="1502" customFormat="1" ht="21" hidden="1" customHeight="1">
      <c r="A319" s="1499"/>
      <c r="B319" s="1374" t="s">
        <v>2774</v>
      </c>
      <c r="C319" s="1455"/>
      <c r="D319" s="1455"/>
      <c r="E319" s="1455"/>
      <c r="F319" s="1455"/>
      <c r="G319" s="1614">
        <f>H319+I319+T319</f>
        <v>0</v>
      </c>
      <c r="H319" s="1617"/>
      <c r="I319" s="1614">
        <f>SUM(J319:S319)</f>
        <v>0</v>
      </c>
      <c r="J319" s="1617"/>
      <c r="K319" s="1617"/>
      <c r="L319" s="1617"/>
      <c r="M319" s="1617"/>
      <c r="N319" s="1617"/>
      <c r="O319" s="1617"/>
      <c r="P319" s="1617"/>
      <c r="Q319" s="1617"/>
      <c r="R319" s="1617"/>
      <c r="S319" s="1617"/>
      <c r="T319" s="1621">
        <f t="shared" si="311"/>
        <v>0</v>
      </c>
      <c r="U319" s="1614">
        <f>V319+W319+AH319</f>
        <v>0</v>
      </c>
      <c r="V319" s="1617"/>
      <c r="W319" s="1614">
        <f>SUM(X319:AG319)</f>
        <v>0</v>
      </c>
      <c r="X319" s="1617"/>
      <c r="Y319" s="1617"/>
      <c r="Z319" s="1617"/>
      <c r="AA319" s="1617"/>
      <c r="AB319" s="1617"/>
      <c r="AC319" s="1617"/>
      <c r="AD319" s="1617"/>
      <c r="AE319" s="1617"/>
      <c r="AF319" s="1617"/>
      <c r="AG319" s="1617"/>
      <c r="AH319" s="1621">
        <f>(V319+Y319+Z319)*22.5%</f>
        <v>0</v>
      </c>
      <c r="AI319" s="1621">
        <f>U319-G319</f>
        <v>0</v>
      </c>
      <c r="AJ319" s="1621">
        <f t="shared" si="312"/>
        <v>0</v>
      </c>
      <c r="AK319" s="1448" t="e">
        <f t="shared" si="313"/>
        <v>#DIV/0!</v>
      </c>
      <c r="AL319" s="1431" t="e">
        <f t="shared" si="296"/>
        <v>#DIV/0!</v>
      </c>
    </row>
    <row r="320" spans="1:38" s="1431" customFormat="1" ht="35.25" hidden="1" customHeight="1">
      <c r="A320" s="1375"/>
      <c r="B320" s="1521" t="s">
        <v>2775</v>
      </c>
      <c r="C320" s="1455">
        <f>SUM(C321:C329)</f>
        <v>0</v>
      </c>
      <c r="D320" s="1455"/>
      <c r="E320" s="1455"/>
      <c r="F320" s="1455">
        <f t="shared" ref="F320:AI320" si="314">SUM(F321:F329)</f>
        <v>181</v>
      </c>
      <c r="G320" s="1617">
        <f t="shared" si="314"/>
        <v>75.477000000000004</v>
      </c>
      <c r="H320" s="1617">
        <f t="shared" si="314"/>
        <v>0</v>
      </c>
      <c r="I320" s="1617">
        <f t="shared" si="314"/>
        <v>75.477000000000004</v>
      </c>
      <c r="J320" s="1617">
        <f t="shared" si="314"/>
        <v>0</v>
      </c>
      <c r="K320" s="1617">
        <f t="shared" si="314"/>
        <v>0</v>
      </c>
      <c r="L320" s="1617">
        <f t="shared" si="314"/>
        <v>0</v>
      </c>
      <c r="M320" s="1617">
        <f t="shared" si="314"/>
        <v>0</v>
      </c>
      <c r="N320" s="1617">
        <f t="shared" si="314"/>
        <v>0</v>
      </c>
      <c r="O320" s="1617">
        <f t="shared" si="314"/>
        <v>0</v>
      </c>
      <c r="P320" s="1617">
        <f t="shared" si="314"/>
        <v>0</v>
      </c>
      <c r="Q320" s="1617">
        <f t="shared" si="314"/>
        <v>0</v>
      </c>
      <c r="R320" s="1617">
        <f t="shared" si="314"/>
        <v>0</v>
      </c>
      <c r="S320" s="1617">
        <f t="shared" si="314"/>
        <v>75.477000000000004</v>
      </c>
      <c r="T320" s="1621">
        <f t="shared" si="311"/>
        <v>0</v>
      </c>
      <c r="U320" s="1617">
        <f t="shared" si="314"/>
        <v>80.907000000000011</v>
      </c>
      <c r="V320" s="1617">
        <f t="shared" si="314"/>
        <v>0</v>
      </c>
      <c r="W320" s="1617">
        <f t="shared" si="314"/>
        <v>80.907000000000011</v>
      </c>
      <c r="X320" s="1617">
        <f t="shared" si="314"/>
        <v>0</v>
      </c>
      <c r="Y320" s="1617">
        <f t="shared" si="314"/>
        <v>0</v>
      </c>
      <c r="Z320" s="1617">
        <f t="shared" si="314"/>
        <v>0</v>
      </c>
      <c r="AA320" s="1617">
        <f t="shared" si="314"/>
        <v>0</v>
      </c>
      <c r="AB320" s="1617">
        <f t="shared" si="314"/>
        <v>0</v>
      </c>
      <c r="AC320" s="1617">
        <f t="shared" si="314"/>
        <v>0</v>
      </c>
      <c r="AD320" s="1617">
        <f t="shared" si="314"/>
        <v>0</v>
      </c>
      <c r="AE320" s="1617">
        <f t="shared" si="314"/>
        <v>0</v>
      </c>
      <c r="AF320" s="1617">
        <f t="shared" si="314"/>
        <v>0</v>
      </c>
      <c r="AG320" s="1617">
        <f t="shared" si="314"/>
        <v>80.907000000000011</v>
      </c>
      <c r="AH320" s="1617">
        <f t="shared" si="314"/>
        <v>0</v>
      </c>
      <c r="AI320" s="1617">
        <f t="shared" si="314"/>
        <v>5.4300000000000077</v>
      </c>
      <c r="AJ320" s="1617">
        <f>SUM(AJ321:AJ329)</f>
        <v>65.160000000000096</v>
      </c>
      <c r="AK320" s="1448">
        <f t="shared" si="313"/>
        <v>3.0000000000000044E-2</v>
      </c>
      <c r="AL320" s="1431">
        <f t="shared" si="296"/>
        <v>107.19424460431655</v>
      </c>
    </row>
    <row r="321" spans="1:38" s="1502" customFormat="1" ht="21" hidden="1" customHeight="1">
      <c r="A321" s="1499"/>
      <c r="B321" s="1373" t="s">
        <v>2776</v>
      </c>
      <c r="C321" s="1455"/>
      <c r="D321" s="1455"/>
      <c r="E321" s="1455"/>
      <c r="F321" s="1522">
        <v>59</v>
      </c>
      <c r="G321" s="1614">
        <f t="shared" ref="G321:G329" si="315">H321+I321+T321</f>
        <v>24.602999999999998</v>
      </c>
      <c r="H321" s="1617"/>
      <c r="I321" s="1614">
        <f t="shared" ref="I321:I329" si="316">SUM(J321:S321)</f>
        <v>24.602999999999998</v>
      </c>
      <c r="J321" s="1617"/>
      <c r="K321" s="1617"/>
      <c r="L321" s="1617"/>
      <c r="M321" s="1617"/>
      <c r="N321" s="1617"/>
      <c r="O321" s="1617"/>
      <c r="P321" s="1617"/>
      <c r="Q321" s="1617"/>
      <c r="R321" s="1617"/>
      <c r="S321" s="1617">
        <f>0.3*1.39*F321</f>
        <v>24.602999999999998</v>
      </c>
      <c r="T321" s="1621">
        <f t="shared" si="311"/>
        <v>0</v>
      </c>
      <c r="U321" s="1614">
        <f t="shared" ref="U321:U329" si="317">V321+W321+AH321</f>
        <v>26.373000000000001</v>
      </c>
      <c r="V321" s="1617"/>
      <c r="W321" s="1614">
        <f t="shared" ref="W321:W329" si="318">SUM(X321:AG321)</f>
        <v>26.373000000000001</v>
      </c>
      <c r="X321" s="1617"/>
      <c r="Y321" s="1617"/>
      <c r="Z321" s="1617"/>
      <c r="AA321" s="1617"/>
      <c r="AB321" s="1617"/>
      <c r="AC321" s="1617"/>
      <c r="AD321" s="1617"/>
      <c r="AE321" s="1617"/>
      <c r="AF321" s="1617"/>
      <c r="AG321" s="1617">
        <f>0.3*1.49*F321</f>
        <v>26.373000000000001</v>
      </c>
      <c r="AH321" s="1621"/>
      <c r="AI321" s="1621">
        <f t="shared" ref="AI321:AI329" si="319">U321-G321</f>
        <v>1.7700000000000031</v>
      </c>
      <c r="AJ321" s="1621">
        <f t="shared" ref="AJ321:AJ329" si="320">AI321*12</f>
        <v>21.240000000000038</v>
      </c>
      <c r="AK321" s="1448">
        <f t="shared" si="313"/>
        <v>3.0000000000000054E-2</v>
      </c>
      <c r="AL321" s="1431">
        <f t="shared" si="296"/>
        <v>107.19424460431657</v>
      </c>
    </row>
    <row r="322" spans="1:38" s="1502" customFormat="1" ht="21" hidden="1" customHeight="1">
      <c r="A322" s="1499"/>
      <c r="B322" s="1374" t="s">
        <v>2777</v>
      </c>
      <c r="C322" s="1455"/>
      <c r="D322" s="1455"/>
      <c r="E322" s="1455"/>
      <c r="F322" s="1522">
        <v>26</v>
      </c>
      <c r="G322" s="1614">
        <f t="shared" si="315"/>
        <v>10.841999999999999</v>
      </c>
      <c r="H322" s="1617"/>
      <c r="I322" s="1614">
        <f t="shared" si="316"/>
        <v>10.841999999999999</v>
      </c>
      <c r="J322" s="1617"/>
      <c r="K322" s="1617"/>
      <c r="L322" s="1617"/>
      <c r="M322" s="1617"/>
      <c r="N322" s="1617"/>
      <c r="O322" s="1617"/>
      <c r="P322" s="1617"/>
      <c r="Q322" s="1617"/>
      <c r="R322" s="1617"/>
      <c r="S322" s="1617">
        <f>0.3*1.39*F322</f>
        <v>10.841999999999999</v>
      </c>
      <c r="T322" s="1621">
        <f t="shared" si="311"/>
        <v>0</v>
      </c>
      <c r="U322" s="1614">
        <f t="shared" si="317"/>
        <v>11.622</v>
      </c>
      <c r="V322" s="1617"/>
      <c r="W322" s="1614">
        <f t="shared" si="318"/>
        <v>11.622</v>
      </c>
      <c r="X322" s="1617"/>
      <c r="Y322" s="1617"/>
      <c r="Z322" s="1617"/>
      <c r="AA322" s="1617"/>
      <c r="AB322" s="1617"/>
      <c r="AC322" s="1617"/>
      <c r="AD322" s="1617"/>
      <c r="AE322" s="1617"/>
      <c r="AF322" s="1617"/>
      <c r="AG322" s="1617">
        <f>0.3*1.49*F322</f>
        <v>11.622</v>
      </c>
      <c r="AH322" s="1621"/>
      <c r="AI322" s="1621">
        <f t="shared" si="319"/>
        <v>0.78000000000000114</v>
      </c>
      <c r="AJ322" s="1621">
        <f t="shared" si="320"/>
        <v>9.3600000000000136</v>
      </c>
      <c r="AK322" s="1448">
        <f t="shared" si="313"/>
        <v>3.0000000000000044E-2</v>
      </c>
      <c r="AL322" s="1431">
        <f t="shared" si="296"/>
        <v>107.19424460431657</v>
      </c>
    </row>
    <row r="323" spans="1:38" s="1502" customFormat="1" ht="21" hidden="1" customHeight="1">
      <c r="A323" s="1499"/>
      <c r="B323" s="1374" t="s">
        <v>2778</v>
      </c>
      <c r="C323" s="1455"/>
      <c r="D323" s="1455"/>
      <c r="E323" s="1455"/>
      <c r="F323" s="1455">
        <v>23</v>
      </c>
      <c r="G323" s="1614">
        <f t="shared" si="315"/>
        <v>9.5909999999999993</v>
      </c>
      <c r="H323" s="1617"/>
      <c r="I323" s="1614">
        <f t="shared" si="316"/>
        <v>9.5909999999999993</v>
      </c>
      <c r="J323" s="1617"/>
      <c r="K323" s="1617"/>
      <c r="L323" s="1617"/>
      <c r="M323" s="1617"/>
      <c r="N323" s="1617"/>
      <c r="O323" s="1617"/>
      <c r="P323" s="1617"/>
      <c r="Q323" s="1617"/>
      <c r="R323" s="1617"/>
      <c r="S323" s="1617">
        <f>0.3*1.39*F323</f>
        <v>9.5909999999999993</v>
      </c>
      <c r="T323" s="1621">
        <f t="shared" si="311"/>
        <v>0</v>
      </c>
      <c r="U323" s="1614">
        <f t="shared" si="317"/>
        <v>10.281000000000001</v>
      </c>
      <c r="V323" s="1617"/>
      <c r="W323" s="1614">
        <f t="shared" si="318"/>
        <v>10.281000000000001</v>
      </c>
      <c r="X323" s="1617"/>
      <c r="Y323" s="1617"/>
      <c r="Z323" s="1617"/>
      <c r="AA323" s="1617"/>
      <c r="AB323" s="1617"/>
      <c r="AC323" s="1617"/>
      <c r="AD323" s="1617"/>
      <c r="AE323" s="1617"/>
      <c r="AF323" s="1617"/>
      <c r="AG323" s="1617">
        <f>0.3*1.49*F323</f>
        <v>10.281000000000001</v>
      </c>
      <c r="AH323" s="1621"/>
      <c r="AI323" s="1621">
        <f t="shared" si="319"/>
        <v>0.69000000000000128</v>
      </c>
      <c r="AJ323" s="1621">
        <f t="shared" si="320"/>
        <v>8.2800000000000153</v>
      </c>
      <c r="AK323" s="1448">
        <f t="shared" si="313"/>
        <v>3.0000000000000054E-2</v>
      </c>
      <c r="AL323" s="1431">
        <f t="shared" si="296"/>
        <v>107.19424460431657</v>
      </c>
    </row>
    <row r="324" spans="1:38" s="1502" customFormat="1" ht="21" hidden="1" customHeight="1">
      <c r="A324" s="1499"/>
      <c r="B324" s="1374" t="s">
        <v>2779</v>
      </c>
      <c r="C324" s="1455"/>
      <c r="D324" s="1455"/>
      <c r="E324" s="1455"/>
      <c r="F324" s="1455">
        <v>19</v>
      </c>
      <c r="G324" s="1614">
        <f t="shared" si="315"/>
        <v>7.923</v>
      </c>
      <c r="H324" s="1617"/>
      <c r="I324" s="1614">
        <f t="shared" si="316"/>
        <v>7.923</v>
      </c>
      <c r="J324" s="1617"/>
      <c r="K324" s="1617"/>
      <c r="L324" s="1617"/>
      <c r="M324" s="1617"/>
      <c r="N324" s="1617"/>
      <c r="O324" s="1617"/>
      <c r="P324" s="1617"/>
      <c r="Q324" s="1617"/>
      <c r="R324" s="1617"/>
      <c r="S324" s="1617">
        <f>0.3*1.39*F324</f>
        <v>7.923</v>
      </c>
      <c r="T324" s="1621">
        <f t="shared" si="311"/>
        <v>0</v>
      </c>
      <c r="U324" s="1614">
        <f t="shared" si="317"/>
        <v>8.4930000000000003</v>
      </c>
      <c r="V324" s="1617"/>
      <c r="W324" s="1614">
        <f t="shared" si="318"/>
        <v>8.4930000000000003</v>
      </c>
      <c r="X324" s="1617"/>
      <c r="Y324" s="1617"/>
      <c r="Z324" s="1617"/>
      <c r="AA324" s="1617"/>
      <c r="AB324" s="1617"/>
      <c r="AC324" s="1617"/>
      <c r="AD324" s="1617"/>
      <c r="AE324" s="1617"/>
      <c r="AF324" s="1617"/>
      <c r="AG324" s="1617">
        <f>0.3*1.49*F324</f>
        <v>8.4930000000000003</v>
      </c>
      <c r="AH324" s="1621"/>
      <c r="AI324" s="1621">
        <f t="shared" si="319"/>
        <v>0.57000000000000028</v>
      </c>
      <c r="AJ324" s="1621">
        <f t="shared" si="320"/>
        <v>6.8400000000000034</v>
      </c>
      <c r="AK324" s="1448">
        <f t="shared" si="313"/>
        <v>3.0000000000000016E-2</v>
      </c>
      <c r="AL324" s="1431">
        <f t="shared" si="296"/>
        <v>107.19424460431655</v>
      </c>
    </row>
    <row r="325" spans="1:38" s="1502" customFormat="1" ht="21" hidden="1" customHeight="1">
      <c r="A325" s="1499"/>
      <c r="B325" s="1374" t="s">
        <v>2780</v>
      </c>
      <c r="C325" s="1455"/>
      <c r="D325" s="1455"/>
      <c r="E325" s="1455"/>
      <c r="F325" s="1455">
        <v>26</v>
      </c>
      <c r="G325" s="1614">
        <f t="shared" si="315"/>
        <v>10.841999999999999</v>
      </c>
      <c r="H325" s="1617"/>
      <c r="I325" s="1614">
        <f t="shared" si="316"/>
        <v>10.841999999999999</v>
      </c>
      <c r="J325" s="1617"/>
      <c r="K325" s="1617"/>
      <c r="L325" s="1617"/>
      <c r="M325" s="1617"/>
      <c r="N325" s="1617"/>
      <c r="O325" s="1617"/>
      <c r="P325" s="1617"/>
      <c r="Q325" s="1617"/>
      <c r="R325" s="1617"/>
      <c r="S325" s="1617">
        <f>0.3*1.39*F325</f>
        <v>10.841999999999999</v>
      </c>
      <c r="T325" s="1621">
        <f t="shared" si="311"/>
        <v>0</v>
      </c>
      <c r="U325" s="1614">
        <f t="shared" si="317"/>
        <v>11.622</v>
      </c>
      <c r="V325" s="1617"/>
      <c r="W325" s="1614">
        <f t="shared" si="318"/>
        <v>11.622</v>
      </c>
      <c r="X325" s="1617"/>
      <c r="Y325" s="1617"/>
      <c r="Z325" s="1617"/>
      <c r="AA325" s="1617"/>
      <c r="AB325" s="1617"/>
      <c r="AC325" s="1617"/>
      <c r="AD325" s="1617"/>
      <c r="AE325" s="1617"/>
      <c r="AF325" s="1617"/>
      <c r="AG325" s="1617">
        <f>0.3*1.49*F325</f>
        <v>11.622</v>
      </c>
      <c r="AH325" s="1621"/>
      <c r="AI325" s="1621">
        <f t="shared" si="319"/>
        <v>0.78000000000000114</v>
      </c>
      <c r="AJ325" s="1621">
        <f t="shared" si="320"/>
        <v>9.3600000000000136</v>
      </c>
      <c r="AK325" s="1448">
        <f t="shared" si="313"/>
        <v>3.0000000000000044E-2</v>
      </c>
      <c r="AL325" s="1431">
        <f t="shared" si="296"/>
        <v>107.19424460431657</v>
      </c>
    </row>
    <row r="326" spans="1:38" s="1502" customFormat="1" ht="21" hidden="1" customHeight="1">
      <c r="A326" s="1499"/>
      <c r="B326" s="1374" t="s">
        <v>2781</v>
      </c>
      <c r="C326" s="1455"/>
      <c r="D326" s="1455"/>
      <c r="E326" s="1455"/>
      <c r="F326" s="1455"/>
      <c r="G326" s="1614">
        <f t="shared" si="315"/>
        <v>0</v>
      </c>
      <c r="H326" s="1617"/>
      <c r="I326" s="1614">
        <f t="shared" si="316"/>
        <v>0</v>
      </c>
      <c r="J326" s="1617"/>
      <c r="K326" s="1617"/>
      <c r="L326" s="1617"/>
      <c r="M326" s="1617"/>
      <c r="N326" s="1617"/>
      <c r="O326" s="1617"/>
      <c r="P326" s="1617"/>
      <c r="Q326" s="1617"/>
      <c r="R326" s="1617"/>
      <c r="S326" s="1617">
        <f>0.3*1.3*F326</f>
        <v>0</v>
      </c>
      <c r="T326" s="1621">
        <f t="shared" si="311"/>
        <v>0</v>
      </c>
      <c r="U326" s="1614">
        <f t="shared" si="317"/>
        <v>0</v>
      </c>
      <c r="V326" s="1617"/>
      <c r="W326" s="1614">
        <f t="shared" si="318"/>
        <v>0</v>
      </c>
      <c r="X326" s="1617"/>
      <c r="Y326" s="1617"/>
      <c r="Z326" s="1617"/>
      <c r="AA326" s="1617"/>
      <c r="AB326" s="1617"/>
      <c r="AC326" s="1617"/>
      <c r="AD326" s="1617"/>
      <c r="AE326" s="1617"/>
      <c r="AF326" s="1617"/>
      <c r="AG326" s="1617">
        <f>0.3*1.39*F326</f>
        <v>0</v>
      </c>
      <c r="AH326" s="1621"/>
      <c r="AI326" s="1621">
        <f t="shared" si="319"/>
        <v>0</v>
      </c>
      <c r="AJ326" s="1621">
        <f t="shared" si="320"/>
        <v>0</v>
      </c>
      <c r="AK326" s="1448" t="e">
        <f t="shared" si="313"/>
        <v>#DIV/0!</v>
      </c>
      <c r="AL326" s="1431" t="e">
        <f t="shared" si="296"/>
        <v>#DIV/0!</v>
      </c>
    </row>
    <row r="327" spans="1:38" s="1502" customFormat="1" ht="21" hidden="1" customHeight="1">
      <c r="A327" s="1499"/>
      <c r="B327" s="1374" t="s">
        <v>2782</v>
      </c>
      <c r="C327" s="1455"/>
      <c r="D327" s="1455"/>
      <c r="E327" s="1455"/>
      <c r="F327" s="1455"/>
      <c r="G327" s="1614">
        <f t="shared" si="315"/>
        <v>0</v>
      </c>
      <c r="H327" s="1617"/>
      <c r="I327" s="1614">
        <f t="shared" si="316"/>
        <v>0</v>
      </c>
      <c r="J327" s="1617"/>
      <c r="K327" s="1617"/>
      <c r="L327" s="1617"/>
      <c r="M327" s="1617"/>
      <c r="N327" s="1617"/>
      <c r="O327" s="1617"/>
      <c r="P327" s="1617"/>
      <c r="Q327" s="1617"/>
      <c r="R327" s="1617"/>
      <c r="S327" s="1617">
        <f>0.3*1.3*F327</f>
        <v>0</v>
      </c>
      <c r="T327" s="1621">
        <f t="shared" si="311"/>
        <v>0</v>
      </c>
      <c r="U327" s="1614">
        <f t="shared" si="317"/>
        <v>0</v>
      </c>
      <c r="V327" s="1617"/>
      <c r="W327" s="1614">
        <f t="shared" si="318"/>
        <v>0</v>
      </c>
      <c r="X327" s="1617"/>
      <c r="Y327" s="1617"/>
      <c r="Z327" s="1617"/>
      <c r="AA327" s="1617"/>
      <c r="AB327" s="1617"/>
      <c r="AC327" s="1617"/>
      <c r="AD327" s="1617"/>
      <c r="AE327" s="1617"/>
      <c r="AF327" s="1617"/>
      <c r="AG327" s="1617">
        <f>0.3*1.39*F327</f>
        <v>0</v>
      </c>
      <c r="AH327" s="1621"/>
      <c r="AI327" s="1621">
        <f t="shared" si="319"/>
        <v>0</v>
      </c>
      <c r="AJ327" s="1621">
        <f t="shared" si="320"/>
        <v>0</v>
      </c>
      <c r="AK327" s="1448" t="e">
        <f t="shared" si="313"/>
        <v>#DIV/0!</v>
      </c>
      <c r="AL327" s="1431" t="e">
        <f t="shared" si="296"/>
        <v>#DIV/0!</v>
      </c>
    </row>
    <row r="328" spans="1:38" s="1502" customFormat="1" ht="21" hidden="1" customHeight="1">
      <c r="A328" s="1499"/>
      <c r="B328" s="1374" t="s">
        <v>2783</v>
      </c>
      <c r="C328" s="1455"/>
      <c r="D328" s="1455"/>
      <c r="E328" s="1455"/>
      <c r="F328" s="1455">
        <v>15</v>
      </c>
      <c r="G328" s="1614">
        <f t="shared" si="315"/>
        <v>6.2549999999999999</v>
      </c>
      <c r="H328" s="1617"/>
      <c r="I328" s="1614">
        <f t="shared" si="316"/>
        <v>6.2549999999999999</v>
      </c>
      <c r="J328" s="1617"/>
      <c r="K328" s="1617"/>
      <c r="L328" s="1617"/>
      <c r="M328" s="1617"/>
      <c r="N328" s="1617"/>
      <c r="O328" s="1617"/>
      <c r="P328" s="1617"/>
      <c r="Q328" s="1617"/>
      <c r="R328" s="1617"/>
      <c r="S328" s="1617">
        <f>0.3*1.39*F328</f>
        <v>6.2549999999999999</v>
      </c>
      <c r="T328" s="1621">
        <f t="shared" si="311"/>
        <v>0</v>
      </c>
      <c r="U328" s="1614">
        <f t="shared" si="317"/>
        <v>6.7050000000000001</v>
      </c>
      <c r="V328" s="1617"/>
      <c r="W328" s="1614">
        <f t="shared" si="318"/>
        <v>6.7050000000000001</v>
      </c>
      <c r="X328" s="1617"/>
      <c r="Y328" s="1617"/>
      <c r="Z328" s="1617"/>
      <c r="AA328" s="1617"/>
      <c r="AB328" s="1617"/>
      <c r="AC328" s="1617"/>
      <c r="AD328" s="1617"/>
      <c r="AE328" s="1617"/>
      <c r="AF328" s="1617"/>
      <c r="AG328" s="1617">
        <f>0.3*1.49*F328</f>
        <v>6.7050000000000001</v>
      </c>
      <c r="AH328" s="1621"/>
      <c r="AI328" s="1621">
        <f t="shared" si="319"/>
        <v>0.45000000000000018</v>
      </c>
      <c r="AJ328" s="1621">
        <f t="shared" si="320"/>
        <v>5.4000000000000021</v>
      </c>
      <c r="AK328" s="1448">
        <f t="shared" si="313"/>
        <v>3.0000000000000013E-2</v>
      </c>
      <c r="AL328" s="1431">
        <f t="shared" si="296"/>
        <v>107.19424460431655</v>
      </c>
    </row>
    <row r="329" spans="1:38" s="1502" customFormat="1" ht="21" hidden="1" customHeight="1">
      <c r="A329" s="1499"/>
      <c r="B329" s="1374" t="s">
        <v>2784</v>
      </c>
      <c r="C329" s="1455"/>
      <c r="D329" s="1455"/>
      <c r="E329" s="1455"/>
      <c r="F329" s="1455">
        <v>13</v>
      </c>
      <c r="G329" s="1614">
        <f t="shared" si="315"/>
        <v>5.4209999999999994</v>
      </c>
      <c r="H329" s="1617"/>
      <c r="I329" s="1614">
        <f t="shared" si="316"/>
        <v>5.4209999999999994</v>
      </c>
      <c r="J329" s="1617"/>
      <c r="K329" s="1617"/>
      <c r="L329" s="1617"/>
      <c r="M329" s="1617"/>
      <c r="N329" s="1617"/>
      <c r="O329" s="1617"/>
      <c r="P329" s="1617"/>
      <c r="Q329" s="1617"/>
      <c r="R329" s="1617"/>
      <c r="S329" s="1617">
        <f>0.3*1.39*F329</f>
        <v>5.4209999999999994</v>
      </c>
      <c r="T329" s="1621">
        <f t="shared" si="311"/>
        <v>0</v>
      </c>
      <c r="U329" s="1614">
        <f t="shared" si="317"/>
        <v>5.8109999999999999</v>
      </c>
      <c r="V329" s="1617"/>
      <c r="W329" s="1614">
        <f t="shared" si="318"/>
        <v>5.8109999999999999</v>
      </c>
      <c r="X329" s="1617"/>
      <c r="Y329" s="1617"/>
      <c r="Z329" s="1617"/>
      <c r="AA329" s="1617"/>
      <c r="AB329" s="1617"/>
      <c r="AC329" s="1617"/>
      <c r="AD329" s="1617"/>
      <c r="AE329" s="1617"/>
      <c r="AF329" s="1617"/>
      <c r="AG329" s="1617">
        <f>0.3*1.49*F329</f>
        <v>5.8109999999999999</v>
      </c>
      <c r="AH329" s="1621"/>
      <c r="AI329" s="1621">
        <f t="shared" si="319"/>
        <v>0.39000000000000057</v>
      </c>
      <c r="AJ329" s="1621">
        <f t="shared" si="320"/>
        <v>4.6800000000000068</v>
      </c>
      <c r="AK329" s="1448">
        <f t="shared" si="313"/>
        <v>3.0000000000000044E-2</v>
      </c>
      <c r="AL329" s="1431">
        <f t="shared" si="296"/>
        <v>107.19424460431657</v>
      </c>
    </row>
    <row r="330" spans="1:38" s="1502" customFormat="1" ht="47.25" hidden="1">
      <c r="A330" s="1499"/>
      <c r="B330" s="1373" t="s">
        <v>2785</v>
      </c>
      <c r="C330" s="1455"/>
      <c r="D330" s="1455"/>
      <c r="E330" s="1455"/>
      <c r="F330" s="1455">
        <f>SUM(F331:F337)</f>
        <v>0</v>
      </c>
      <c r="G330" s="1614">
        <f>SUM(G331:G337)</f>
        <v>0</v>
      </c>
      <c r="H330" s="1617">
        <f>SUM(H331:H337)</f>
        <v>0</v>
      </c>
      <c r="I330" s="1614">
        <f>SUM(I331:I337)</f>
        <v>0</v>
      </c>
      <c r="J330" s="1617"/>
      <c r="K330" s="1617">
        <f>SUM(K331:K337)</f>
        <v>0</v>
      </c>
      <c r="L330" s="1617">
        <f t="shared" ref="L330:S330" si="321">SUM(L331:L337)</f>
        <v>0</v>
      </c>
      <c r="M330" s="1617">
        <f t="shared" si="321"/>
        <v>0</v>
      </c>
      <c r="N330" s="1617">
        <f t="shared" si="321"/>
        <v>0</v>
      </c>
      <c r="O330" s="1617">
        <f t="shared" si="321"/>
        <v>0</v>
      </c>
      <c r="P330" s="1617">
        <f t="shared" si="321"/>
        <v>0</v>
      </c>
      <c r="Q330" s="1617">
        <f t="shared" si="321"/>
        <v>0</v>
      </c>
      <c r="R330" s="1617">
        <f t="shared" si="321"/>
        <v>0</v>
      </c>
      <c r="S330" s="1617">
        <f t="shared" si="321"/>
        <v>0</v>
      </c>
      <c r="T330" s="1621">
        <f>SUM(T331:T337)</f>
        <v>0</v>
      </c>
      <c r="U330" s="1621">
        <f>SUM(U331:U337)</f>
        <v>0</v>
      </c>
      <c r="V330" s="1617">
        <f>SUM(V331:V337)</f>
        <v>0</v>
      </c>
      <c r="W330" s="1614">
        <f>SUM(W331:W337)</f>
        <v>0</v>
      </c>
      <c r="X330" s="1617"/>
      <c r="Y330" s="1617">
        <f>SUM(Y331:Y337)</f>
        <v>0</v>
      </c>
      <c r="Z330" s="1617">
        <f t="shared" ref="Z330:AG330" si="322">SUM(Z331:Z337)</f>
        <v>0</v>
      </c>
      <c r="AA330" s="1617">
        <f t="shared" si="322"/>
        <v>0</v>
      </c>
      <c r="AB330" s="1617">
        <f t="shared" si="322"/>
        <v>0</v>
      </c>
      <c r="AC330" s="1617">
        <f t="shared" si="322"/>
        <v>0</v>
      </c>
      <c r="AD330" s="1617">
        <f t="shared" si="322"/>
        <v>0</v>
      </c>
      <c r="AE330" s="1617">
        <f t="shared" si="322"/>
        <v>0</v>
      </c>
      <c r="AF330" s="1617">
        <f t="shared" si="322"/>
        <v>0</v>
      </c>
      <c r="AG330" s="1617">
        <f t="shared" si="322"/>
        <v>0</v>
      </c>
      <c r="AH330" s="1621">
        <f>SUM(AH331:AH337)</f>
        <v>0</v>
      </c>
      <c r="AI330" s="1621">
        <f>SUM(AI331:AI337)</f>
        <v>0</v>
      </c>
      <c r="AJ330" s="1621">
        <f>AI330*6</f>
        <v>0</v>
      </c>
      <c r="AK330" s="1448"/>
      <c r="AL330" s="1431"/>
    </row>
    <row r="331" spans="1:38" s="1502" customFormat="1" ht="21" hidden="1" customHeight="1">
      <c r="A331" s="1499"/>
      <c r="B331" s="1373" t="s">
        <v>2776</v>
      </c>
      <c r="C331" s="1455"/>
      <c r="D331" s="1455"/>
      <c r="E331" s="1455"/>
      <c r="F331" s="1455"/>
      <c r="G331" s="1614">
        <f t="shared" ref="G331:G337" si="323">H331+I331+T331</f>
        <v>0</v>
      </c>
      <c r="H331" s="1617"/>
      <c r="I331" s="1614">
        <f t="shared" ref="I331:I337" si="324">SUM(J331:S331)</f>
        <v>0</v>
      </c>
      <c r="J331" s="1617"/>
      <c r="K331" s="1617"/>
      <c r="L331" s="1617"/>
      <c r="M331" s="1617"/>
      <c r="N331" s="1617"/>
      <c r="O331" s="1617"/>
      <c r="P331" s="1617"/>
      <c r="Q331" s="1617"/>
      <c r="R331" s="1617"/>
      <c r="S331" s="1617">
        <f t="shared" ref="S331:S337" si="325">0.1*1.39*F331</f>
        <v>0</v>
      </c>
      <c r="T331" s="1621">
        <f t="shared" ref="T331:T343" si="326">(H331+K331+L331)*22.5%</f>
        <v>0</v>
      </c>
      <c r="U331" s="1614">
        <f t="shared" ref="U331:U337" si="327">V331+W331+AH331</f>
        <v>0</v>
      </c>
      <c r="V331" s="1617"/>
      <c r="W331" s="1614">
        <f t="shared" ref="W331:W337" si="328">SUM(X331:AG331)</f>
        <v>0</v>
      </c>
      <c r="X331" s="1617"/>
      <c r="Y331" s="1617"/>
      <c r="Z331" s="1617"/>
      <c r="AA331" s="1617"/>
      <c r="AB331" s="1617"/>
      <c r="AC331" s="1617"/>
      <c r="AD331" s="1617"/>
      <c r="AE331" s="1617"/>
      <c r="AF331" s="1617"/>
      <c r="AG331" s="1617">
        <f t="shared" ref="AG331:AG337" si="329">0.1*1.49*F331</f>
        <v>0</v>
      </c>
      <c r="AH331" s="1621"/>
      <c r="AI331" s="1621">
        <f t="shared" ref="AI331:AI337" si="330">AG331-S331</f>
        <v>0</v>
      </c>
      <c r="AJ331" s="1621">
        <f t="shared" ref="AJ331:AJ337" si="331">AI331*12</f>
        <v>0</v>
      </c>
      <c r="AK331" s="1448"/>
      <c r="AL331" s="1431"/>
    </row>
    <row r="332" spans="1:38" s="1502" customFormat="1" ht="21" hidden="1" customHeight="1">
      <c r="A332" s="1499"/>
      <c r="B332" s="1374" t="s">
        <v>2777</v>
      </c>
      <c r="C332" s="1455"/>
      <c r="D332" s="1455"/>
      <c r="E332" s="1455"/>
      <c r="F332" s="1455"/>
      <c r="G332" s="1614">
        <f t="shared" si="323"/>
        <v>0</v>
      </c>
      <c r="H332" s="1617"/>
      <c r="I332" s="1614">
        <f t="shared" si="324"/>
        <v>0</v>
      </c>
      <c r="J332" s="1617"/>
      <c r="K332" s="1617"/>
      <c r="L332" s="1617"/>
      <c r="M332" s="1617"/>
      <c r="N332" s="1617"/>
      <c r="O332" s="1617"/>
      <c r="P332" s="1617"/>
      <c r="Q332" s="1617"/>
      <c r="R332" s="1617"/>
      <c r="S332" s="1617">
        <f t="shared" si="325"/>
        <v>0</v>
      </c>
      <c r="T332" s="1621">
        <f t="shared" si="326"/>
        <v>0</v>
      </c>
      <c r="U332" s="1614">
        <f t="shared" si="327"/>
        <v>0</v>
      </c>
      <c r="V332" s="1617"/>
      <c r="W332" s="1614">
        <f t="shared" si="328"/>
        <v>0</v>
      </c>
      <c r="X332" s="1617"/>
      <c r="Y332" s="1617"/>
      <c r="Z332" s="1617"/>
      <c r="AA332" s="1617"/>
      <c r="AB332" s="1617"/>
      <c r="AC332" s="1617"/>
      <c r="AD332" s="1617"/>
      <c r="AE332" s="1617"/>
      <c r="AF332" s="1617"/>
      <c r="AG332" s="1617">
        <f t="shared" si="329"/>
        <v>0</v>
      </c>
      <c r="AH332" s="1621"/>
      <c r="AI332" s="1621">
        <f t="shared" si="330"/>
        <v>0</v>
      </c>
      <c r="AJ332" s="1621">
        <f t="shared" si="331"/>
        <v>0</v>
      </c>
      <c r="AK332" s="1448"/>
      <c r="AL332" s="1431"/>
    </row>
    <row r="333" spans="1:38" s="1502" customFormat="1" ht="21" hidden="1" customHeight="1">
      <c r="A333" s="1499"/>
      <c r="B333" s="1374" t="s">
        <v>2778</v>
      </c>
      <c r="C333" s="1455"/>
      <c r="D333" s="1455"/>
      <c r="E333" s="1455"/>
      <c r="F333" s="1455"/>
      <c r="G333" s="1614">
        <f t="shared" si="323"/>
        <v>0</v>
      </c>
      <c r="H333" s="1617"/>
      <c r="I333" s="1614">
        <f t="shared" si="324"/>
        <v>0</v>
      </c>
      <c r="J333" s="1617"/>
      <c r="K333" s="1617"/>
      <c r="L333" s="1617"/>
      <c r="M333" s="1617"/>
      <c r="N333" s="1617"/>
      <c r="O333" s="1617"/>
      <c r="P333" s="1617"/>
      <c r="Q333" s="1617"/>
      <c r="R333" s="1617"/>
      <c r="S333" s="1617">
        <f t="shared" si="325"/>
        <v>0</v>
      </c>
      <c r="T333" s="1621">
        <f t="shared" si="326"/>
        <v>0</v>
      </c>
      <c r="U333" s="1614">
        <f t="shared" si="327"/>
        <v>0</v>
      </c>
      <c r="V333" s="1617"/>
      <c r="W333" s="1614">
        <f t="shared" si="328"/>
        <v>0</v>
      </c>
      <c r="X333" s="1617"/>
      <c r="Y333" s="1617"/>
      <c r="Z333" s="1617"/>
      <c r="AA333" s="1617"/>
      <c r="AB333" s="1617"/>
      <c r="AC333" s="1617"/>
      <c r="AD333" s="1617"/>
      <c r="AE333" s="1617"/>
      <c r="AF333" s="1617"/>
      <c r="AG333" s="1617">
        <f t="shared" si="329"/>
        <v>0</v>
      </c>
      <c r="AH333" s="1621"/>
      <c r="AI333" s="1621">
        <f t="shared" si="330"/>
        <v>0</v>
      </c>
      <c r="AJ333" s="1621">
        <f t="shared" si="331"/>
        <v>0</v>
      </c>
      <c r="AK333" s="1448"/>
      <c r="AL333" s="1431"/>
    </row>
    <row r="334" spans="1:38" s="1502" customFormat="1" ht="21" hidden="1" customHeight="1">
      <c r="A334" s="1499"/>
      <c r="B334" s="1374" t="s">
        <v>2779</v>
      </c>
      <c r="C334" s="1455"/>
      <c r="D334" s="1455"/>
      <c r="E334" s="1455"/>
      <c r="F334" s="1455"/>
      <c r="G334" s="1614">
        <f t="shared" si="323"/>
        <v>0</v>
      </c>
      <c r="H334" s="1617"/>
      <c r="I334" s="1614">
        <f t="shared" si="324"/>
        <v>0</v>
      </c>
      <c r="J334" s="1617"/>
      <c r="K334" s="1617"/>
      <c r="L334" s="1617"/>
      <c r="M334" s="1617"/>
      <c r="N334" s="1617"/>
      <c r="O334" s="1617"/>
      <c r="P334" s="1617"/>
      <c r="Q334" s="1617"/>
      <c r="R334" s="1617"/>
      <c r="S334" s="1617">
        <f t="shared" si="325"/>
        <v>0</v>
      </c>
      <c r="T334" s="1621">
        <f t="shared" si="326"/>
        <v>0</v>
      </c>
      <c r="U334" s="1614">
        <f t="shared" si="327"/>
        <v>0</v>
      </c>
      <c r="V334" s="1617"/>
      <c r="W334" s="1614">
        <f t="shared" si="328"/>
        <v>0</v>
      </c>
      <c r="X334" s="1617"/>
      <c r="Y334" s="1617"/>
      <c r="Z334" s="1617"/>
      <c r="AA334" s="1617"/>
      <c r="AB334" s="1617"/>
      <c r="AC334" s="1617"/>
      <c r="AD334" s="1617"/>
      <c r="AE334" s="1617"/>
      <c r="AF334" s="1617"/>
      <c r="AG334" s="1617">
        <f t="shared" si="329"/>
        <v>0</v>
      </c>
      <c r="AH334" s="1621"/>
      <c r="AI334" s="1621">
        <f t="shared" si="330"/>
        <v>0</v>
      </c>
      <c r="AJ334" s="1621">
        <f t="shared" si="331"/>
        <v>0</v>
      </c>
      <c r="AK334" s="1448"/>
      <c r="AL334" s="1431"/>
    </row>
    <row r="335" spans="1:38" s="1502" customFormat="1" ht="21" hidden="1" customHeight="1">
      <c r="A335" s="1499"/>
      <c r="B335" s="1374" t="s">
        <v>2783</v>
      </c>
      <c r="C335" s="1455"/>
      <c r="D335" s="1455"/>
      <c r="E335" s="1455"/>
      <c r="F335" s="1455"/>
      <c r="G335" s="1614">
        <f t="shared" si="323"/>
        <v>0</v>
      </c>
      <c r="H335" s="1617"/>
      <c r="I335" s="1614">
        <f t="shared" si="324"/>
        <v>0</v>
      </c>
      <c r="J335" s="1617"/>
      <c r="K335" s="1617"/>
      <c r="L335" s="1617"/>
      <c r="M335" s="1617"/>
      <c r="N335" s="1617"/>
      <c r="O335" s="1617"/>
      <c r="P335" s="1617"/>
      <c r="Q335" s="1617"/>
      <c r="R335" s="1617"/>
      <c r="S335" s="1617">
        <f t="shared" si="325"/>
        <v>0</v>
      </c>
      <c r="T335" s="1621">
        <f t="shared" si="326"/>
        <v>0</v>
      </c>
      <c r="U335" s="1614">
        <f t="shared" si="327"/>
        <v>0</v>
      </c>
      <c r="V335" s="1617"/>
      <c r="W335" s="1614">
        <f t="shared" si="328"/>
        <v>0</v>
      </c>
      <c r="X335" s="1617"/>
      <c r="Y335" s="1617"/>
      <c r="Z335" s="1617"/>
      <c r="AA335" s="1617"/>
      <c r="AB335" s="1617"/>
      <c r="AC335" s="1617"/>
      <c r="AD335" s="1617"/>
      <c r="AE335" s="1617"/>
      <c r="AF335" s="1617"/>
      <c r="AG335" s="1617">
        <f t="shared" si="329"/>
        <v>0</v>
      </c>
      <c r="AH335" s="1621"/>
      <c r="AI335" s="1621">
        <f t="shared" si="330"/>
        <v>0</v>
      </c>
      <c r="AJ335" s="1621">
        <f t="shared" si="331"/>
        <v>0</v>
      </c>
      <c r="AK335" s="1448"/>
      <c r="AL335" s="1431"/>
    </row>
    <row r="336" spans="1:38" s="1502" customFormat="1" ht="21" hidden="1" customHeight="1">
      <c r="A336" s="1499"/>
      <c r="B336" s="1374" t="s">
        <v>2786</v>
      </c>
      <c r="C336" s="1455"/>
      <c r="D336" s="1455"/>
      <c r="E336" s="1455"/>
      <c r="F336" s="1455"/>
      <c r="G336" s="1614">
        <f t="shared" si="323"/>
        <v>0</v>
      </c>
      <c r="H336" s="1617"/>
      <c r="I336" s="1614">
        <f t="shared" si="324"/>
        <v>0</v>
      </c>
      <c r="J336" s="1617"/>
      <c r="K336" s="1617"/>
      <c r="L336" s="1617"/>
      <c r="M336" s="1617"/>
      <c r="N336" s="1617"/>
      <c r="O336" s="1617"/>
      <c r="P336" s="1617"/>
      <c r="Q336" s="1617"/>
      <c r="R336" s="1617"/>
      <c r="S336" s="1617">
        <f t="shared" si="325"/>
        <v>0</v>
      </c>
      <c r="T336" s="1621">
        <f t="shared" si="326"/>
        <v>0</v>
      </c>
      <c r="U336" s="1614">
        <f t="shared" si="327"/>
        <v>0</v>
      </c>
      <c r="V336" s="1617"/>
      <c r="W336" s="1614">
        <f t="shared" si="328"/>
        <v>0</v>
      </c>
      <c r="X336" s="1617"/>
      <c r="Y336" s="1617"/>
      <c r="Z336" s="1617"/>
      <c r="AA336" s="1617"/>
      <c r="AB336" s="1617"/>
      <c r="AC336" s="1617"/>
      <c r="AD336" s="1617"/>
      <c r="AE336" s="1617"/>
      <c r="AF336" s="1617"/>
      <c r="AG336" s="1617">
        <f t="shared" si="329"/>
        <v>0</v>
      </c>
      <c r="AH336" s="1621"/>
      <c r="AI336" s="1621">
        <f t="shared" si="330"/>
        <v>0</v>
      </c>
      <c r="AJ336" s="1621">
        <f t="shared" si="331"/>
        <v>0</v>
      </c>
      <c r="AK336" s="1448"/>
      <c r="AL336" s="1431"/>
    </row>
    <row r="337" spans="1:38" s="1502" customFormat="1" ht="21" hidden="1" customHeight="1">
      <c r="A337" s="1499"/>
      <c r="B337" s="1374" t="s">
        <v>2787</v>
      </c>
      <c r="C337" s="1455"/>
      <c r="D337" s="1455"/>
      <c r="E337" s="1455"/>
      <c r="F337" s="1455"/>
      <c r="G337" s="1614">
        <f t="shared" si="323"/>
        <v>0</v>
      </c>
      <c r="H337" s="1617"/>
      <c r="I337" s="1614">
        <f t="shared" si="324"/>
        <v>0</v>
      </c>
      <c r="J337" s="1617"/>
      <c r="K337" s="1617"/>
      <c r="L337" s="1617"/>
      <c r="M337" s="1617"/>
      <c r="N337" s="1617"/>
      <c r="O337" s="1617"/>
      <c r="P337" s="1617"/>
      <c r="Q337" s="1617"/>
      <c r="R337" s="1617"/>
      <c r="S337" s="1617">
        <f t="shared" si="325"/>
        <v>0</v>
      </c>
      <c r="T337" s="1621">
        <f t="shared" si="326"/>
        <v>0</v>
      </c>
      <c r="U337" s="1614">
        <f t="shared" si="327"/>
        <v>0</v>
      </c>
      <c r="V337" s="1617"/>
      <c r="W337" s="1614">
        <f t="shared" si="328"/>
        <v>0</v>
      </c>
      <c r="X337" s="1617"/>
      <c r="Y337" s="1617"/>
      <c r="Z337" s="1617"/>
      <c r="AA337" s="1617"/>
      <c r="AB337" s="1617"/>
      <c r="AC337" s="1617"/>
      <c r="AD337" s="1617"/>
      <c r="AE337" s="1617"/>
      <c r="AF337" s="1617"/>
      <c r="AG337" s="1617">
        <f t="shared" si="329"/>
        <v>0</v>
      </c>
      <c r="AH337" s="1621"/>
      <c r="AI337" s="1621">
        <f t="shared" si="330"/>
        <v>0</v>
      </c>
      <c r="AJ337" s="1621">
        <f t="shared" si="331"/>
        <v>0</v>
      </c>
      <c r="AK337" s="1448"/>
      <c r="AL337" s="1431"/>
    </row>
    <row r="338" spans="1:38" s="1444" customFormat="1" ht="57.75" hidden="1" customHeight="1">
      <c r="A338" s="1375"/>
      <c r="B338" s="1521" t="s">
        <v>2788</v>
      </c>
      <c r="C338" s="1455">
        <f>SUM(C339:C341)</f>
        <v>0</v>
      </c>
      <c r="D338" s="1455"/>
      <c r="E338" s="1455"/>
      <c r="F338" s="1455">
        <f t="shared" ref="F338:AJ338" si="332">SUM(F339:F341)</f>
        <v>55</v>
      </c>
      <c r="G338" s="1617">
        <f t="shared" si="332"/>
        <v>22.24</v>
      </c>
      <c r="H338" s="1617">
        <f t="shared" si="332"/>
        <v>0</v>
      </c>
      <c r="I338" s="1617">
        <f t="shared" si="332"/>
        <v>22.24</v>
      </c>
      <c r="J338" s="1617">
        <f t="shared" si="332"/>
        <v>0</v>
      </c>
      <c r="K338" s="1617">
        <f t="shared" si="332"/>
        <v>0</v>
      </c>
      <c r="L338" s="1617">
        <f t="shared" si="332"/>
        <v>0</v>
      </c>
      <c r="M338" s="1617">
        <f t="shared" si="332"/>
        <v>0</v>
      </c>
      <c r="N338" s="1617">
        <f t="shared" si="332"/>
        <v>0</v>
      </c>
      <c r="O338" s="1617">
        <f t="shared" si="332"/>
        <v>0</v>
      </c>
      <c r="P338" s="1617">
        <f t="shared" si="332"/>
        <v>0</v>
      </c>
      <c r="Q338" s="1617">
        <f t="shared" si="332"/>
        <v>0</v>
      </c>
      <c r="R338" s="1617">
        <f t="shared" si="332"/>
        <v>0</v>
      </c>
      <c r="S338" s="1617">
        <f t="shared" si="332"/>
        <v>22.24</v>
      </c>
      <c r="T338" s="1621">
        <f t="shared" si="326"/>
        <v>0</v>
      </c>
      <c r="U338" s="1617">
        <f t="shared" si="332"/>
        <v>23.84</v>
      </c>
      <c r="V338" s="1617">
        <f t="shared" si="332"/>
        <v>0</v>
      </c>
      <c r="W338" s="1617">
        <f t="shared" si="332"/>
        <v>23.84</v>
      </c>
      <c r="X338" s="1617">
        <f t="shared" si="332"/>
        <v>0</v>
      </c>
      <c r="Y338" s="1617">
        <f t="shared" si="332"/>
        <v>0</v>
      </c>
      <c r="Z338" s="1617">
        <f t="shared" si="332"/>
        <v>0</v>
      </c>
      <c r="AA338" s="1617">
        <f t="shared" si="332"/>
        <v>0</v>
      </c>
      <c r="AB338" s="1617">
        <f t="shared" si="332"/>
        <v>0</v>
      </c>
      <c r="AC338" s="1617">
        <f t="shared" si="332"/>
        <v>0</v>
      </c>
      <c r="AD338" s="1617">
        <f t="shared" si="332"/>
        <v>0</v>
      </c>
      <c r="AE338" s="1617">
        <f t="shared" si="332"/>
        <v>0</v>
      </c>
      <c r="AF338" s="1617">
        <f t="shared" si="332"/>
        <v>0</v>
      </c>
      <c r="AG338" s="1617">
        <f t="shared" si="332"/>
        <v>23.84</v>
      </c>
      <c r="AH338" s="1617">
        <f t="shared" si="332"/>
        <v>0</v>
      </c>
      <c r="AI338" s="1617">
        <f t="shared" si="332"/>
        <v>1.6000000000000036</v>
      </c>
      <c r="AJ338" s="1617">
        <f t="shared" si="332"/>
        <v>19.200000000000045</v>
      </c>
      <c r="AK338" s="1448">
        <f t="shared" ref="AK338:AK343" si="333">AI338/F338</f>
        <v>2.9090909090909157E-2</v>
      </c>
      <c r="AL338" s="1431">
        <f t="shared" ref="AL338:AL343" si="334">U338/G338*100</f>
        <v>107.19424460431655</v>
      </c>
    </row>
    <row r="339" spans="1:38" s="1502" customFormat="1" ht="21" hidden="1" customHeight="1">
      <c r="A339" s="1499"/>
      <c r="B339" s="1374" t="s">
        <v>2789</v>
      </c>
      <c r="C339" s="1455"/>
      <c r="D339" s="1455"/>
      <c r="E339" s="1455"/>
      <c r="F339" s="1455">
        <v>50</v>
      </c>
      <c r="G339" s="1614">
        <f>H339+I339+T339</f>
        <v>20.849999999999998</v>
      </c>
      <c r="H339" s="1617"/>
      <c r="I339" s="1614">
        <f>SUM(J339:S339)</f>
        <v>20.849999999999998</v>
      </c>
      <c r="J339" s="1617"/>
      <c r="K339" s="1617"/>
      <c r="L339" s="1617"/>
      <c r="M339" s="1617"/>
      <c r="N339" s="1617"/>
      <c r="O339" s="1617"/>
      <c r="P339" s="1617"/>
      <c r="Q339" s="1617"/>
      <c r="R339" s="1617"/>
      <c r="S339" s="1617">
        <f>0.3*1.39*F339</f>
        <v>20.849999999999998</v>
      </c>
      <c r="T339" s="1621">
        <f t="shared" si="326"/>
        <v>0</v>
      </c>
      <c r="U339" s="1614">
        <f>V339+W339+AH339</f>
        <v>22.35</v>
      </c>
      <c r="V339" s="1617"/>
      <c r="W339" s="1614">
        <f>SUM(X339:AG339)</f>
        <v>22.35</v>
      </c>
      <c r="X339" s="1617"/>
      <c r="Y339" s="1617"/>
      <c r="Z339" s="1617"/>
      <c r="AA339" s="1617"/>
      <c r="AB339" s="1617"/>
      <c r="AC339" s="1617"/>
      <c r="AD339" s="1617"/>
      <c r="AE339" s="1617"/>
      <c r="AF339" s="1617"/>
      <c r="AG339" s="1617">
        <f>0.3*1.49*F339</f>
        <v>22.35</v>
      </c>
      <c r="AH339" s="1621">
        <f>(V339+Y339+Z339)*22.5%</f>
        <v>0</v>
      </c>
      <c r="AI339" s="1621">
        <f>U339-G339</f>
        <v>1.5000000000000036</v>
      </c>
      <c r="AJ339" s="1621">
        <f t="shared" ref="AJ339:AJ343" si="335">AI339*12</f>
        <v>18.000000000000043</v>
      </c>
      <c r="AK339" s="1448">
        <f t="shared" si="333"/>
        <v>3.0000000000000072E-2</v>
      </c>
      <c r="AL339" s="1431">
        <f t="shared" si="334"/>
        <v>107.19424460431657</v>
      </c>
    </row>
    <row r="340" spans="1:38" s="1502" customFormat="1" ht="21" hidden="1" customHeight="1">
      <c r="A340" s="1499"/>
      <c r="B340" s="1374" t="s">
        <v>2790</v>
      </c>
      <c r="C340" s="1455"/>
      <c r="D340" s="1455"/>
      <c r="E340" s="1455"/>
      <c r="F340" s="1455">
        <v>5</v>
      </c>
      <c r="G340" s="1614">
        <f>H340+I340+T340</f>
        <v>1.39</v>
      </c>
      <c r="H340" s="1617"/>
      <c r="I340" s="1614">
        <f>SUM(J340:S340)</f>
        <v>1.39</v>
      </c>
      <c r="J340" s="1617"/>
      <c r="K340" s="1617"/>
      <c r="L340" s="1617"/>
      <c r="M340" s="1617"/>
      <c r="N340" s="1617"/>
      <c r="O340" s="1617"/>
      <c r="P340" s="1617"/>
      <c r="Q340" s="1617"/>
      <c r="R340" s="1617"/>
      <c r="S340" s="1617">
        <f>0.2*1.39*F340</f>
        <v>1.39</v>
      </c>
      <c r="T340" s="1621">
        <f t="shared" si="326"/>
        <v>0</v>
      </c>
      <c r="U340" s="1614">
        <f>V340+W340+AH340</f>
        <v>1.49</v>
      </c>
      <c r="V340" s="1617"/>
      <c r="W340" s="1614">
        <f>SUM(X340:AG340)</f>
        <v>1.49</v>
      </c>
      <c r="X340" s="1617"/>
      <c r="Y340" s="1617"/>
      <c r="Z340" s="1617"/>
      <c r="AA340" s="1617"/>
      <c r="AB340" s="1617"/>
      <c r="AC340" s="1617"/>
      <c r="AD340" s="1617"/>
      <c r="AE340" s="1617"/>
      <c r="AF340" s="1617"/>
      <c r="AG340" s="1617">
        <f>0.2*1.49*F340</f>
        <v>1.49</v>
      </c>
      <c r="AH340" s="1621">
        <f>(V340+Y340+Z340)*22.5%</f>
        <v>0</v>
      </c>
      <c r="AI340" s="1621">
        <f>U340-G340</f>
        <v>0.10000000000000009</v>
      </c>
      <c r="AJ340" s="1621">
        <f t="shared" si="335"/>
        <v>1.2000000000000011</v>
      </c>
      <c r="AK340" s="1448">
        <f t="shared" si="333"/>
        <v>2.0000000000000018E-2</v>
      </c>
      <c r="AL340" s="1431">
        <f t="shared" si="334"/>
        <v>107.19424460431655</v>
      </c>
    </row>
    <row r="341" spans="1:38" s="1502" customFormat="1" ht="21" hidden="1" customHeight="1">
      <c r="A341" s="1499"/>
      <c r="B341" s="1374" t="s">
        <v>2791</v>
      </c>
      <c r="C341" s="1455"/>
      <c r="D341" s="1455"/>
      <c r="E341" s="1455"/>
      <c r="F341" s="1455"/>
      <c r="G341" s="1614">
        <f>H341+I341+T341</f>
        <v>0</v>
      </c>
      <c r="H341" s="1617"/>
      <c r="I341" s="1614">
        <f>SUM(J341:S341)</f>
        <v>0</v>
      </c>
      <c r="J341" s="1617"/>
      <c r="K341" s="1617"/>
      <c r="L341" s="1617"/>
      <c r="M341" s="1617"/>
      <c r="N341" s="1617"/>
      <c r="O341" s="1617"/>
      <c r="P341" s="1617"/>
      <c r="Q341" s="1617"/>
      <c r="R341" s="1617"/>
      <c r="S341" s="1617"/>
      <c r="T341" s="1621">
        <f t="shared" si="326"/>
        <v>0</v>
      </c>
      <c r="U341" s="1614">
        <f>V341+W341+AH341</f>
        <v>0</v>
      </c>
      <c r="V341" s="1617"/>
      <c r="W341" s="1614">
        <f>SUM(X341:AG341)</f>
        <v>0</v>
      </c>
      <c r="X341" s="1617"/>
      <c r="Y341" s="1617"/>
      <c r="Z341" s="1617"/>
      <c r="AA341" s="1617"/>
      <c r="AB341" s="1617"/>
      <c r="AC341" s="1617"/>
      <c r="AD341" s="1617"/>
      <c r="AE341" s="1617"/>
      <c r="AF341" s="1617"/>
      <c r="AG341" s="1617"/>
      <c r="AH341" s="1621">
        <f>(V341+Y341+Z341)*22.5%</f>
        <v>0</v>
      </c>
      <c r="AI341" s="1621">
        <f>U341-G341</f>
        <v>0</v>
      </c>
      <c r="AJ341" s="1621">
        <f t="shared" si="335"/>
        <v>0</v>
      </c>
      <c r="AK341" s="1448" t="e">
        <f t="shared" si="333"/>
        <v>#DIV/0!</v>
      </c>
      <c r="AL341" s="1431" t="e">
        <f t="shared" si="334"/>
        <v>#DIV/0!</v>
      </c>
    </row>
    <row r="342" spans="1:38" s="1502" customFormat="1" ht="31.5" hidden="1">
      <c r="A342" s="1499"/>
      <c r="B342" s="1521" t="s">
        <v>2792</v>
      </c>
      <c r="C342" s="1494">
        <f>C343</f>
        <v>0</v>
      </c>
      <c r="D342" s="1494"/>
      <c r="E342" s="1494"/>
      <c r="F342" s="1494">
        <f t="shared" ref="F342:AI342" si="336">F343</f>
        <v>7</v>
      </c>
      <c r="G342" s="1674">
        <f t="shared" si="336"/>
        <v>4.8649999999999993</v>
      </c>
      <c r="H342" s="1674">
        <f t="shared" si="336"/>
        <v>0</v>
      </c>
      <c r="I342" s="1674">
        <f t="shared" si="336"/>
        <v>4.8649999999999993</v>
      </c>
      <c r="J342" s="1674">
        <f t="shared" si="336"/>
        <v>0</v>
      </c>
      <c r="K342" s="1674">
        <f t="shared" si="336"/>
        <v>0</v>
      </c>
      <c r="L342" s="1674">
        <f t="shared" si="336"/>
        <v>0</v>
      </c>
      <c r="M342" s="1674">
        <f t="shared" si="336"/>
        <v>0</v>
      </c>
      <c r="N342" s="1674">
        <f t="shared" si="336"/>
        <v>0</v>
      </c>
      <c r="O342" s="1674">
        <f t="shared" si="336"/>
        <v>0</v>
      </c>
      <c r="P342" s="1674">
        <f t="shared" si="336"/>
        <v>0</v>
      </c>
      <c r="Q342" s="1674">
        <f t="shared" si="336"/>
        <v>0</v>
      </c>
      <c r="R342" s="1674">
        <f t="shared" si="336"/>
        <v>0</v>
      </c>
      <c r="S342" s="1674">
        <f t="shared" si="336"/>
        <v>4.8649999999999993</v>
      </c>
      <c r="T342" s="1621">
        <f t="shared" si="326"/>
        <v>0</v>
      </c>
      <c r="U342" s="1674">
        <f t="shared" si="336"/>
        <v>5.2149999999999999</v>
      </c>
      <c r="V342" s="1674">
        <f t="shared" si="336"/>
        <v>0</v>
      </c>
      <c r="W342" s="1674">
        <f t="shared" si="336"/>
        <v>5.2149999999999999</v>
      </c>
      <c r="X342" s="1674">
        <f t="shared" si="336"/>
        <v>0</v>
      </c>
      <c r="Y342" s="1674">
        <f t="shared" si="336"/>
        <v>0</v>
      </c>
      <c r="Z342" s="1674">
        <f t="shared" si="336"/>
        <v>0</v>
      </c>
      <c r="AA342" s="1674">
        <f t="shared" si="336"/>
        <v>0</v>
      </c>
      <c r="AB342" s="1674">
        <f t="shared" si="336"/>
        <v>0</v>
      </c>
      <c r="AC342" s="1674">
        <f t="shared" si="336"/>
        <v>0</v>
      </c>
      <c r="AD342" s="1674">
        <f t="shared" si="336"/>
        <v>0</v>
      </c>
      <c r="AE342" s="1674">
        <f t="shared" si="336"/>
        <v>0</v>
      </c>
      <c r="AF342" s="1674">
        <f t="shared" si="336"/>
        <v>0</v>
      </c>
      <c r="AG342" s="1674">
        <f t="shared" si="336"/>
        <v>5.2149999999999999</v>
      </c>
      <c r="AH342" s="1674">
        <f t="shared" si="336"/>
        <v>0</v>
      </c>
      <c r="AI342" s="1674">
        <f t="shared" si="336"/>
        <v>0.35000000000000053</v>
      </c>
      <c r="AJ342" s="1621">
        <f t="shared" si="335"/>
        <v>4.2000000000000064</v>
      </c>
      <c r="AK342" s="1448">
        <f t="shared" si="333"/>
        <v>5.0000000000000079E-2</v>
      </c>
      <c r="AL342" s="1431">
        <f t="shared" si="334"/>
        <v>107.19424460431657</v>
      </c>
    </row>
    <row r="343" spans="1:38" s="1502" customFormat="1" ht="21" hidden="1" customHeight="1">
      <c r="A343" s="1499"/>
      <c r="B343" s="1373" t="s">
        <v>2793</v>
      </c>
      <c r="C343" s="1455"/>
      <c r="D343" s="1455"/>
      <c r="E343" s="1455"/>
      <c r="F343" s="1455">
        <v>7</v>
      </c>
      <c r="G343" s="1614">
        <f>H343+I343+T343</f>
        <v>4.8649999999999993</v>
      </c>
      <c r="H343" s="1617"/>
      <c r="I343" s="1614">
        <f>SUM(J343:S343)</f>
        <v>4.8649999999999993</v>
      </c>
      <c r="J343" s="1617"/>
      <c r="K343" s="1617"/>
      <c r="L343" s="1617"/>
      <c r="M343" s="1617"/>
      <c r="N343" s="1617"/>
      <c r="O343" s="1617"/>
      <c r="P343" s="1617"/>
      <c r="Q343" s="1617"/>
      <c r="R343" s="1617"/>
      <c r="S343" s="1617">
        <f>0.5*1.39*F343</f>
        <v>4.8649999999999993</v>
      </c>
      <c r="T343" s="1621">
        <f t="shared" si="326"/>
        <v>0</v>
      </c>
      <c r="U343" s="1614">
        <f>V343+W343+AH343</f>
        <v>5.2149999999999999</v>
      </c>
      <c r="V343" s="1617"/>
      <c r="W343" s="1614">
        <f>SUM(X343:AG343)</f>
        <v>5.2149999999999999</v>
      </c>
      <c r="X343" s="1617"/>
      <c r="Y343" s="1617"/>
      <c r="Z343" s="1617"/>
      <c r="AA343" s="1617"/>
      <c r="AB343" s="1617"/>
      <c r="AC343" s="1617"/>
      <c r="AD343" s="1617"/>
      <c r="AE343" s="1617"/>
      <c r="AF343" s="1617"/>
      <c r="AG343" s="1617">
        <f>0.5*1.49*F343</f>
        <v>5.2149999999999999</v>
      </c>
      <c r="AH343" s="1621"/>
      <c r="AI343" s="1621">
        <f>U343-G343</f>
        <v>0.35000000000000053</v>
      </c>
      <c r="AJ343" s="1621">
        <f t="shared" si="335"/>
        <v>4.2000000000000064</v>
      </c>
      <c r="AK343" s="1448">
        <f t="shared" si="333"/>
        <v>5.0000000000000079E-2</v>
      </c>
      <c r="AL343" s="1431">
        <f t="shared" si="334"/>
        <v>107.19424460431657</v>
      </c>
    </row>
    <row r="344" spans="1:38" s="1502" customFormat="1" ht="21" hidden="1" customHeight="1">
      <c r="A344" s="1499"/>
      <c r="B344" s="1373" t="s">
        <v>3443</v>
      </c>
      <c r="C344" s="1455"/>
      <c r="D344" s="1455"/>
      <c r="E344" s="1455"/>
      <c r="F344" s="1455">
        <f>F345+F346</f>
        <v>52</v>
      </c>
      <c r="G344" s="1614">
        <f>G345+G346</f>
        <v>20.571999999999999</v>
      </c>
      <c r="H344" s="1617">
        <f>H345+H346</f>
        <v>0</v>
      </c>
      <c r="I344" s="1614">
        <f>I345+I346</f>
        <v>20.571999999999999</v>
      </c>
      <c r="J344" s="1617"/>
      <c r="K344" s="1617">
        <f>K345+K346</f>
        <v>0</v>
      </c>
      <c r="L344" s="1617">
        <f t="shared" ref="L344:S344" si="337">L345+L346</f>
        <v>0</v>
      </c>
      <c r="M344" s="1617">
        <f t="shared" si="337"/>
        <v>0</v>
      </c>
      <c r="N344" s="1617">
        <f t="shared" si="337"/>
        <v>0</v>
      </c>
      <c r="O344" s="1617">
        <f t="shared" si="337"/>
        <v>0</v>
      </c>
      <c r="P344" s="1617">
        <f t="shared" si="337"/>
        <v>0</v>
      </c>
      <c r="Q344" s="1617">
        <f t="shared" si="337"/>
        <v>0</v>
      </c>
      <c r="R344" s="1617">
        <f t="shared" si="337"/>
        <v>0</v>
      </c>
      <c r="S344" s="1617">
        <f t="shared" si="337"/>
        <v>20.571999999999999</v>
      </c>
      <c r="T344" s="1621"/>
      <c r="U344" s="1614">
        <f>U345+U346</f>
        <v>22.052</v>
      </c>
      <c r="V344" s="1617">
        <f>V345+V346</f>
        <v>0</v>
      </c>
      <c r="W344" s="1614">
        <f>W345+W346</f>
        <v>22.052</v>
      </c>
      <c r="X344" s="1617"/>
      <c r="Y344" s="1617">
        <f>Y345+Y346</f>
        <v>0</v>
      </c>
      <c r="Z344" s="1617">
        <f t="shared" ref="Z344:AG344" si="338">Z345+Z346</f>
        <v>0</v>
      </c>
      <c r="AA344" s="1617">
        <f t="shared" si="338"/>
        <v>0</v>
      </c>
      <c r="AB344" s="1617">
        <f t="shared" si="338"/>
        <v>0</v>
      </c>
      <c r="AC344" s="1617">
        <f t="shared" si="338"/>
        <v>0</v>
      </c>
      <c r="AD344" s="1617">
        <f t="shared" si="338"/>
        <v>0</v>
      </c>
      <c r="AE344" s="1617">
        <f t="shared" si="338"/>
        <v>0</v>
      </c>
      <c r="AF344" s="1617">
        <f t="shared" si="338"/>
        <v>0</v>
      </c>
      <c r="AG344" s="1617">
        <f t="shared" si="338"/>
        <v>22.052</v>
      </c>
      <c r="AH344" s="1621"/>
      <c r="AI344" s="1621">
        <f>AI345+AI346</f>
        <v>1.4800000000000004</v>
      </c>
      <c r="AJ344" s="1621">
        <f>AI344*12</f>
        <v>17.760000000000005</v>
      </c>
      <c r="AK344" s="1448"/>
      <c r="AL344" s="1431"/>
    </row>
    <row r="345" spans="1:38" s="1502" customFormat="1" ht="21" hidden="1" customHeight="1">
      <c r="A345" s="1499"/>
      <c r="B345" s="1373" t="s">
        <v>2794</v>
      </c>
      <c r="C345" s="1455"/>
      <c r="D345" s="1455"/>
      <c r="E345" s="1455"/>
      <c r="F345" s="1455">
        <v>32</v>
      </c>
      <c r="G345" s="1614">
        <f>H345+I345+T345</f>
        <v>12.51</v>
      </c>
      <c r="H345" s="1617"/>
      <c r="I345" s="1614">
        <f>SUM(J345:S345)</f>
        <v>12.51</v>
      </c>
      <c r="J345" s="1617"/>
      <c r="K345" s="1617"/>
      <c r="L345" s="1617"/>
      <c r="M345" s="1617"/>
      <c r="N345" s="1617"/>
      <c r="O345" s="1617"/>
      <c r="P345" s="1617"/>
      <c r="Q345" s="1617"/>
      <c r="R345" s="1617"/>
      <c r="S345" s="1617">
        <f>(0.5*2+0.4*1+0.3*18+0.2*11)*1.39</f>
        <v>12.51</v>
      </c>
      <c r="T345" s="1621"/>
      <c r="U345" s="1614">
        <f>V345+W345+AH345</f>
        <v>13.41</v>
      </c>
      <c r="V345" s="1617"/>
      <c r="W345" s="1614">
        <f>SUM(X345:AG345)</f>
        <v>13.41</v>
      </c>
      <c r="X345" s="1617"/>
      <c r="Y345" s="1617"/>
      <c r="Z345" s="1617"/>
      <c r="AA345" s="1617"/>
      <c r="AB345" s="1617"/>
      <c r="AC345" s="1617"/>
      <c r="AD345" s="1617"/>
      <c r="AE345" s="1617"/>
      <c r="AF345" s="1617"/>
      <c r="AG345" s="1617">
        <f>(0.5*2+0.4*1+0.3*18+0.2*11)*1.49</f>
        <v>13.41</v>
      </c>
      <c r="AH345" s="1621"/>
      <c r="AI345" s="1621">
        <f>U345-G345</f>
        <v>0.90000000000000036</v>
      </c>
      <c r="AJ345" s="1621">
        <f t="shared" ref="AJ345:AJ346" si="339">AI345*12</f>
        <v>10.800000000000004</v>
      </c>
      <c r="AK345" s="1448"/>
      <c r="AL345" s="1431"/>
    </row>
    <row r="346" spans="1:38" s="1502" customFormat="1" ht="21" hidden="1" customHeight="1">
      <c r="A346" s="1499"/>
      <c r="B346" s="1373" t="s">
        <v>2790</v>
      </c>
      <c r="C346" s="1455"/>
      <c r="D346" s="1455"/>
      <c r="E346" s="1455"/>
      <c r="F346" s="1455">
        <v>20</v>
      </c>
      <c r="G346" s="1614">
        <f>H346+I346+T346</f>
        <v>8.0619999999999994</v>
      </c>
      <c r="H346" s="1617"/>
      <c r="I346" s="1614">
        <f>SUM(J346:S346)</f>
        <v>8.0619999999999994</v>
      </c>
      <c r="J346" s="1617"/>
      <c r="K346" s="1617"/>
      <c r="L346" s="1617"/>
      <c r="M346" s="1617"/>
      <c r="N346" s="1617"/>
      <c r="O346" s="1617"/>
      <c r="P346" s="1617"/>
      <c r="Q346" s="1617"/>
      <c r="R346" s="1617"/>
      <c r="S346" s="1617">
        <f>(0.5+0.4+12*0.3+0.3+0.2*5)*1.39</f>
        <v>8.0619999999999994</v>
      </c>
      <c r="T346" s="1621"/>
      <c r="U346" s="1614">
        <f>V346+W346+AH346</f>
        <v>8.6419999999999995</v>
      </c>
      <c r="V346" s="1617"/>
      <c r="W346" s="1614">
        <f>SUM(X346:AG346)</f>
        <v>8.6419999999999995</v>
      </c>
      <c r="X346" s="1617"/>
      <c r="Y346" s="1617"/>
      <c r="Z346" s="1617"/>
      <c r="AA346" s="1617"/>
      <c r="AB346" s="1617"/>
      <c r="AC346" s="1617"/>
      <c r="AD346" s="1617"/>
      <c r="AE346" s="1617"/>
      <c r="AF346" s="1617"/>
      <c r="AG346" s="1617">
        <f>(0.5+0.4+12*0.3+0.3+0.2*5)*1.49</f>
        <v>8.6419999999999995</v>
      </c>
      <c r="AH346" s="1621"/>
      <c r="AI346" s="1621">
        <f>U346-G346</f>
        <v>0.58000000000000007</v>
      </c>
      <c r="AJ346" s="1621">
        <f t="shared" si="339"/>
        <v>6.9600000000000009</v>
      </c>
      <c r="AK346" s="1448"/>
      <c r="AL346" s="1431"/>
    </row>
    <row r="347" spans="1:38" s="1502" customFormat="1" ht="21" hidden="1" customHeight="1">
      <c r="A347" s="1499"/>
      <c r="B347" s="1373" t="s">
        <v>2795</v>
      </c>
      <c r="C347" s="1455"/>
      <c r="D347" s="1455"/>
      <c r="E347" s="1455"/>
      <c r="F347" s="1455">
        <f>F348</f>
        <v>33</v>
      </c>
      <c r="G347" s="1614">
        <f>G348</f>
        <v>13.760999999999999</v>
      </c>
      <c r="H347" s="1617">
        <f>H348</f>
        <v>0</v>
      </c>
      <c r="I347" s="1614">
        <f>I348</f>
        <v>13.760999999999999</v>
      </c>
      <c r="J347" s="1617"/>
      <c r="K347" s="1617">
        <f>K348</f>
        <v>0</v>
      </c>
      <c r="L347" s="1617">
        <f t="shared" ref="L347:S347" si="340">L348</f>
        <v>0</v>
      </c>
      <c r="M347" s="1617">
        <f t="shared" si="340"/>
        <v>0</v>
      </c>
      <c r="N347" s="1617">
        <f t="shared" si="340"/>
        <v>0</v>
      </c>
      <c r="O347" s="1617">
        <f t="shared" si="340"/>
        <v>0</v>
      </c>
      <c r="P347" s="1617">
        <f t="shared" si="340"/>
        <v>0</v>
      </c>
      <c r="Q347" s="1617">
        <f t="shared" si="340"/>
        <v>0</v>
      </c>
      <c r="R347" s="1617">
        <f t="shared" si="340"/>
        <v>0</v>
      </c>
      <c r="S347" s="1617">
        <f t="shared" si="340"/>
        <v>13.760999999999999</v>
      </c>
      <c r="T347" s="1621"/>
      <c r="U347" s="1614">
        <f>U348</f>
        <v>14.750999999999999</v>
      </c>
      <c r="V347" s="1617">
        <f>V348</f>
        <v>0</v>
      </c>
      <c r="W347" s="1614">
        <f>W348</f>
        <v>14.750999999999999</v>
      </c>
      <c r="X347" s="1617"/>
      <c r="Y347" s="1617">
        <f>Y348</f>
        <v>0</v>
      </c>
      <c r="Z347" s="1617">
        <f t="shared" ref="Z347:AG347" si="341">Z348</f>
        <v>0</v>
      </c>
      <c r="AA347" s="1617">
        <f t="shared" si="341"/>
        <v>0</v>
      </c>
      <c r="AB347" s="1617">
        <f t="shared" si="341"/>
        <v>0</v>
      </c>
      <c r="AC347" s="1617">
        <f t="shared" si="341"/>
        <v>0</v>
      </c>
      <c r="AD347" s="1617">
        <f t="shared" si="341"/>
        <v>0</v>
      </c>
      <c r="AE347" s="1617">
        <f t="shared" si="341"/>
        <v>0</v>
      </c>
      <c r="AF347" s="1617">
        <f t="shared" si="341"/>
        <v>0</v>
      </c>
      <c r="AG347" s="1617">
        <f t="shared" si="341"/>
        <v>14.750999999999999</v>
      </c>
      <c r="AH347" s="1621">
        <f>AH348</f>
        <v>0</v>
      </c>
      <c r="AI347" s="1621">
        <f>AI348</f>
        <v>0.99000000000000021</v>
      </c>
      <c r="AJ347" s="1621">
        <f>AJ348</f>
        <v>11.880000000000003</v>
      </c>
      <c r="AK347" s="1448"/>
      <c r="AL347" s="1431"/>
    </row>
    <row r="348" spans="1:38" s="1502" customFormat="1" ht="21" hidden="1" customHeight="1">
      <c r="A348" s="1499"/>
      <c r="B348" s="1373" t="s">
        <v>2794</v>
      </c>
      <c r="C348" s="1455"/>
      <c r="D348" s="1455"/>
      <c r="E348" s="1455"/>
      <c r="F348" s="1455">
        <v>33</v>
      </c>
      <c r="G348" s="1614">
        <f>H348+I348+T348</f>
        <v>13.760999999999999</v>
      </c>
      <c r="H348" s="1617"/>
      <c r="I348" s="1614">
        <f>SUM(J348:S348)</f>
        <v>13.760999999999999</v>
      </c>
      <c r="J348" s="1617"/>
      <c r="K348" s="1617"/>
      <c r="L348" s="1617"/>
      <c r="M348" s="1617"/>
      <c r="N348" s="1617"/>
      <c r="O348" s="1617"/>
      <c r="P348" s="1617"/>
      <c r="Q348" s="1617"/>
      <c r="R348" s="1617"/>
      <c r="S348" s="1659">
        <f>0.3*1.39*F348</f>
        <v>13.760999999999999</v>
      </c>
      <c r="T348" s="1621"/>
      <c r="U348" s="1614">
        <f>V348+W348+AH348</f>
        <v>14.750999999999999</v>
      </c>
      <c r="V348" s="1617"/>
      <c r="W348" s="1614">
        <f>SUM(X348:AG348)</f>
        <v>14.750999999999999</v>
      </c>
      <c r="X348" s="1617"/>
      <c r="Y348" s="1617"/>
      <c r="Z348" s="1617"/>
      <c r="AA348" s="1617"/>
      <c r="AB348" s="1617"/>
      <c r="AC348" s="1617"/>
      <c r="AD348" s="1617"/>
      <c r="AE348" s="1617"/>
      <c r="AF348" s="1617"/>
      <c r="AG348" s="1659">
        <f>0.3*1.49*F348</f>
        <v>14.750999999999999</v>
      </c>
      <c r="AH348" s="1621"/>
      <c r="AI348" s="1621">
        <f>U348-G348</f>
        <v>0.99000000000000021</v>
      </c>
      <c r="AJ348" s="1621">
        <f>AI348*12</f>
        <v>11.880000000000003</v>
      </c>
      <c r="AK348" s="1448"/>
      <c r="AL348" s="1431"/>
    </row>
    <row r="349" spans="1:38" s="1502" customFormat="1" ht="21" customHeight="1">
      <c r="A349" s="1499"/>
      <c r="B349" s="1520" t="s">
        <v>2548</v>
      </c>
      <c r="C349" s="1494"/>
      <c r="D349" s="1494"/>
      <c r="E349" s="1494"/>
      <c r="F349" s="1494"/>
      <c r="G349" s="1673">
        <f>H349+I349+T349</f>
        <v>0</v>
      </c>
      <c r="H349" s="1674"/>
      <c r="I349" s="1673">
        <f>SUM(J349:S349)</f>
        <v>0</v>
      </c>
      <c r="J349" s="1674"/>
      <c r="K349" s="1674"/>
      <c r="L349" s="1674"/>
      <c r="M349" s="1674"/>
      <c r="N349" s="1674"/>
      <c r="O349" s="1674"/>
      <c r="P349" s="1674"/>
      <c r="Q349" s="1674"/>
      <c r="R349" s="1674"/>
      <c r="S349" s="1674">
        <f>F349*0.4*1.3</f>
        <v>0</v>
      </c>
      <c r="T349" s="1621">
        <f>(H349+K349+L349)*22.5%</f>
        <v>0</v>
      </c>
      <c r="U349" s="1673">
        <f>V349+W349+AH349</f>
        <v>0</v>
      </c>
      <c r="V349" s="1614"/>
      <c r="W349" s="1673">
        <f>SUM(X349:AG349)</f>
        <v>0</v>
      </c>
      <c r="X349" s="1614">
        <f t="shared" ref="X349:AG350" si="342">(J349/1.3)*1.39</f>
        <v>0</v>
      </c>
      <c r="Y349" s="1614">
        <f t="shared" si="342"/>
        <v>0</v>
      </c>
      <c r="Z349" s="1614">
        <f t="shared" si="342"/>
        <v>0</v>
      </c>
      <c r="AA349" s="1614">
        <f t="shared" si="342"/>
        <v>0</v>
      </c>
      <c r="AB349" s="1614">
        <f t="shared" si="342"/>
        <v>0</v>
      </c>
      <c r="AC349" s="1614">
        <f t="shared" si="342"/>
        <v>0</v>
      </c>
      <c r="AD349" s="1614">
        <f t="shared" si="342"/>
        <v>0</v>
      </c>
      <c r="AE349" s="1614">
        <f t="shared" si="342"/>
        <v>0</v>
      </c>
      <c r="AF349" s="1614">
        <f t="shared" si="342"/>
        <v>0</v>
      </c>
      <c r="AG349" s="1614">
        <f t="shared" si="342"/>
        <v>0</v>
      </c>
      <c r="AH349" s="1614">
        <f>(V349+Y349+Z349+AF349)*23.5%</f>
        <v>0</v>
      </c>
      <c r="AI349" s="1675">
        <f>U349-G349</f>
        <v>0</v>
      </c>
      <c r="AJ349" s="1621">
        <f>AI349*12</f>
        <v>0</v>
      </c>
      <c r="AK349" s="1448" t="e">
        <f t="shared" ref="AK349:AK412" si="343">AI349/F349</f>
        <v>#DIV/0!</v>
      </c>
      <c r="AL349" s="1431" t="e">
        <f t="shared" ref="AL349:AL412" si="344">U349/G349*100</f>
        <v>#DIV/0!</v>
      </c>
    </row>
    <row r="350" spans="1:38" s="1502" customFormat="1" ht="21" customHeight="1">
      <c r="A350" s="1499"/>
      <c r="B350" s="1520" t="s">
        <v>2549</v>
      </c>
      <c r="C350" s="1494"/>
      <c r="D350" s="1494"/>
      <c r="E350" s="1494"/>
      <c r="F350" s="1494"/>
      <c r="G350" s="1673">
        <f>H350+I350+T350</f>
        <v>0</v>
      </c>
      <c r="H350" s="1674"/>
      <c r="I350" s="1673">
        <f>SUM(J350:S350)</f>
        <v>0</v>
      </c>
      <c r="J350" s="1674"/>
      <c r="K350" s="1674"/>
      <c r="L350" s="1674"/>
      <c r="M350" s="1674"/>
      <c r="N350" s="1674"/>
      <c r="O350" s="1674"/>
      <c r="P350" s="1674"/>
      <c r="Q350" s="1674"/>
      <c r="R350" s="1674"/>
      <c r="S350" s="1674">
        <f>F350*0.3*1.3</f>
        <v>0</v>
      </c>
      <c r="T350" s="1621">
        <f>(H350+K350+L350)*22.5%</f>
        <v>0</v>
      </c>
      <c r="U350" s="1673">
        <f>V350+W350+AH350</f>
        <v>0</v>
      </c>
      <c r="V350" s="1614"/>
      <c r="W350" s="1673">
        <f>SUM(X350:AG350)</f>
        <v>0</v>
      </c>
      <c r="X350" s="1614">
        <f t="shared" si="342"/>
        <v>0</v>
      </c>
      <c r="Y350" s="1614">
        <f t="shared" si="342"/>
        <v>0</v>
      </c>
      <c r="Z350" s="1614">
        <f t="shared" si="342"/>
        <v>0</v>
      </c>
      <c r="AA350" s="1614">
        <f t="shared" si="342"/>
        <v>0</v>
      </c>
      <c r="AB350" s="1614">
        <f t="shared" si="342"/>
        <v>0</v>
      </c>
      <c r="AC350" s="1614">
        <f t="shared" si="342"/>
        <v>0</v>
      </c>
      <c r="AD350" s="1614">
        <f t="shared" si="342"/>
        <v>0</v>
      </c>
      <c r="AE350" s="1614">
        <f t="shared" si="342"/>
        <v>0</v>
      </c>
      <c r="AF350" s="1614">
        <f t="shared" si="342"/>
        <v>0</v>
      </c>
      <c r="AG350" s="1614">
        <f t="shared" si="342"/>
        <v>0</v>
      </c>
      <c r="AH350" s="1614">
        <f>(V350+Y350+Z350+AF350)*23.5%</f>
        <v>0</v>
      </c>
      <c r="AI350" s="1675">
        <f>U350-G350</f>
        <v>0</v>
      </c>
      <c r="AJ350" s="1621">
        <f>AI350*12</f>
        <v>0</v>
      </c>
      <c r="AK350" s="1448" t="e">
        <f t="shared" si="343"/>
        <v>#DIV/0!</v>
      </c>
      <c r="AL350" s="1431" t="e">
        <f t="shared" si="344"/>
        <v>#DIV/0!</v>
      </c>
    </row>
    <row r="351" spans="1:38" s="1432" customFormat="1" ht="21" hidden="1" customHeight="1">
      <c r="A351" s="1427" t="s">
        <v>12</v>
      </c>
      <c r="B351" s="1428" t="s">
        <v>2895</v>
      </c>
      <c r="C351" s="1429">
        <f>C352</f>
        <v>439</v>
      </c>
      <c r="D351" s="1429">
        <f t="shared" ref="D351:AJ351" si="345">D352</f>
        <v>315</v>
      </c>
      <c r="E351" s="1429">
        <f t="shared" si="345"/>
        <v>124</v>
      </c>
      <c r="F351" s="1429">
        <f t="shared" si="345"/>
        <v>410</v>
      </c>
      <c r="G351" s="1612">
        <f t="shared" si="345"/>
        <v>1913.0940916</v>
      </c>
      <c r="H351" s="1612">
        <f t="shared" si="345"/>
        <v>1335.8177999999998</v>
      </c>
      <c r="I351" s="1612">
        <f t="shared" si="345"/>
        <v>261.43383349999999</v>
      </c>
      <c r="J351" s="1612">
        <f t="shared" si="345"/>
        <v>0</v>
      </c>
      <c r="K351" s="1612">
        <f t="shared" si="345"/>
        <v>0</v>
      </c>
      <c r="L351" s="1612">
        <f t="shared" si="345"/>
        <v>8.1926600000000001</v>
      </c>
      <c r="M351" s="1612">
        <f t="shared" si="345"/>
        <v>51.388554999999997</v>
      </c>
      <c r="N351" s="1612">
        <f t="shared" si="345"/>
        <v>83.378315999999984</v>
      </c>
      <c r="O351" s="1612">
        <f t="shared" si="345"/>
        <v>0</v>
      </c>
      <c r="P351" s="1612">
        <f t="shared" si="345"/>
        <v>105.23101649999998</v>
      </c>
      <c r="Q351" s="1612">
        <f t="shared" si="345"/>
        <v>21.663149999999998</v>
      </c>
      <c r="R351" s="1612">
        <f t="shared" si="345"/>
        <v>0</v>
      </c>
      <c r="S351" s="1612">
        <f t="shared" si="345"/>
        <v>9.8691999999999993</v>
      </c>
      <c r="T351" s="1612">
        <f t="shared" si="345"/>
        <v>315.84245810000004</v>
      </c>
      <c r="U351" s="1612">
        <f t="shared" si="345"/>
        <v>2049.9259805231877</v>
      </c>
      <c r="V351" s="1612">
        <f t="shared" si="345"/>
        <v>1431.8769438461536</v>
      </c>
      <c r="W351" s="1612">
        <f t="shared" si="345"/>
        <v>279.68001895011071</v>
      </c>
      <c r="X351" s="1612">
        <f t="shared" si="345"/>
        <v>0</v>
      </c>
      <c r="Y351" s="1612">
        <f t="shared" si="345"/>
        <v>0</v>
      </c>
      <c r="Z351" s="1612">
        <f t="shared" si="345"/>
        <v>7.7643900000000006</v>
      </c>
      <c r="AA351" s="1612">
        <f t="shared" si="345"/>
        <v>54.544638273381295</v>
      </c>
      <c r="AB351" s="1612">
        <f t="shared" si="345"/>
        <v>89.376756</v>
      </c>
      <c r="AC351" s="1612">
        <f t="shared" si="345"/>
        <v>0</v>
      </c>
      <c r="AD351" s="1612">
        <f t="shared" si="345"/>
        <v>112.7809012113171</v>
      </c>
      <c r="AE351" s="1612">
        <f t="shared" si="345"/>
        <v>23.22165</v>
      </c>
      <c r="AF351" s="1612">
        <f t="shared" si="345"/>
        <v>0</v>
      </c>
      <c r="AG351" s="1612">
        <f t="shared" si="345"/>
        <v>10.578837465412287</v>
      </c>
      <c r="AH351" s="1612">
        <f t="shared" si="345"/>
        <v>338.31571345384612</v>
      </c>
      <c r="AI351" s="1612">
        <f t="shared" si="345"/>
        <v>136.83188892318768</v>
      </c>
      <c r="AJ351" s="1612">
        <f t="shared" si="345"/>
        <v>820.99133353912589</v>
      </c>
      <c r="AK351" s="1448">
        <f t="shared" si="343"/>
        <v>0.33373631444679919</v>
      </c>
      <c r="AL351" s="1431">
        <f t="shared" si="344"/>
        <v>107.1523867813919</v>
      </c>
    </row>
    <row r="352" spans="1:38" s="1502" customFormat="1" ht="21" hidden="1" customHeight="1">
      <c r="A352" s="1433" t="s">
        <v>13</v>
      </c>
      <c r="B352" s="1434" t="s">
        <v>2528</v>
      </c>
      <c r="C352" s="579">
        <f>C354+C406+C444+C451+C459+C461+C464+C472+C501+C507</f>
        <v>439</v>
      </c>
      <c r="D352" s="579">
        <f t="shared" ref="D352:AJ352" si="346">D354+D406+D444+D451+D459+D461+D464+D472+D501+D507</f>
        <v>315</v>
      </c>
      <c r="E352" s="579">
        <f t="shared" si="346"/>
        <v>124</v>
      </c>
      <c r="F352" s="579">
        <f t="shared" si="346"/>
        <v>410</v>
      </c>
      <c r="G352" s="1613">
        <f t="shared" si="346"/>
        <v>1913.0940916</v>
      </c>
      <c r="H352" s="1613">
        <f t="shared" si="346"/>
        <v>1335.8177999999998</v>
      </c>
      <c r="I352" s="1613">
        <f t="shared" si="346"/>
        <v>261.43383349999999</v>
      </c>
      <c r="J352" s="1613">
        <f t="shared" si="346"/>
        <v>0</v>
      </c>
      <c r="K352" s="1613">
        <f t="shared" si="346"/>
        <v>0</v>
      </c>
      <c r="L352" s="1613">
        <f t="shared" si="346"/>
        <v>8.1926600000000001</v>
      </c>
      <c r="M352" s="1613">
        <f t="shared" si="346"/>
        <v>51.388554999999997</v>
      </c>
      <c r="N352" s="1613">
        <f t="shared" si="346"/>
        <v>83.378315999999984</v>
      </c>
      <c r="O352" s="1613">
        <f t="shared" si="346"/>
        <v>0</v>
      </c>
      <c r="P352" s="1613">
        <f t="shared" si="346"/>
        <v>105.23101649999998</v>
      </c>
      <c r="Q352" s="1613">
        <f t="shared" si="346"/>
        <v>21.663149999999998</v>
      </c>
      <c r="R352" s="1613">
        <f t="shared" si="346"/>
        <v>0</v>
      </c>
      <c r="S352" s="1613">
        <f t="shared" si="346"/>
        <v>9.8691999999999993</v>
      </c>
      <c r="T352" s="1613">
        <f t="shared" si="346"/>
        <v>315.84245810000004</v>
      </c>
      <c r="U352" s="1613">
        <f t="shared" si="346"/>
        <v>2049.9259805231877</v>
      </c>
      <c r="V352" s="1613">
        <f t="shared" si="346"/>
        <v>1431.8769438461536</v>
      </c>
      <c r="W352" s="1613">
        <f t="shared" si="346"/>
        <v>279.68001895011071</v>
      </c>
      <c r="X352" s="1613">
        <f t="shared" si="346"/>
        <v>0</v>
      </c>
      <c r="Y352" s="1613">
        <f t="shared" si="346"/>
        <v>0</v>
      </c>
      <c r="Z352" s="1613">
        <f t="shared" si="346"/>
        <v>7.7643900000000006</v>
      </c>
      <c r="AA352" s="1613">
        <f t="shared" si="346"/>
        <v>54.544638273381295</v>
      </c>
      <c r="AB352" s="1613">
        <f t="shared" si="346"/>
        <v>89.376756</v>
      </c>
      <c r="AC352" s="1613">
        <f t="shared" si="346"/>
        <v>0</v>
      </c>
      <c r="AD352" s="1613">
        <f t="shared" si="346"/>
        <v>112.7809012113171</v>
      </c>
      <c r="AE352" s="1613">
        <f t="shared" si="346"/>
        <v>23.22165</v>
      </c>
      <c r="AF352" s="1613">
        <f t="shared" si="346"/>
        <v>0</v>
      </c>
      <c r="AG352" s="1613">
        <f t="shared" si="346"/>
        <v>10.578837465412287</v>
      </c>
      <c r="AH352" s="1613">
        <f t="shared" si="346"/>
        <v>338.31571345384612</v>
      </c>
      <c r="AI352" s="1613">
        <f t="shared" si="346"/>
        <v>136.83188892318768</v>
      </c>
      <c r="AJ352" s="1613">
        <f t="shared" si="346"/>
        <v>820.99133353912589</v>
      </c>
      <c r="AK352" s="1448">
        <f t="shared" si="343"/>
        <v>0.33373631444679919</v>
      </c>
      <c r="AL352" s="1431">
        <f t="shared" si="344"/>
        <v>107.1523867813919</v>
      </c>
    </row>
    <row r="353" spans="1:38" s="1502" customFormat="1" ht="21" hidden="1" customHeight="1">
      <c r="A353" s="1375"/>
      <c r="B353" s="1439" t="s">
        <v>2512</v>
      </c>
      <c r="C353" s="1440"/>
      <c r="D353" s="1440"/>
      <c r="E353" s="1440"/>
      <c r="F353" s="1440"/>
      <c r="G353" s="1614"/>
      <c r="H353" s="1615"/>
      <c r="I353" s="1614"/>
      <c r="J353" s="1615"/>
      <c r="K353" s="1615"/>
      <c r="L353" s="1615"/>
      <c r="M353" s="1615"/>
      <c r="N353" s="1615"/>
      <c r="O353" s="1615"/>
      <c r="P353" s="1615"/>
      <c r="Q353" s="1615"/>
      <c r="R353" s="1615"/>
      <c r="S353" s="1615"/>
      <c r="T353" s="1614"/>
      <c r="U353" s="1614"/>
      <c r="V353" s="1614"/>
      <c r="W353" s="1614"/>
      <c r="X353" s="1614"/>
      <c r="Y353" s="1614"/>
      <c r="Z353" s="1614"/>
      <c r="AA353" s="1614"/>
      <c r="AB353" s="1614"/>
      <c r="AC353" s="1614"/>
      <c r="AD353" s="1614"/>
      <c r="AE353" s="1614"/>
      <c r="AF353" s="1614"/>
      <c r="AG353" s="1614"/>
      <c r="AH353" s="1614"/>
      <c r="AI353" s="1614"/>
      <c r="AJ353" s="1614"/>
      <c r="AK353" s="1448" t="e">
        <f t="shared" si="343"/>
        <v>#DIV/0!</v>
      </c>
      <c r="AL353" s="1431" t="e">
        <f t="shared" si="344"/>
        <v>#DIV/0!</v>
      </c>
    </row>
    <row r="354" spans="1:38" s="1502" customFormat="1" ht="21" hidden="1" customHeight="1">
      <c r="A354" s="1445">
        <v>1</v>
      </c>
      <c r="B354" s="1446" t="s">
        <v>2489</v>
      </c>
      <c r="C354" s="1447">
        <f>C355+C396</f>
        <v>79</v>
      </c>
      <c r="D354" s="1447">
        <f t="shared" ref="D354:AJ354" si="347">D355+D396</f>
        <v>71</v>
      </c>
      <c r="E354" s="1447">
        <f t="shared" si="347"/>
        <v>8</v>
      </c>
      <c r="F354" s="1447">
        <f t="shared" si="347"/>
        <v>71</v>
      </c>
      <c r="G354" s="1616">
        <f t="shared" si="347"/>
        <v>302.71131852999991</v>
      </c>
      <c r="H354" s="1616">
        <f t="shared" si="347"/>
        <v>221.07949999999997</v>
      </c>
      <c r="I354" s="1616">
        <f t="shared" si="347"/>
        <v>28.881698</v>
      </c>
      <c r="J354" s="1616">
        <f t="shared" si="347"/>
        <v>0</v>
      </c>
      <c r="K354" s="1616">
        <f t="shared" si="347"/>
        <v>0</v>
      </c>
      <c r="L354" s="1616">
        <f t="shared" si="347"/>
        <v>3.3890979999999997</v>
      </c>
      <c r="M354" s="1616">
        <f t="shared" si="347"/>
        <v>0</v>
      </c>
      <c r="N354" s="1616">
        <f t="shared" si="347"/>
        <v>25.492599999999999</v>
      </c>
      <c r="O354" s="1616">
        <f t="shared" si="347"/>
        <v>0</v>
      </c>
      <c r="P354" s="1616">
        <f t="shared" si="347"/>
        <v>0</v>
      </c>
      <c r="Q354" s="1616">
        <f t="shared" si="347"/>
        <v>0</v>
      </c>
      <c r="R354" s="1616">
        <f t="shared" si="347"/>
        <v>0</v>
      </c>
      <c r="S354" s="1616">
        <f t="shared" si="347"/>
        <v>0</v>
      </c>
      <c r="T354" s="1616">
        <f t="shared" si="347"/>
        <v>52.75012052999999</v>
      </c>
      <c r="U354" s="1616">
        <f t="shared" si="347"/>
        <v>324.48911122999999</v>
      </c>
      <c r="V354" s="1616">
        <f t="shared" si="347"/>
        <v>236.98449999999997</v>
      </c>
      <c r="W354" s="1616">
        <f t="shared" si="347"/>
        <v>30.959517999999999</v>
      </c>
      <c r="X354" s="1616">
        <f t="shared" si="347"/>
        <v>0</v>
      </c>
      <c r="Y354" s="1616">
        <f t="shared" si="347"/>
        <v>0</v>
      </c>
      <c r="Z354" s="1616">
        <f t="shared" si="347"/>
        <v>3.6329180000000001</v>
      </c>
      <c r="AA354" s="1616">
        <f t="shared" si="347"/>
        <v>0</v>
      </c>
      <c r="AB354" s="1616">
        <f t="shared" si="347"/>
        <v>27.326599999999999</v>
      </c>
      <c r="AC354" s="1616">
        <f t="shared" si="347"/>
        <v>0</v>
      </c>
      <c r="AD354" s="1616">
        <f t="shared" si="347"/>
        <v>0</v>
      </c>
      <c r="AE354" s="1616">
        <f t="shared" si="347"/>
        <v>0</v>
      </c>
      <c r="AF354" s="1616">
        <f t="shared" si="347"/>
        <v>0</v>
      </c>
      <c r="AG354" s="1616">
        <f t="shared" si="347"/>
        <v>0</v>
      </c>
      <c r="AH354" s="1616">
        <f t="shared" si="347"/>
        <v>56.545093229999992</v>
      </c>
      <c r="AI354" s="1616">
        <f t="shared" si="347"/>
        <v>21.77779270000002</v>
      </c>
      <c r="AJ354" s="1616">
        <f t="shared" si="347"/>
        <v>130.66675620000012</v>
      </c>
      <c r="AK354" s="1448">
        <f t="shared" si="343"/>
        <v>0.30672947464788763</v>
      </c>
      <c r="AL354" s="1431">
        <f t="shared" si="344"/>
        <v>107.19424460431657</v>
      </c>
    </row>
    <row r="355" spans="1:38" s="1507" customFormat="1" ht="27.75" hidden="1" customHeight="1">
      <c r="A355" s="1375"/>
      <c r="B355" s="1449" t="s">
        <v>2490</v>
      </c>
      <c r="C355" s="560">
        <f>C356+C394</f>
        <v>72</v>
      </c>
      <c r="D355" s="560">
        <f t="shared" ref="D355:AJ355" si="348">D356+D394</f>
        <v>64</v>
      </c>
      <c r="E355" s="560">
        <f t="shared" si="348"/>
        <v>8</v>
      </c>
      <c r="F355" s="560">
        <f t="shared" si="348"/>
        <v>71</v>
      </c>
      <c r="G355" s="1617">
        <f t="shared" si="348"/>
        <v>257.59745072999993</v>
      </c>
      <c r="H355" s="1617">
        <f t="shared" si="348"/>
        <v>189.92959999999997</v>
      </c>
      <c r="I355" s="1617">
        <f t="shared" si="348"/>
        <v>22.343138</v>
      </c>
      <c r="J355" s="1617">
        <f t="shared" si="348"/>
        <v>0</v>
      </c>
      <c r="K355" s="1617">
        <f t="shared" si="348"/>
        <v>0</v>
      </c>
      <c r="L355" s="1617">
        <f t="shared" si="348"/>
        <v>2.9415179999999999</v>
      </c>
      <c r="M355" s="1617">
        <f t="shared" si="348"/>
        <v>0</v>
      </c>
      <c r="N355" s="1617">
        <f t="shared" si="348"/>
        <v>19.401620000000001</v>
      </c>
      <c r="O355" s="1617">
        <f t="shared" si="348"/>
        <v>0</v>
      </c>
      <c r="P355" s="1617">
        <f t="shared" si="348"/>
        <v>0</v>
      </c>
      <c r="Q355" s="1617">
        <f t="shared" si="348"/>
        <v>0</v>
      </c>
      <c r="R355" s="1617">
        <f t="shared" si="348"/>
        <v>0</v>
      </c>
      <c r="S355" s="1617">
        <f t="shared" si="348"/>
        <v>0</v>
      </c>
      <c r="T355" s="1617">
        <f t="shared" si="348"/>
        <v>45.324712729999995</v>
      </c>
      <c r="U355" s="1617">
        <f t="shared" si="348"/>
        <v>276.12964142999999</v>
      </c>
      <c r="V355" s="1617">
        <f t="shared" si="348"/>
        <v>203.59359999999998</v>
      </c>
      <c r="W355" s="1617">
        <f t="shared" si="348"/>
        <v>23.950558000000001</v>
      </c>
      <c r="X355" s="1617">
        <f t="shared" si="348"/>
        <v>0</v>
      </c>
      <c r="Y355" s="1617">
        <f t="shared" si="348"/>
        <v>0</v>
      </c>
      <c r="Z355" s="1617">
        <f t="shared" si="348"/>
        <v>3.1531380000000002</v>
      </c>
      <c r="AA355" s="1617">
        <f t="shared" si="348"/>
        <v>0</v>
      </c>
      <c r="AB355" s="1617">
        <f t="shared" si="348"/>
        <v>20.797419999999999</v>
      </c>
      <c r="AC355" s="1617">
        <f t="shared" si="348"/>
        <v>0</v>
      </c>
      <c r="AD355" s="1617">
        <f t="shared" si="348"/>
        <v>0</v>
      </c>
      <c r="AE355" s="1617">
        <f t="shared" si="348"/>
        <v>0</v>
      </c>
      <c r="AF355" s="1617">
        <f t="shared" si="348"/>
        <v>0</v>
      </c>
      <c r="AG355" s="1617">
        <f t="shared" si="348"/>
        <v>0</v>
      </c>
      <c r="AH355" s="1617">
        <f t="shared" si="348"/>
        <v>48.585483429999996</v>
      </c>
      <c r="AI355" s="1617">
        <f t="shared" si="348"/>
        <v>18.532190700000022</v>
      </c>
      <c r="AJ355" s="1617">
        <f t="shared" si="348"/>
        <v>111.19314420000012</v>
      </c>
      <c r="AK355" s="1448">
        <f t="shared" si="343"/>
        <v>0.26101677042253552</v>
      </c>
      <c r="AL355" s="1431">
        <f t="shared" si="344"/>
        <v>107.19424460431657</v>
      </c>
    </row>
    <row r="356" spans="1:38" s="1507" customFormat="1" ht="27.75" hidden="1" customHeight="1">
      <c r="A356" s="1375">
        <v>1</v>
      </c>
      <c r="B356" s="764" t="s">
        <v>2551</v>
      </c>
      <c r="C356" s="560">
        <f>SUM(C357:C393)</f>
        <v>64</v>
      </c>
      <c r="D356" s="560">
        <f t="shared" ref="D356:AJ356" si="349">SUM(D357:D393)</f>
        <v>64</v>
      </c>
      <c r="E356" s="560">
        <f t="shared" si="349"/>
        <v>0</v>
      </c>
      <c r="F356" s="560">
        <f t="shared" si="349"/>
        <v>63</v>
      </c>
      <c r="G356" s="1617">
        <f>SUM(G357:G393)</f>
        <v>232.37986222999996</v>
      </c>
      <c r="H356" s="1617">
        <f t="shared" si="349"/>
        <v>169.51049999999998</v>
      </c>
      <c r="I356" s="1617">
        <f t="shared" si="349"/>
        <v>22.343138</v>
      </c>
      <c r="J356" s="1617">
        <f t="shared" si="349"/>
        <v>0</v>
      </c>
      <c r="K356" s="1617">
        <f t="shared" si="349"/>
        <v>0</v>
      </c>
      <c r="L356" s="1617">
        <f t="shared" si="349"/>
        <v>2.9415179999999999</v>
      </c>
      <c r="M356" s="1617">
        <f t="shared" si="349"/>
        <v>0</v>
      </c>
      <c r="N356" s="1617">
        <f t="shared" si="349"/>
        <v>19.401620000000001</v>
      </c>
      <c r="O356" s="1617">
        <f t="shared" si="349"/>
        <v>0</v>
      </c>
      <c r="P356" s="1617">
        <f t="shared" si="349"/>
        <v>0</v>
      </c>
      <c r="Q356" s="1617">
        <f t="shared" si="349"/>
        <v>0</v>
      </c>
      <c r="R356" s="1617">
        <f t="shared" si="349"/>
        <v>0</v>
      </c>
      <c r="S356" s="1617">
        <f t="shared" si="349"/>
        <v>0</v>
      </c>
      <c r="T356" s="1617">
        <f t="shared" si="349"/>
        <v>40.526224229999997</v>
      </c>
      <c r="U356" s="1617">
        <f t="shared" si="349"/>
        <v>249.09783793000003</v>
      </c>
      <c r="V356" s="1617">
        <f t="shared" si="349"/>
        <v>181.70549999999997</v>
      </c>
      <c r="W356" s="1617">
        <f t="shared" si="349"/>
        <v>23.950558000000001</v>
      </c>
      <c r="X356" s="1617">
        <f t="shared" si="349"/>
        <v>0</v>
      </c>
      <c r="Y356" s="1617">
        <f t="shared" si="349"/>
        <v>0</v>
      </c>
      <c r="Z356" s="1617">
        <f t="shared" si="349"/>
        <v>3.1531380000000002</v>
      </c>
      <c r="AA356" s="1617">
        <f t="shared" si="349"/>
        <v>0</v>
      </c>
      <c r="AB356" s="1617">
        <f t="shared" si="349"/>
        <v>20.797419999999999</v>
      </c>
      <c r="AC356" s="1617">
        <f t="shared" si="349"/>
        <v>0</v>
      </c>
      <c r="AD356" s="1617">
        <f t="shared" si="349"/>
        <v>0</v>
      </c>
      <c r="AE356" s="1617">
        <f t="shared" si="349"/>
        <v>0</v>
      </c>
      <c r="AF356" s="1617">
        <f t="shared" si="349"/>
        <v>0</v>
      </c>
      <c r="AG356" s="1617">
        <f t="shared" si="349"/>
        <v>0</v>
      </c>
      <c r="AH356" s="1617">
        <f t="shared" si="349"/>
        <v>43.441779929999996</v>
      </c>
      <c r="AI356" s="1617">
        <f t="shared" si="349"/>
        <v>16.717975700000022</v>
      </c>
      <c r="AJ356" s="1617">
        <f t="shared" si="349"/>
        <v>100.30785420000012</v>
      </c>
      <c r="AK356" s="1448">
        <f t="shared" si="343"/>
        <v>0.26536469365079401</v>
      </c>
      <c r="AL356" s="1431">
        <f t="shared" si="344"/>
        <v>107.19424460431657</v>
      </c>
    </row>
    <row r="357" spans="1:38" s="1507" customFormat="1" ht="27.75" hidden="1" customHeight="1">
      <c r="A357" s="1375"/>
      <c r="B357" s="1450" t="s">
        <v>2552</v>
      </c>
      <c r="C357" s="1455">
        <f>D357+E357</f>
        <v>1</v>
      </c>
      <c r="D357" s="1461">
        <v>1</v>
      </c>
      <c r="E357" s="1455"/>
      <c r="F357" s="1461">
        <v>0</v>
      </c>
      <c r="G357" s="1624">
        <f t="shared" ref="G357:G376" si="350">H357+I357+T357</f>
        <v>3.1929689999999997</v>
      </c>
      <c r="H357" s="1624">
        <f>1.86*1.39</f>
        <v>2.5853999999999999</v>
      </c>
      <c r="I357" s="1624">
        <f t="shared" ref="I357:I376" si="351">SUM(J357:S357)</f>
        <v>0</v>
      </c>
      <c r="J357" s="1624"/>
      <c r="K357" s="1624"/>
      <c r="L357" s="1624">
        <v>0</v>
      </c>
      <c r="M357" s="1624"/>
      <c r="N357" s="1624">
        <v>0</v>
      </c>
      <c r="O357" s="1624"/>
      <c r="P357" s="1624"/>
      <c r="Q357" s="1624"/>
      <c r="R357" s="1624"/>
      <c r="S357" s="1624"/>
      <c r="T357" s="1624">
        <f t="shared" ref="T357:T376" si="352">(H357+K357+L357+R357)*23.5/100</f>
        <v>0.60756900000000003</v>
      </c>
      <c r="U357" s="1624">
        <f t="shared" ref="U357:U376" si="353">V357+W357+AH357</f>
        <v>3.4226790000000005</v>
      </c>
      <c r="V357" s="1624">
        <f>1.86*1.49</f>
        <v>2.7714000000000003</v>
      </c>
      <c r="W357" s="1624">
        <f t="shared" ref="W357:W376" si="354">SUM(X357:AG357)</f>
        <v>0</v>
      </c>
      <c r="X357" s="1624"/>
      <c r="Y357" s="1624"/>
      <c r="Z357" s="1624">
        <v>0</v>
      </c>
      <c r="AA357" s="1624"/>
      <c r="AB357" s="1624">
        <v>0</v>
      </c>
      <c r="AC357" s="1624"/>
      <c r="AD357" s="1624"/>
      <c r="AE357" s="1624"/>
      <c r="AF357" s="1624"/>
      <c r="AG357" s="1624"/>
      <c r="AH357" s="1624">
        <f t="shared" ref="AH357:AH376" si="355">(V357+Y357+Z357+AF357)*23.5/100</f>
        <v>0.65127900000000016</v>
      </c>
      <c r="AI357" s="1621">
        <f t="shared" ref="AI357:AI392" si="356">U357-G357</f>
        <v>0.22971000000000075</v>
      </c>
      <c r="AJ357" s="1621">
        <f t="shared" ref="AJ357:AJ392" si="357">AI357*6</f>
        <v>1.3782600000000045</v>
      </c>
      <c r="AK357" s="1448" t="e">
        <f t="shared" si="343"/>
        <v>#DIV/0!</v>
      </c>
      <c r="AL357" s="1431">
        <f t="shared" si="344"/>
        <v>107.19424460431657</v>
      </c>
    </row>
    <row r="358" spans="1:38" s="1507" customFormat="1" ht="27.75" hidden="1" customHeight="1">
      <c r="A358" s="1375"/>
      <c r="B358" s="1450" t="s">
        <v>2553</v>
      </c>
      <c r="C358" s="1455">
        <f t="shared" ref="C358:C394" si="358">D358+E358</f>
        <v>1</v>
      </c>
      <c r="D358" s="1461">
        <v>1</v>
      </c>
      <c r="E358" s="1455"/>
      <c r="F358" s="1461">
        <v>1</v>
      </c>
      <c r="G358" s="1624">
        <f t="shared" si="350"/>
        <v>5.4868860000000002</v>
      </c>
      <c r="H358" s="1624">
        <f>2.04*1.39</f>
        <v>2.8355999999999999</v>
      </c>
      <c r="I358" s="1624">
        <f t="shared" si="351"/>
        <v>1.9849199999999998</v>
      </c>
      <c r="J358" s="1624"/>
      <c r="K358" s="1624"/>
      <c r="L358" s="1624">
        <v>0</v>
      </c>
      <c r="M358" s="1624"/>
      <c r="N358" s="1624">
        <f>2.04*1.39*70/100</f>
        <v>1.9849199999999998</v>
      </c>
      <c r="O358" s="1624"/>
      <c r="P358" s="1624"/>
      <c r="Q358" s="1624"/>
      <c r="R358" s="1624"/>
      <c r="S358" s="1624"/>
      <c r="T358" s="1624">
        <f t="shared" si="352"/>
        <v>0.66636600000000001</v>
      </c>
      <c r="U358" s="1624">
        <f t="shared" si="353"/>
        <v>5.8816259999999998</v>
      </c>
      <c r="V358" s="1624">
        <f>2.04*1.49</f>
        <v>3.0396000000000001</v>
      </c>
      <c r="W358" s="1624">
        <f t="shared" si="354"/>
        <v>2.1277200000000001</v>
      </c>
      <c r="X358" s="1624"/>
      <c r="Y358" s="1624"/>
      <c r="Z358" s="1624">
        <v>0</v>
      </c>
      <c r="AA358" s="1624"/>
      <c r="AB358" s="1624">
        <f>2.04*1.49*70/100</f>
        <v>2.1277200000000001</v>
      </c>
      <c r="AC358" s="1624"/>
      <c r="AD358" s="1624"/>
      <c r="AE358" s="1624"/>
      <c r="AF358" s="1624"/>
      <c r="AG358" s="1624"/>
      <c r="AH358" s="1624">
        <f t="shared" si="355"/>
        <v>0.714306</v>
      </c>
      <c r="AI358" s="1621">
        <f t="shared" si="356"/>
        <v>0.39473999999999965</v>
      </c>
      <c r="AJ358" s="1621">
        <f t="shared" si="357"/>
        <v>2.3684399999999979</v>
      </c>
      <c r="AK358" s="1448">
        <f t="shared" si="343"/>
        <v>0.39473999999999965</v>
      </c>
      <c r="AL358" s="1431">
        <f t="shared" si="344"/>
        <v>107.19424460431655</v>
      </c>
    </row>
    <row r="359" spans="1:38" s="1507" customFormat="1" ht="27.75" hidden="1" customHeight="1">
      <c r="A359" s="1375"/>
      <c r="B359" s="1453" t="s">
        <v>2554</v>
      </c>
      <c r="C359" s="1455">
        <f t="shared" si="358"/>
        <v>3</v>
      </c>
      <c r="D359" s="1461">
        <v>3</v>
      </c>
      <c r="E359" s="1455"/>
      <c r="F359" s="1461">
        <v>3</v>
      </c>
      <c r="G359" s="1624">
        <f t="shared" si="350"/>
        <v>12.0565125</v>
      </c>
      <c r="H359" s="1624">
        <f>4.45*1.39</f>
        <v>6.1855000000000002</v>
      </c>
      <c r="I359" s="1624">
        <f t="shared" si="351"/>
        <v>4.4174199999999999</v>
      </c>
      <c r="J359" s="1624"/>
      <c r="K359" s="1624"/>
      <c r="L359" s="1624">
        <v>0</v>
      </c>
      <c r="M359" s="1624"/>
      <c r="N359" s="1624">
        <f>4.54*1.39*70/100</f>
        <v>4.4174199999999999</v>
      </c>
      <c r="O359" s="1624"/>
      <c r="P359" s="1624"/>
      <c r="Q359" s="1624"/>
      <c r="R359" s="1624"/>
      <c r="S359" s="1624"/>
      <c r="T359" s="1624">
        <f t="shared" si="352"/>
        <v>1.4535925000000001</v>
      </c>
      <c r="U359" s="1624">
        <f t="shared" si="353"/>
        <v>12.923887499999999</v>
      </c>
      <c r="V359" s="1624">
        <f>4.45*1.49</f>
        <v>6.6305000000000005</v>
      </c>
      <c r="W359" s="1624">
        <f t="shared" si="354"/>
        <v>4.73522</v>
      </c>
      <c r="X359" s="1624"/>
      <c r="Y359" s="1624"/>
      <c r="Z359" s="1624">
        <v>0</v>
      </c>
      <c r="AA359" s="1624"/>
      <c r="AB359" s="1624">
        <f>4.54*1.49*70/100</f>
        <v>4.73522</v>
      </c>
      <c r="AC359" s="1624"/>
      <c r="AD359" s="1624"/>
      <c r="AE359" s="1624"/>
      <c r="AF359" s="1624"/>
      <c r="AG359" s="1624"/>
      <c r="AH359" s="1624">
        <f t="shared" si="355"/>
        <v>1.5581675000000001</v>
      </c>
      <c r="AI359" s="1621">
        <f t="shared" si="356"/>
        <v>0.86737499999999912</v>
      </c>
      <c r="AJ359" s="1621">
        <f t="shared" si="357"/>
        <v>5.2042499999999947</v>
      </c>
      <c r="AK359" s="1448">
        <f t="shared" si="343"/>
        <v>0.28912499999999969</v>
      </c>
      <c r="AL359" s="1431">
        <f t="shared" si="344"/>
        <v>107.19424460431655</v>
      </c>
    </row>
    <row r="360" spans="1:38" s="1507" customFormat="1" ht="27.75" hidden="1" customHeight="1">
      <c r="A360" s="1375"/>
      <c r="B360" s="1453" t="s">
        <v>2555</v>
      </c>
      <c r="C360" s="1455">
        <f t="shared" si="358"/>
        <v>1</v>
      </c>
      <c r="D360" s="1461">
        <v>1</v>
      </c>
      <c r="E360" s="1455"/>
      <c r="F360" s="1461">
        <v>1</v>
      </c>
      <c r="G360" s="1624">
        <f t="shared" si="350"/>
        <v>5.5756791999999997</v>
      </c>
      <c r="H360" s="1624">
        <f>2.98*1.39</f>
        <v>4.1421999999999999</v>
      </c>
      <c r="I360" s="1624">
        <f t="shared" si="351"/>
        <v>0.37252000000000002</v>
      </c>
      <c r="J360" s="1624"/>
      <c r="K360" s="1624"/>
      <c r="L360" s="1624">
        <f>0.268*1.39</f>
        <v>0.37252000000000002</v>
      </c>
      <c r="M360" s="1624"/>
      <c r="N360" s="1624">
        <v>0</v>
      </c>
      <c r="O360" s="1624"/>
      <c r="P360" s="1624"/>
      <c r="Q360" s="1624"/>
      <c r="R360" s="1624"/>
      <c r="S360" s="1624"/>
      <c r="T360" s="1624">
        <f t="shared" si="352"/>
        <v>1.0609591999999999</v>
      </c>
      <c r="U360" s="1624">
        <f t="shared" si="353"/>
        <v>5.9768072000000005</v>
      </c>
      <c r="V360" s="1624">
        <f>2.98*1.49</f>
        <v>4.4401999999999999</v>
      </c>
      <c r="W360" s="1624">
        <f t="shared" si="354"/>
        <v>0.39932000000000001</v>
      </c>
      <c r="X360" s="1624"/>
      <c r="Y360" s="1624"/>
      <c r="Z360" s="1624">
        <f>0.268*1.49</f>
        <v>0.39932000000000001</v>
      </c>
      <c r="AA360" s="1624"/>
      <c r="AB360" s="1624">
        <v>0</v>
      </c>
      <c r="AC360" s="1624"/>
      <c r="AD360" s="1624"/>
      <c r="AE360" s="1624"/>
      <c r="AF360" s="1624"/>
      <c r="AG360" s="1624"/>
      <c r="AH360" s="1624">
        <f t="shared" si="355"/>
        <v>1.1372872000000001</v>
      </c>
      <c r="AI360" s="1621">
        <f t="shared" si="356"/>
        <v>0.40112800000000082</v>
      </c>
      <c r="AJ360" s="1621">
        <f t="shared" si="357"/>
        <v>2.4067680000000049</v>
      </c>
      <c r="AK360" s="1448">
        <f t="shared" si="343"/>
        <v>0.40112800000000082</v>
      </c>
      <c r="AL360" s="1431">
        <f t="shared" si="344"/>
        <v>107.19424460431657</v>
      </c>
    </row>
    <row r="361" spans="1:38" s="1507" customFormat="1" ht="27.75" hidden="1" customHeight="1">
      <c r="A361" s="1375"/>
      <c r="B361" s="1453" t="s">
        <v>2556</v>
      </c>
      <c r="C361" s="1455">
        <f t="shared" si="358"/>
        <v>1</v>
      </c>
      <c r="D361" s="1461">
        <v>1</v>
      </c>
      <c r="E361" s="1455"/>
      <c r="F361" s="1461">
        <v>1</v>
      </c>
      <c r="G361" s="1624">
        <f t="shared" si="350"/>
        <v>1.71665</v>
      </c>
      <c r="H361" s="1624">
        <f>1*1.39</f>
        <v>1.39</v>
      </c>
      <c r="I361" s="1624">
        <f t="shared" si="351"/>
        <v>0</v>
      </c>
      <c r="J361" s="1624"/>
      <c r="K361" s="1624"/>
      <c r="L361" s="1624">
        <v>0</v>
      </c>
      <c r="M361" s="1624"/>
      <c r="N361" s="1624">
        <v>0</v>
      </c>
      <c r="O361" s="1624"/>
      <c r="P361" s="1624"/>
      <c r="Q361" s="1624"/>
      <c r="R361" s="1624"/>
      <c r="S361" s="1624"/>
      <c r="T361" s="1624">
        <f t="shared" si="352"/>
        <v>0.32665</v>
      </c>
      <c r="U361" s="1624">
        <f t="shared" si="353"/>
        <v>1.84015</v>
      </c>
      <c r="V361" s="1624">
        <f>1*1.49</f>
        <v>1.49</v>
      </c>
      <c r="W361" s="1624">
        <f t="shared" si="354"/>
        <v>0</v>
      </c>
      <c r="X361" s="1624"/>
      <c r="Y361" s="1624"/>
      <c r="Z361" s="1624">
        <v>0</v>
      </c>
      <c r="AA361" s="1624"/>
      <c r="AB361" s="1624">
        <v>0</v>
      </c>
      <c r="AC361" s="1624"/>
      <c r="AD361" s="1624"/>
      <c r="AE361" s="1624"/>
      <c r="AF361" s="1624"/>
      <c r="AG361" s="1624"/>
      <c r="AH361" s="1624">
        <f t="shared" si="355"/>
        <v>0.35015000000000002</v>
      </c>
      <c r="AI361" s="1621">
        <f t="shared" si="356"/>
        <v>0.12349999999999994</v>
      </c>
      <c r="AJ361" s="1621">
        <f t="shared" si="357"/>
        <v>0.74099999999999966</v>
      </c>
      <c r="AK361" s="1448">
        <f t="shared" si="343"/>
        <v>0.12349999999999994</v>
      </c>
      <c r="AL361" s="1431">
        <f t="shared" si="344"/>
        <v>107.19424460431655</v>
      </c>
    </row>
    <row r="362" spans="1:38" s="1507" customFormat="1" ht="27.75" hidden="1" customHeight="1">
      <c r="A362" s="1375"/>
      <c r="B362" s="1453" t="s">
        <v>2557</v>
      </c>
      <c r="C362" s="1455">
        <f t="shared" si="358"/>
        <v>3</v>
      </c>
      <c r="D362" s="1461">
        <v>3</v>
      </c>
      <c r="E362" s="1455"/>
      <c r="F362" s="1461">
        <v>3</v>
      </c>
      <c r="G362" s="1624">
        <f t="shared" si="350"/>
        <v>9.0295789999999982</v>
      </c>
      <c r="H362" s="1624">
        <f>5.26*1.39</f>
        <v>7.311399999999999</v>
      </c>
      <c r="I362" s="1624">
        <f t="shared" si="351"/>
        <v>0</v>
      </c>
      <c r="J362" s="1624"/>
      <c r="K362" s="1624"/>
      <c r="L362" s="1624">
        <v>0</v>
      </c>
      <c r="M362" s="1624"/>
      <c r="N362" s="1624">
        <v>0</v>
      </c>
      <c r="O362" s="1624"/>
      <c r="P362" s="1624"/>
      <c r="Q362" s="1624"/>
      <c r="R362" s="1624"/>
      <c r="S362" s="1624"/>
      <c r="T362" s="1624">
        <f t="shared" si="352"/>
        <v>1.7181789999999999</v>
      </c>
      <c r="U362" s="1624">
        <f t="shared" si="353"/>
        <v>9.6791889999999992</v>
      </c>
      <c r="V362" s="1624">
        <f>5.26*1.49</f>
        <v>7.8373999999999997</v>
      </c>
      <c r="W362" s="1624">
        <f t="shared" si="354"/>
        <v>0</v>
      </c>
      <c r="X362" s="1624"/>
      <c r="Y362" s="1624"/>
      <c r="Z362" s="1624">
        <v>0</v>
      </c>
      <c r="AA362" s="1624"/>
      <c r="AB362" s="1624">
        <v>0</v>
      </c>
      <c r="AC362" s="1624"/>
      <c r="AD362" s="1624"/>
      <c r="AE362" s="1624"/>
      <c r="AF362" s="1624"/>
      <c r="AG362" s="1624"/>
      <c r="AH362" s="1624">
        <f t="shared" si="355"/>
        <v>1.8417889999999999</v>
      </c>
      <c r="AI362" s="1621">
        <f t="shared" si="356"/>
        <v>0.64961000000000091</v>
      </c>
      <c r="AJ362" s="1621">
        <f t="shared" si="357"/>
        <v>3.8976600000000055</v>
      </c>
      <c r="AK362" s="1448">
        <f t="shared" si="343"/>
        <v>0.21653666666666696</v>
      </c>
      <c r="AL362" s="1431">
        <f t="shared" si="344"/>
        <v>107.19424460431657</v>
      </c>
    </row>
    <row r="363" spans="1:38" s="1507" customFormat="1" ht="27.75" hidden="1" customHeight="1">
      <c r="A363" s="1375"/>
      <c r="B363" s="1453" t="s">
        <v>2558</v>
      </c>
      <c r="C363" s="1455">
        <f t="shared" si="358"/>
        <v>1</v>
      </c>
      <c r="D363" s="1461">
        <v>1</v>
      </c>
      <c r="E363" s="1455"/>
      <c r="F363" s="1461">
        <v>1</v>
      </c>
      <c r="G363" s="1624">
        <f t="shared" si="350"/>
        <v>3.5019659999999999</v>
      </c>
      <c r="H363" s="1624">
        <f>2.04*1.39</f>
        <v>2.8355999999999999</v>
      </c>
      <c r="I363" s="1624">
        <f t="shared" si="351"/>
        <v>0</v>
      </c>
      <c r="J363" s="1624"/>
      <c r="K363" s="1624"/>
      <c r="L363" s="1624">
        <v>0</v>
      </c>
      <c r="M363" s="1624"/>
      <c r="N363" s="1624">
        <v>0</v>
      </c>
      <c r="O363" s="1624"/>
      <c r="P363" s="1624"/>
      <c r="Q363" s="1624"/>
      <c r="R363" s="1624"/>
      <c r="S363" s="1624"/>
      <c r="T363" s="1624">
        <f t="shared" si="352"/>
        <v>0.66636600000000001</v>
      </c>
      <c r="U363" s="1624">
        <f t="shared" si="353"/>
        <v>3.7539060000000002</v>
      </c>
      <c r="V363" s="1624">
        <f>2.04*1.49</f>
        <v>3.0396000000000001</v>
      </c>
      <c r="W363" s="1624">
        <f t="shared" si="354"/>
        <v>0</v>
      </c>
      <c r="X363" s="1624"/>
      <c r="Y363" s="1624"/>
      <c r="Z363" s="1624">
        <v>0</v>
      </c>
      <c r="AA363" s="1624"/>
      <c r="AB363" s="1624">
        <v>0</v>
      </c>
      <c r="AC363" s="1624"/>
      <c r="AD363" s="1624"/>
      <c r="AE363" s="1624"/>
      <c r="AF363" s="1624"/>
      <c r="AG363" s="1624"/>
      <c r="AH363" s="1624">
        <f t="shared" si="355"/>
        <v>0.714306</v>
      </c>
      <c r="AI363" s="1621">
        <f t="shared" si="356"/>
        <v>0.25194000000000027</v>
      </c>
      <c r="AJ363" s="1621">
        <f t="shared" si="357"/>
        <v>1.5116400000000016</v>
      </c>
      <c r="AK363" s="1448">
        <f t="shared" si="343"/>
        <v>0.25194000000000027</v>
      </c>
      <c r="AL363" s="1431">
        <f t="shared" si="344"/>
        <v>107.19424460431655</v>
      </c>
    </row>
    <row r="364" spans="1:38" s="1507" customFormat="1" ht="27.75" hidden="1" customHeight="1">
      <c r="A364" s="1375"/>
      <c r="B364" s="1453" t="s">
        <v>2559</v>
      </c>
      <c r="C364" s="1455">
        <f t="shared" si="358"/>
        <v>1</v>
      </c>
      <c r="D364" s="1461">
        <v>1</v>
      </c>
      <c r="E364" s="1455"/>
      <c r="F364" s="1461">
        <v>1</v>
      </c>
      <c r="G364" s="1624">
        <f t="shared" si="350"/>
        <v>4.1199599999999998</v>
      </c>
      <c r="H364" s="1624">
        <f>2.4*1.39</f>
        <v>3.3359999999999999</v>
      </c>
      <c r="I364" s="1624">
        <f t="shared" si="351"/>
        <v>0</v>
      </c>
      <c r="J364" s="1624"/>
      <c r="K364" s="1624"/>
      <c r="L364" s="1624">
        <v>0</v>
      </c>
      <c r="M364" s="1624"/>
      <c r="N364" s="1624">
        <v>0</v>
      </c>
      <c r="O364" s="1624"/>
      <c r="P364" s="1624"/>
      <c r="Q364" s="1624"/>
      <c r="R364" s="1624"/>
      <c r="S364" s="1624"/>
      <c r="T364" s="1624">
        <f t="shared" si="352"/>
        <v>0.78395999999999999</v>
      </c>
      <c r="U364" s="1624">
        <f t="shared" si="353"/>
        <v>4.4163600000000001</v>
      </c>
      <c r="V364" s="1624">
        <f>2.4*1.49</f>
        <v>3.5760000000000001</v>
      </c>
      <c r="W364" s="1624">
        <f t="shared" si="354"/>
        <v>0</v>
      </c>
      <c r="X364" s="1624"/>
      <c r="Y364" s="1624"/>
      <c r="Z364" s="1624">
        <v>0</v>
      </c>
      <c r="AA364" s="1624"/>
      <c r="AB364" s="1624">
        <v>0</v>
      </c>
      <c r="AC364" s="1624"/>
      <c r="AD364" s="1624"/>
      <c r="AE364" s="1624"/>
      <c r="AF364" s="1624"/>
      <c r="AG364" s="1624"/>
      <c r="AH364" s="1624">
        <f t="shared" si="355"/>
        <v>0.84036</v>
      </c>
      <c r="AI364" s="1621">
        <f t="shared" si="356"/>
        <v>0.29640000000000022</v>
      </c>
      <c r="AJ364" s="1621">
        <f t="shared" si="357"/>
        <v>1.7784000000000013</v>
      </c>
      <c r="AK364" s="1448">
        <f t="shared" si="343"/>
        <v>0.29640000000000022</v>
      </c>
      <c r="AL364" s="1431">
        <f t="shared" si="344"/>
        <v>107.19424460431655</v>
      </c>
    </row>
    <row r="365" spans="1:38" s="1507" customFormat="1" ht="27.75" hidden="1" customHeight="1">
      <c r="A365" s="1375"/>
      <c r="B365" s="1453" t="s">
        <v>2560</v>
      </c>
      <c r="C365" s="1455">
        <f t="shared" si="358"/>
        <v>1</v>
      </c>
      <c r="D365" s="1461">
        <v>1</v>
      </c>
      <c r="E365" s="1455"/>
      <c r="F365" s="1461">
        <v>1</v>
      </c>
      <c r="G365" s="1624">
        <f t="shared" si="350"/>
        <v>6.9392969999999989</v>
      </c>
      <c r="H365" s="1624">
        <f>2.58*1.39</f>
        <v>3.5861999999999998</v>
      </c>
      <c r="I365" s="1624">
        <f t="shared" si="351"/>
        <v>2.5103399999999998</v>
      </c>
      <c r="J365" s="1624"/>
      <c r="K365" s="1624"/>
      <c r="L365" s="1624">
        <v>0</v>
      </c>
      <c r="M365" s="1624"/>
      <c r="N365" s="1624">
        <f>2.58*1.39*70/100</f>
        <v>2.5103399999999998</v>
      </c>
      <c r="O365" s="1624"/>
      <c r="P365" s="1624"/>
      <c r="Q365" s="1624"/>
      <c r="R365" s="1624"/>
      <c r="S365" s="1624"/>
      <c r="T365" s="1624">
        <f t="shared" si="352"/>
        <v>0.84275699999999998</v>
      </c>
      <c r="U365" s="1624">
        <f t="shared" si="353"/>
        <v>7.4385270000000006</v>
      </c>
      <c r="V365" s="1624">
        <f>2.58*1.49</f>
        <v>3.8442000000000003</v>
      </c>
      <c r="W365" s="1624">
        <f t="shared" si="354"/>
        <v>2.6909399999999999</v>
      </c>
      <c r="X365" s="1624"/>
      <c r="Y365" s="1624"/>
      <c r="Z365" s="1624">
        <v>0</v>
      </c>
      <c r="AA365" s="1624"/>
      <c r="AB365" s="1624">
        <f>2.58*1.49*70/100</f>
        <v>2.6909399999999999</v>
      </c>
      <c r="AC365" s="1624"/>
      <c r="AD365" s="1624"/>
      <c r="AE365" s="1624"/>
      <c r="AF365" s="1624"/>
      <c r="AG365" s="1624"/>
      <c r="AH365" s="1624">
        <f t="shared" si="355"/>
        <v>0.90338700000000005</v>
      </c>
      <c r="AI365" s="1621">
        <f t="shared" si="356"/>
        <v>0.49923000000000162</v>
      </c>
      <c r="AJ365" s="1621">
        <f t="shared" si="357"/>
        <v>2.9953800000000097</v>
      </c>
      <c r="AK365" s="1448">
        <f t="shared" si="343"/>
        <v>0.49923000000000162</v>
      </c>
      <c r="AL365" s="1431">
        <f t="shared" si="344"/>
        <v>107.19424460431657</v>
      </c>
    </row>
    <row r="366" spans="1:38" s="1507" customFormat="1" ht="27.75" hidden="1" customHeight="1">
      <c r="A366" s="1375"/>
      <c r="B366" s="1453" t="s">
        <v>2561</v>
      </c>
      <c r="C366" s="1455">
        <f t="shared" si="358"/>
        <v>1</v>
      </c>
      <c r="D366" s="1461">
        <v>1</v>
      </c>
      <c r="E366" s="1455"/>
      <c r="F366" s="1461">
        <v>1</v>
      </c>
      <c r="G366" s="1624">
        <f t="shared" si="350"/>
        <v>2.883972</v>
      </c>
      <c r="H366" s="1624">
        <f>1.68*1.39</f>
        <v>2.3351999999999999</v>
      </c>
      <c r="I366" s="1624">
        <f t="shared" si="351"/>
        <v>0</v>
      </c>
      <c r="J366" s="1624"/>
      <c r="K366" s="1624"/>
      <c r="L366" s="1624">
        <v>0</v>
      </c>
      <c r="M366" s="1624"/>
      <c r="N366" s="1624">
        <v>0</v>
      </c>
      <c r="O366" s="1624"/>
      <c r="P366" s="1624"/>
      <c r="Q366" s="1624"/>
      <c r="R366" s="1624"/>
      <c r="S366" s="1624"/>
      <c r="T366" s="1624">
        <f t="shared" si="352"/>
        <v>0.54877200000000004</v>
      </c>
      <c r="U366" s="1624">
        <f t="shared" si="353"/>
        <v>3.0914520000000003</v>
      </c>
      <c r="V366" s="1624">
        <f>1.68*1.49</f>
        <v>2.5032000000000001</v>
      </c>
      <c r="W366" s="1624">
        <f t="shared" si="354"/>
        <v>0</v>
      </c>
      <c r="X366" s="1624"/>
      <c r="Y366" s="1624"/>
      <c r="Z366" s="1624">
        <v>0</v>
      </c>
      <c r="AA366" s="1624"/>
      <c r="AB366" s="1624">
        <v>0</v>
      </c>
      <c r="AC366" s="1624"/>
      <c r="AD366" s="1624"/>
      <c r="AE366" s="1624"/>
      <c r="AF366" s="1624"/>
      <c r="AG366" s="1624"/>
      <c r="AH366" s="1624">
        <f t="shared" si="355"/>
        <v>0.588252</v>
      </c>
      <c r="AI366" s="1621">
        <f t="shared" si="356"/>
        <v>0.20748000000000033</v>
      </c>
      <c r="AJ366" s="1621">
        <f t="shared" si="357"/>
        <v>1.244880000000002</v>
      </c>
      <c r="AK366" s="1448">
        <f t="shared" si="343"/>
        <v>0.20748000000000033</v>
      </c>
      <c r="AL366" s="1431">
        <f t="shared" si="344"/>
        <v>107.19424460431657</v>
      </c>
    </row>
    <row r="367" spans="1:38" s="1507" customFormat="1" ht="27.75" hidden="1" customHeight="1">
      <c r="A367" s="1375"/>
      <c r="B367" s="1453" t="s">
        <v>2562</v>
      </c>
      <c r="C367" s="1455">
        <f t="shared" si="358"/>
        <v>1</v>
      </c>
      <c r="D367" s="1461">
        <v>1</v>
      </c>
      <c r="E367" s="1455"/>
      <c r="F367" s="1461">
        <v>1</v>
      </c>
      <c r="G367" s="1624">
        <f t="shared" si="350"/>
        <v>4.1199599999999998</v>
      </c>
      <c r="H367" s="1624">
        <f>2.4*1.39</f>
        <v>3.3359999999999999</v>
      </c>
      <c r="I367" s="1624">
        <f t="shared" si="351"/>
        <v>0</v>
      </c>
      <c r="J367" s="1624"/>
      <c r="K367" s="1624"/>
      <c r="L367" s="1624">
        <v>0</v>
      </c>
      <c r="M367" s="1624"/>
      <c r="N367" s="1624">
        <v>0</v>
      </c>
      <c r="O367" s="1624"/>
      <c r="P367" s="1624"/>
      <c r="Q367" s="1624"/>
      <c r="R367" s="1624"/>
      <c r="S367" s="1624"/>
      <c r="T367" s="1624">
        <f t="shared" si="352"/>
        <v>0.78395999999999999</v>
      </c>
      <c r="U367" s="1624">
        <f t="shared" si="353"/>
        <v>4.4163600000000001</v>
      </c>
      <c r="V367" s="1624">
        <f>2.4*1.49</f>
        <v>3.5760000000000001</v>
      </c>
      <c r="W367" s="1624">
        <f t="shared" si="354"/>
        <v>0</v>
      </c>
      <c r="X367" s="1624"/>
      <c r="Y367" s="1624"/>
      <c r="Z367" s="1624">
        <v>0</v>
      </c>
      <c r="AA367" s="1624"/>
      <c r="AB367" s="1624">
        <v>0</v>
      </c>
      <c r="AC367" s="1624"/>
      <c r="AD367" s="1624"/>
      <c r="AE367" s="1624"/>
      <c r="AF367" s="1624"/>
      <c r="AG367" s="1624"/>
      <c r="AH367" s="1624">
        <f t="shared" si="355"/>
        <v>0.84036</v>
      </c>
      <c r="AI367" s="1621">
        <f t="shared" si="356"/>
        <v>0.29640000000000022</v>
      </c>
      <c r="AJ367" s="1621">
        <f t="shared" si="357"/>
        <v>1.7784000000000013</v>
      </c>
      <c r="AK367" s="1448">
        <f t="shared" si="343"/>
        <v>0.29640000000000022</v>
      </c>
      <c r="AL367" s="1431">
        <f t="shared" si="344"/>
        <v>107.19424460431655</v>
      </c>
    </row>
    <row r="368" spans="1:38" s="1507" customFormat="1" ht="27.75" hidden="1" customHeight="1">
      <c r="A368" s="1375"/>
      <c r="B368" s="1453" t="s">
        <v>2563</v>
      </c>
      <c r="C368" s="1455">
        <f t="shared" si="358"/>
        <v>0</v>
      </c>
      <c r="D368" s="1461">
        <v>0</v>
      </c>
      <c r="E368" s="1455"/>
      <c r="F368" s="1461">
        <v>0</v>
      </c>
      <c r="G368" s="1624">
        <f t="shared" si="350"/>
        <v>0</v>
      </c>
      <c r="H368" s="1624">
        <v>0</v>
      </c>
      <c r="I368" s="1624">
        <f t="shared" si="351"/>
        <v>0</v>
      </c>
      <c r="J368" s="1624"/>
      <c r="K368" s="1624"/>
      <c r="L368" s="1624">
        <v>0</v>
      </c>
      <c r="M368" s="1624"/>
      <c r="N368" s="1624">
        <v>0</v>
      </c>
      <c r="O368" s="1624"/>
      <c r="P368" s="1624"/>
      <c r="Q368" s="1624"/>
      <c r="R368" s="1624"/>
      <c r="S368" s="1624"/>
      <c r="T368" s="1624">
        <f t="shared" si="352"/>
        <v>0</v>
      </c>
      <c r="U368" s="1624">
        <f t="shared" si="353"/>
        <v>0</v>
      </c>
      <c r="V368" s="1624">
        <v>0</v>
      </c>
      <c r="W368" s="1624">
        <f t="shared" si="354"/>
        <v>0</v>
      </c>
      <c r="X368" s="1624"/>
      <c r="Y368" s="1624"/>
      <c r="Z368" s="1624">
        <v>0</v>
      </c>
      <c r="AA368" s="1624"/>
      <c r="AB368" s="1624">
        <v>0</v>
      </c>
      <c r="AC368" s="1624"/>
      <c r="AD368" s="1624"/>
      <c r="AE368" s="1624"/>
      <c r="AF368" s="1624"/>
      <c r="AG368" s="1624"/>
      <c r="AH368" s="1624">
        <f t="shared" si="355"/>
        <v>0</v>
      </c>
      <c r="AI368" s="1621">
        <f t="shared" si="356"/>
        <v>0</v>
      </c>
      <c r="AJ368" s="1621">
        <f t="shared" si="357"/>
        <v>0</v>
      </c>
      <c r="AK368" s="1448" t="e">
        <f t="shared" si="343"/>
        <v>#DIV/0!</v>
      </c>
      <c r="AL368" s="1431" t="e">
        <f t="shared" si="344"/>
        <v>#DIV/0!</v>
      </c>
    </row>
    <row r="369" spans="1:38" s="1507" customFormat="1" ht="27.75" hidden="1" customHeight="1">
      <c r="A369" s="1375"/>
      <c r="B369" s="1453" t="s">
        <v>2564</v>
      </c>
      <c r="C369" s="1455">
        <f t="shared" si="358"/>
        <v>1</v>
      </c>
      <c r="D369" s="1461">
        <v>1</v>
      </c>
      <c r="E369" s="1455"/>
      <c r="F369" s="1461">
        <v>1</v>
      </c>
      <c r="G369" s="1624">
        <f t="shared" si="350"/>
        <v>2.3346439999999999</v>
      </c>
      <c r="H369" s="1624">
        <f>1.36*1.39</f>
        <v>1.8904000000000001</v>
      </c>
      <c r="I369" s="1624">
        <f t="shared" si="351"/>
        <v>0</v>
      </c>
      <c r="J369" s="1624"/>
      <c r="K369" s="1624"/>
      <c r="L369" s="1624">
        <v>0</v>
      </c>
      <c r="M369" s="1624"/>
      <c r="N369" s="1624">
        <v>0</v>
      </c>
      <c r="O369" s="1624"/>
      <c r="P369" s="1624"/>
      <c r="Q369" s="1624"/>
      <c r="R369" s="1624"/>
      <c r="S369" s="1624"/>
      <c r="T369" s="1624">
        <f t="shared" si="352"/>
        <v>0.44424399999999997</v>
      </c>
      <c r="U369" s="1624">
        <f t="shared" si="353"/>
        <v>2.5026040000000003</v>
      </c>
      <c r="V369" s="1624">
        <f>1.36*1.49</f>
        <v>2.0264000000000002</v>
      </c>
      <c r="W369" s="1624">
        <f t="shared" si="354"/>
        <v>0</v>
      </c>
      <c r="X369" s="1624"/>
      <c r="Y369" s="1624"/>
      <c r="Z369" s="1624">
        <v>0</v>
      </c>
      <c r="AA369" s="1624"/>
      <c r="AB369" s="1624">
        <v>0</v>
      </c>
      <c r="AC369" s="1624"/>
      <c r="AD369" s="1624"/>
      <c r="AE369" s="1624"/>
      <c r="AF369" s="1624"/>
      <c r="AG369" s="1624"/>
      <c r="AH369" s="1624">
        <f t="shared" si="355"/>
        <v>0.47620400000000002</v>
      </c>
      <c r="AI369" s="1621">
        <f t="shared" si="356"/>
        <v>0.16796000000000033</v>
      </c>
      <c r="AJ369" s="1621">
        <f t="shared" si="357"/>
        <v>1.007760000000002</v>
      </c>
      <c r="AK369" s="1448">
        <f t="shared" si="343"/>
        <v>0.16796000000000033</v>
      </c>
      <c r="AL369" s="1431">
        <f t="shared" si="344"/>
        <v>107.19424460431657</v>
      </c>
    </row>
    <row r="370" spans="1:38" s="1507" customFormat="1" ht="27.75" hidden="1" customHeight="1">
      <c r="A370" s="1375"/>
      <c r="B370" s="1453" t="s">
        <v>2565</v>
      </c>
      <c r="C370" s="1455">
        <f t="shared" si="358"/>
        <v>2</v>
      </c>
      <c r="D370" s="1461">
        <v>2</v>
      </c>
      <c r="E370" s="1455"/>
      <c r="F370" s="1461">
        <v>2</v>
      </c>
      <c r="G370" s="1624">
        <f t="shared" si="350"/>
        <v>5.1499500000000005</v>
      </c>
      <c r="H370" s="1624">
        <f>3*1.39</f>
        <v>4.17</v>
      </c>
      <c r="I370" s="1624">
        <f t="shared" si="351"/>
        <v>0</v>
      </c>
      <c r="J370" s="1624"/>
      <c r="K370" s="1624"/>
      <c r="L370" s="1624">
        <v>0</v>
      </c>
      <c r="M370" s="1624"/>
      <c r="N370" s="1624">
        <v>0</v>
      </c>
      <c r="O370" s="1624"/>
      <c r="P370" s="1624"/>
      <c r="Q370" s="1624"/>
      <c r="R370" s="1624"/>
      <c r="S370" s="1624"/>
      <c r="T370" s="1624">
        <f t="shared" si="352"/>
        <v>0.9799500000000001</v>
      </c>
      <c r="U370" s="1624">
        <f t="shared" si="353"/>
        <v>5.5204499999999994</v>
      </c>
      <c r="V370" s="1624">
        <f>3*1.49</f>
        <v>4.47</v>
      </c>
      <c r="W370" s="1624">
        <f t="shared" si="354"/>
        <v>0</v>
      </c>
      <c r="X370" s="1624"/>
      <c r="Y370" s="1624"/>
      <c r="Z370" s="1624">
        <v>0</v>
      </c>
      <c r="AA370" s="1624"/>
      <c r="AB370" s="1624">
        <v>0</v>
      </c>
      <c r="AC370" s="1624"/>
      <c r="AD370" s="1624"/>
      <c r="AE370" s="1624"/>
      <c r="AF370" s="1624"/>
      <c r="AG370" s="1624"/>
      <c r="AH370" s="1624">
        <f t="shared" si="355"/>
        <v>1.0504499999999999</v>
      </c>
      <c r="AI370" s="1621">
        <f t="shared" si="356"/>
        <v>0.37049999999999894</v>
      </c>
      <c r="AJ370" s="1621">
        <f t="shared" si="357"/>
        <v>2.2229999999999936</v>
      </c>
      <c r="AK370" s="1448">
        <f t="shared" si="343"/>
        <v>0.18524999999999947</v>
      </c>
      <c r="AL370" s="1431">
        <f t="shared" si="344"/>
        <v>107.19424460431652</v>
      </c>
    </row>
    <row r="371" spans="1:38" s="1507" customFormat="1" ht="27.75" hidden="1" customHeight="1">
      <c r="A371" s="1375"/>
      <c r="B371" s="1453" t="s">
        <v>2566</v>
      </c>
      <c r="C371" s="1455">
        <f t="shared" si="358"/>
        <v>2</v>
      </c>
      <c r="D371" s="1461">
        <v>2</v>
      </c>
      <c r="E371" s="1455"/>
      <c r="F371" s="1461">
        <v>2</v>
      </c>
      <c r="G371" s="1624">
        <f t="shared" si="350"/>
        <v>6.0769409999999997</v>
      </c>
      <c r="H371" s="1624">
        <f>3.54*1.39</f>
        <v>4.9205999999999994</v>
      </c>
      <c r="I371" s="1624">
        <f t="shared" si="351"/>
        <v>0</v>
      </c>
      <c r="J371" s="1624"/>
      <c r="K371" s="1624"/>
      <c r="L371" s="1624">
        <v>0</v>
      </c>
      <c r="M371" s="1624"/>
      <c r="N371" s="1624">
        <v>0</v>
      </c>
      <c r="O371" s="1624"/>
      <c r="P371" s="1624"/>
      <c r="Q371" s="1624"/>
      <c r="R371" s="1624"/>
      <c r="S371" s="1624"/>
      <c r="T371" s="1624">
        <f t="shared" si="352"/>
        <v>1.1563409999999998</v>
      </c>
      <c r="U371" s="1624">
        <f t="shared" si="353"/>
        <v>6.5141310000000008</v>
      </c>
      <c r="V371" s="1624">
        <f>3.54*1.49</f>
        <v>5.2746000000000004</v>
      </c>
      <c r="W371" s="1624">
        <f t="shared" si="354"/>
        <v>0</v>
      </c>
      <c r="X371" s="1624"/>
      <c r="Y371" s="1624"/>
      <c r="Z371" s="1624">
        <v>0</v>
      </c>
      <c r="AA371" s="1624"/>
      <c r="AB371" s="1624">
        <v>0</v>
      </c>
      <c r="AC371" s="1624"/>
      <c r="AD371" s="1624"/>
      <c r="AE371" s="1624"/>
      <c r="AF371" s="1624"/>
      <c r="AG371" s="1624"/>
      <c r="AH371" s="1624">
        <f t="shared" si="355"/>
        <v>1.2395310000000002</v>
      </c>
      <c r="AI371" s="1621">
        <f t="shared" si="356"/>
        <v>0.43719000000000108</v>
      </c>
      <c r="AJ371" s="1621">
        <f t="shared" si="357"/>
        <v>2.6231400000000065</v>
      </c>
      <c r="AK371" s="1448">
        <f t="shared" si="343"/>
        <v>0.21859500000000054</v>
      </c>
      <c r="AL371" s="1431">
        <f t="shared" si="344"/>
        <v>107.19424460431657</v>
      </c>
    </row>
    <row r="372" spans="1:38" s="1507" customFormat="1" ht="27.75" hidden="1" customHeight="1">
      <c r="A372" s="1375"/>
      <c r="B372" s="1453" t="s">
        <v>2567</v>
      </c>
      <c r="C372" s="1455">
        <f t="shared" si="358"/>
        <v>1</v>
      </c>
      <c r="D372" s="1461">
        <v>1</v>
      </c>
      <c r="E372" s="1455"/>
      <c r="F372" s="1461">
        <v>1</v>
      </c>
      <c r="G372" s="1624">
        <f t="shared" si="350"/>
        <v>5.4868860000000002</v>
      </c>
      <c r="H372" s="1624">
        <f>2.04*1.39</f>
        <v>2.8355999999999999</v>
      </c>
      <c r="I372" s="1624">
        <f t="shared" si="351"/>
        <v>1.9849199999999998</v>
      </c>
      <c r="J372" s="1624"/>
      <c r="K372" s="1624"/>
      <c r="L372" s="1624">
        <v>0</v>
      </c>
      <c r="M372" s="1624"/>
      <c r="N372" s="1624">
        <f>2.04*1.39*70/100</f>
        <v>1.9849199999999998</v>
      </c>
      <c r="O372" s="1624"/>
      <c r="P372" s="1624"/>
      <c r="Q372" s="1624"/>
      <c r="R372" s="1624"/>
      <c r="S372" s="1624"/>
      <c r="T372" s="1624">
        <f t="shared" si="352"/>
        <v>0.66636600000000001</v>
      </c>
      <c r="U372" s="1624">
        <f t="shared" si="353"/>
        <v>5.8816259999999998</v>
      </c>
      <c r="V372" s="1624">
        <f>2.04*1.49</f>
        <v>3.0396000000000001</v>
      </c>
      <c r="W372" s="1624">
        <f t="shared" si="354"/>
        <v>2.1277200000000001</v>
      </c>
      <c r="X372" s="1624"/>
      <c r="Y372" s="1624"/>
      <c r="Z372" s="1624">
        <v>0</v>
      </c>
      <c r="AA372" s="1624"/>
      <c r="AB372" s="1624">
        <f>2.04*1.49*70/100</f>
        <v>2.1277200000000001</v>
      </c>
      <c r="AC372" s="1624"/>
      <c r="AD372" s="1624"/>
      <c r="AE372" s="1624"/>
      <c r="AF372" s="1624"/>
      <c r="AG372" s="1624"/>
      <c r="AH372" s="1624">
        <f t="shared" si="355"/>
        <v>0.714306</v>
      </c>
      <c r="AI372" s="1621">
        <f t="shared" si="356"/>
        <v>0.39473999999999965</v>
      </c>
      <c r="AJ372" s="1621">
        <f t="shared" si="357"/>
        <v>2.3684399999999979</v>
      </c>
      <c r="AK372" s="1448">
        <f t="shared" si="343"/>
        <v>0.39473999999999965</v>
      </c>
      <c r="AL372" s="1431">
        <f t="shared" si="344"/>
        <v>107.19424460431655</v>
      </c>
    </row>
    <row r="373" spans="1:38" s="1507" customFormat="1" ht="27.75" hidden="1" customHeight="1">
      <c r="A373" s="1375"/>
      <c r="B373" s="1453" t="s">
        <v>2568</v>
      </c>
      <c r="C373" s="1455">
        <f t="shared" si="358"/>
        <v>1</v>
      </c>
      <c r="D373" s="1461">
        <v>1</v>
      </c>
      <c r="E373" s="1455"/>
      <c r="F373" s="1461">
        <v>1</v>
      </c>
      <c r="G373" s="1624">
        <f t="shared" si="350"/>
        <v>3.5019659999999999</v>
      </c>
      <c r="H373" s="1624">
        <f>2.04*1.39</f>
        <v>2.8355999999999999</v>
      </c>
      <c r="I373" s="1624">
        <f t="shared" si="351"/>
        <v>0</v>
      </c>
      <c r="J373" s="1624"/>
      <c r="K373" s="1624"/>
      <c r="L373" s="1624">
        <v>0</v>
      </c>
      <c r="M373" s="1624"/>
      <c r="N373" s="1624">
        <v>0</v>
      </c>
      <c r="O373" s="1624"/>
      <c r="P373" s="1624"/>
      <c r="Q373" s="1624"/>
      <c r="R373" s="1624"/>
      <c r="S373" s="1624"/>
      <c r="T373" s="1624">
        <f t="shared" si="352"/>
        <v>0.66636600000000001</v>
      </c>
      <c r="U373" s="1624">
        <f t="shared" si="353"/>
        <v>3.7539060000000002</v>
      </c>
      <c r="V373" s="1624">
        <f>2.04*1.49</f>
        <v>3.0396000000000001</v>
      </c>
      <c r="W373" s="1624">
        <f t="shared" si="354"/>
        <v>0</v>
      </c>
      <c r="X373" s="1624"/>
      <c r="Y373" s="1624"/>
      <c r="Z373" s="1624">
        <v>0</v>
      </c>
      <c r="AA373" s="1624"/>
      <c r="AB373" s="1624">
        <v>0</v>
      </c>
      <c r="AC373" s="1624"/>
      <c r="AD373" s="1624"/>
      <c r="AE373" s="1624"/>
      <c r="AF373" s="1624"/>
      <c r="AG373" s="1624"/>
      <c r="AH373" s="1624">
        <f t="shared" si="355"/>
        <v>0.714306</v>
      </c>
      <c r="AI373" s="1621">
        <f t="shared" si="356"/>
        <v>0.25194000000000027</v>
      </c>
      <c r="AJ373" s="1621">
        <f t="shared" si="357"/>
        <v>1.5116400000000016</v>
      </c>
      <c r="AK373" s="1448">
        <f t="shared" si="343"/>
        <v>0.25194000000000027</v>
      </c>
      <c r="AL373" s="1431">
        <f t="shared" si="344"/>
        <v>107.19424460431655</v>
      </c>
    </row>
    <row r="374" spans="1:38" s="1507" customFormat="1" ht="27.75" hidden="1" customHeight="1">
      <c r="A374" s="1375"/>
      <c r="B374" s="1453" t="s">
        <v>2569</v>
      </c>
      <c r="C374" s="1455">
        <f t="shared" si="358"/>
        <v>3</v>
      </c>
      <c r="D374" s="1461">
        <v>3</v>
      </c>
      <c r="E374" s="1455"/>
      <c r="F374" s="1461">
        <v>3</v>
      </c>
      <c r="G374" s="1624">
        <f t="shared" si="350"/>
        <v>11.311125000000001</v>
      </c>
      <c r="H374" s="1624">
        <f>4.9*1.39</f>
        <v>6.8109999999999999</v>
      </c>
      <c r="I374" s="1624">
        <f t="shared" si="351"/>
        <v>2.89954</v>
      </c>
      <c r="J374" s="1624"/>
      <c r="K374" s="1624"/>
      <c r="L374" s="1624">
        <v>0</v>
      </c>
      <c r="M374" s="1624"/>
      <c r="N374" s="1624">
        <f>2.98*1.39*70/100</f>
        <v>2.89954</v>
      </c>
      <c r="O374" s="1624"/>
      <c r="P374" s="1624"/>
      <c r="Q374" s="1624"/>
      <c r="R374" s="1624"/>
      <c r="S374" s="1624"/>
      <c r="T374" s="1624">
        <f t="shared" si="352"/>
        <v>1.6005850000000001</v>
      </c>
      <c r="U374" s="1624">
        <f t="shared" si="353"/>
        <v>12.124875000000001</v>
      </c>
      <c r="V374" s="1624">
        <f>4.9*1.49</f>
        <v>7.3010000000000002</v>
      </c>
      <c r="W374" s="1624">
        <f t="shared" si="354"/>
        <v>3.1081400000000001</v>
      </c>
      <c r="X374" s="1624"/>
      <c r="Y374" s="1624"/>
      <c r="Z374" s="1624">
        <v>0</v>
      </c>
      <c r="AA374" s="1624"/>
      <c r="AB374" s="1624">
        <f>2.98*1.49*70/100</f>
        <v>3.1081400000000001</v>
      </c>
      <c r="AC374" s="1624"/>
      <c r="AD374" s="1624"/>
      <c r="AE374" s="1624"/>
      <c r="AF374" s="1624"/>
      <c r="AG374" s="1624"/>
      <c r="AH374" s="1624">
        <f t="shared" si="355"/>
        <v>1.715735</v>
      </c>
      <c r="AI374" s="1621">
        <f t="shared" si="356"/>
        <v>0.81375000000000064</v>
      </c>
      <c r="AJ374" s="1621">
        <f t="shared" si="357"/>
        <v>4.8825000000000038</v>
      </c>
      <c r="AK374" s="1448">
        <f t="shared" si="343"/>
        <v>0.27125000000000021</v>
      </c>
      <c r="AL374" s="1431">
        <f t="shared" si="344"/>
        <v>107.19424460431655</v>
      </c>
    </row>
    <row r="375" spans="1:38" s="1507" customFormat="1" ht="27.75" hidden="1" customHeight="1">
      <c r="A375" s="1375"/>
      <c r="B375" s="1453" t="s">
        <v>2570</v>
      </c>
      <c r="C375" s="1455">
        <f t="shared" si="358"/>
        <v>1</v>
      </c>
      <c r="D375" s="1461">
        <v>1</v>
      </c>
      <c r="E375" s="1455"/>
      <c r="F375" s="1461">
        <v>1</v>
      </c>
      <c r="G375" s="1624">
        <f t="shared" si="350"/>
        <v>5.4743968499999998</v>
      </c>
      <c r="H375" s="1624">
        <f>2.98*1.39</f>
        <v>4.1421999999999999</v>
      </c>
      <c r="I375" s="1624">
        <f t="shared" si="351"/>
        <v>0.29050999999999999</v>
      </c>
      <c r="J375" s="1624"/>
      <c r="K375" s="1624"/>
      <c r="L375" s="1624">
        <f>0.209*1.39</f>
        <v>0.29050999999999999</v>
      </c>
      <c r="M375" s="1624"/>
      <c r="N375" s="1624">
        <v>0</v>
      </c>
      <c r="O375" s="1624"/>
      <c r="P375" s="1624"/>
      <c r="Q375" s="1624"/>
      <c r="R375" s="1624"/>
      <c r="S375" s="1624"/>
      <c r="T375" s="1624">
        <f t="shared" si="352"/>
        <v>1.0416868500000001</v>
      </c>
      <c r="U375" s="1624">
        <f t="shared" si="353"/>
        <v>5.8682383499999995</v>
      </c>
      <c r="V375" s="1624">
        <f>2.98*1.49</f>
        <v>4.4401999999999999</v>
      </c>
      <c r="W375" s="1624">
        <f t="shared" si="354"/>
        <v>0.31140999999999996</v>
      </c>
      <c r="X375" s="1624"/>
      <c r="Y375" s="1624"/>
      <c r="Z375" s="1624">
        <f>0.209*1.49</f>
        <v>0.31140999999999996</v>
      </c>
      <c r="AA375" s="1624"/>
      <c r="AB375" s="1624">
        <v>0</v>
      </c>
      <c r="AC375" s="1624"/>
      <c r="AD375" s="1624"/>
      <c r="AE375" s="1624"/>
      <c r="AF375" s="1624"/>
      <c r="AG375" s="1624"/>
      <c r="AH375" s="1624">
        <f t="shared" si="355"/>
        <v>1.1166283499999998</v>
      </c>
      <c r="AI375" s="1621">
        <f t="shared" si="356"/>
        <v>0.39384149999999973</v>
      </c>
      <c r="AJ375" s="1621">
        <f t="shared" si="357"/>
        <v>2.3630489999999984</v>
      </c>
      <c r="AK375" s="1448">
        <f t="shared" si="343"/>
        <v>0.39384149999999973</v>
      </c>
      <c r="AL375" s="1431">
        <f t="shared" si="344"/>
        <v>107.19424460431655</v>
      </c>
    </row>
    <row r="376" spans="1:38" s="1507" customFormat="1" ht="27.75" hidden="1" customHeight="1">
      <c r="A376" s="1375"/>
      <c r="B376" s="1453" t="s">
        <v>2571</v>
      </c>
      <c r="C376" s="1455">
        <f t="shared" si="358"/>
        <v>0</v>
      </c>
      <c r="D376" s="1461">
        <v>0</v>
      </c>
      <c r="E376" s="1455"/>
      <c r="F376" s="1461">
        <v>0</v>
      </c>
      <c r="G376" s="1624">
        <f t="shared" si="350"/>
        <v>0</v>
      </c>
      <c r="H376" s="1624">
        <v>0</v>
      </c>
      <c r="I376" s="1624">
        <f t="shared" si="351"/>
        <v>0</v>
      </c>
      <c r="J376" s="1624"/>
      <c r="K376" s="1624"/>
      <c r="L376" s="1624">
        <v>0</v>
      </c>
      <c r="M376" s="1624"/>
      <c r="N376" s="1624">
        <v>0</v>
      </c>
      <c r="O376" s="1624"/>
      <c r="P376" s="1624"/>
      <c r="Q376" s="1624"/>
      <c r="R376" s="1624"/>
      <c r="S376" s="1624"/>
      <c r="T376" s="1624">
        <f t="shared" si="352"/>
        <v>0</v>
      </c>
      <c r="U376" s="1624">
        <f t="shared" si="353"/>
        <v>0</v>
      </c>
      <c r="V376" s="1624">
        <v>0</v>
      </c>
      <c r="W376" s="1624">
        <f t="shared" si="354"/>
        <v>0</v>
      </c>
      <c r="X376" s="1624"/>
      <c r="Y376" s="1624"/>
      <c r="Z376" s="1624">
        <v>0</v>
      </c>
      <c r="AA376" s="1624"/>
      <c r="AB376" s="1624">
        <v>0</v>
      </c>
      <c r="AC376" s="1624"/>
      <c r="AD376" s="1624"/>
      <c r="AE376" s="1624"/>
      <c r="AF376" s="1624"/>
      <c r="AG376" s="1624"/>
      <c r="AH376" s="1624">
        <f t="shared" si="355"/>
        <v>0</v>
      </c>
      <c r="AI376" s="1621">
        <f t="shared" si="356"/>
        <v>0</v>
      </c>
      <c r="AJ376" s="1621">
        <f t="shared" si="357"/>
        <v>0</v>
      </c>
      <c r="AK376" s="1448" t="e">
        <f t="shared" si="343"/>
        <v>#DIV/0!</v>
      </c>
      <c r="AL376" s="1431" t="e">
        <f t="shared" si="344"/>
        <v>#DIV/0!</v>
      </c>
    </row>
    <row r="377" spans="1:38" s="1507" customFormat="1" ht="27.75" hidden="1" customHeight="1">
      <c r="A377" s="1375"/>
      <c r="B377" s="1453" t="s">
        <v>2572</v>
      </c>
      <c r="C377" s="1455">
        <f t="shared" si="358"/>
        <v>0</v>
      </c>
      <c r="D377" s="1461">
        <v>0</v>
      </c>
      <c r="E377" s="1455"/>
      <c r="F377" s="1461">
        <v>0</v>
      </c>
      <c r="G377" s="1624">
        <v>0</v>
      </c>
      <c r="H377" s="1624">
        <v>0</v>
      </c>
      <c r="I377" s="1624"/>
      <c r="J377" s="1624"/>
      <c r="K377" s="1624"/>
      <c r="L377" s="1624">
        <v>0</v>
      </c>
      <c r="M377" s="1624"/>
      <c r="N377" s="1624">
        <v>0</v>
      </c>
      <c r="O377" s="1624"/>
      <c r="P377" s="1624"/>
      <c r="Q377" s="1624"/>
      <c r="R377" s="1624"/>
      <c r="S377" s="1624"/>
      <c r="T377" s="1624"/>
      <c r="U377" s="1624">
        <v>0</v>
      </c>
      <c r="V377" s="1624">
        <v>0</v>
      </c>
      <c r="W377" s="1624"/>
      <c r="X377" s="1624"/>
      <c r="Y377" s="1624"/>
      <c r="Z377" s="1624">
        <v>0</v>
      </c>
      <c r="AA377" s="1624"/>
      <c r="AB377" s="1624">
        <v>0</v>
      </c>
      <c r="AC377" s="1624"/>
      <c r="AD377" s="1624"/>
      <c r="AE377" s="1624"/>
      <c r="AF377" s="1624"/>
      <c r="AG377" s="1624"/>
      <c r="AH377" s="1624"/>
      <c r="AI377" s="1621">
        <f t="shared" si="356"/>
        <v>0</v>
      </c>
      <c r="AJ377" s="1621">
        <f t="shared" si="357"/>
        <v>0</v>
      </c>
      <c r="AK377" s="1448" t="e">
        <f t="shared" si="343"/>
        <v>#DIV/0!</v>
      </c>
      <c r="AL377" s="1431" t="e">
        <f t="shared" si="344"/>
        <v>#DIV/0!</v>
      </c>
    </row>
    <row r="378" spans="1:38" s="1507" customFormat="1" ht="27.75" hidden="1" customHeight="1">
      <c r="A378" s="1375"/>
      <c r="B378" s="1453" t="s">
        <v>2573</v>
      </c>
      <c r="C378" s="1455">
        <f t="shared" si="358"/>
        <v>2</v>
      </c>
      <c r="D378" s="1461">
        <v>2</v>
      </c>
      <c r="E378" s="1455"/>
      <c r="F378" s="1461">
        <v>2</v>
      </c>
      <c r="G378" s="1624">
        <f>H378+I378+T378</f>
        <v>7.3129289999999987</v>
      </c>
      <c r="H378" s="1624">
        <f>4.26*1.39</f>
        <v>5.9213999999999993</v>
      </c>
      <c r="I378" s="1624">
        <f>SUM(J378:S378)</f>
        <v>0</v>
      </c>
      <c r="J378" s="1624"/>
      <c r="K378" s="1624"/>
      <c r="L378" s="1624">
        <v>0</v>
      </c>
      <c r="M378" s="1624"/>
      <c r="N378" s="1624">
        <v>0</v>
      </c>
      <c r="O378" s="1624"/>
      <c r="P378" s="1624"/>
      <c r="Q378" s="1624"/>
      <c r="R378" s="1624"/>
      <c r="S378" s="1624"/>
      <c r="T378" s="1624">
        <f>(H378+K378+L378+R378)*23.5/100</f>
        <v>1.3915289999999998</v>
      </c>
      <c r="U378" s="1624">
        <f>V378+W378+AH378</f>
        <v>7.8390389999999996</v>
      </c>
      <c r="V378" s="1624">
        <f>4.26*1.49</f>
        <v>6.3473999999999995</v>
      </c>
      <c r="W378" s="1624">
        <f>SUM(X378:AG378)</f>
        <v>0</v>
      </c>
      <c r="X378" s="1624"/>
      <c r="Y378" s="1624"/>
      <c r="Z378" s="1624">
        <v>0</v>
      </c>
      <c r="AA378" s="1624"/>
      <c r="AB378" s="1624">
        <v>0</v>
      </c>
      <c r="AC378" s="1624"/>
      <c r="AD378" s="1624"/>
      <c r="AE378" s="1624"/>
      <c r="AF378" s="1624"/>
      <c r="AG378" s="1624"/>
      <c r="AH378" s="1624">
        <f>(V378+Y378+Z378+AF378)*23.5/100</f>
        <v>1.4916389999999999</v>
      </c>
      <c r="AI378" s="1621">
        <f t="shared" si="356"/>
        <v>0.52611000000000097</v>
      </c>
      <c r="AJ378" s="1621">
        <f t="shared" si="357"/>
        <v>3.1566600000000058</v>
      </c>
      <c r="AK378" s="1448">
        <f t="shared" si="343"/>
        <v>0.26305500000000048</v>
      </c>
      <c r="AL378" s="1431">
        <f t="shared" si="344"/>
        <v>107.19424460431657</v>
      </c>
    </row>
    <row r="379" spans="1:38" s="1507" customFormat="1" ht="27.75" hidden="1" customHeight="1">
      <c r="A379" s="1375"/>
      <c r="B379" s="1453" t="s">
        <v>2574</v>
      </c>
      <c r="C379" s="1455">
        <f t="shared" si="358"/>
        <v>0</v>
      </c>
      <c r="D379" s="1461">
        <v>0</v>
      </c>
      <c r="E379" s="1455"/>
      <c r="F379" s="1461">
        <v>0</v>
      </c>
      <c r="G379" s="1624">
        <v>0</v>
      </c>
      <c r="H379" s="1624">
        <v>0</v>
      </c>
      <c r="I379" s="1624"/>
      <c r="J379" s="1624"/>
      <c r="K379" s="1624"/>
      <c r="L379" s="1624">
        <v>0</v>
      </c>
      <c r="M379" s="1624"/>
      <c r="N379" s="1624">
        <v>0</v>
      </c>
      <c r="O379" s="1624"/>
      <c r="P379" s="1624"/>
      <c r="Q379" s="1624"/>
      <c r="R379" s="1624"/>
      <c r="S379" s="1624"/>
      <c r="T379" s="1624"/>
      <c r="U379" s="1624">
        <v>0</v>
      </c>
      <c r="V379" s="1624">
        <v>0</v>
      </c>
      <c r="W379" s="1624"/>
      <c r="X379" s="1624"/>
      <c r="Y379" s="1624"/>
      <c r="Z379" s="1624">
        <v>0</v>
      </c>
      <c r="AA379" s="1624"/>
      <c r="AB379" s="1624">
        <v>0</v>
      </c>
      <c r="AC379" s="1624"/>
      <c r="AD379" s="1624"/>
      <c r="AE379" s="1624"/>
      <c r="AF379" s="1624"/>
      <c r="AG379" s="1624"/>
      <c r="AH379" s="1624"/>
      <c r="AI379" s="1621">
        <f t="shared" si="356"/>
        <v>0</v>
      </c>
      <c r="AJ379" s="1621">
        <f t="shared" si="357"/>
        <v>0</v>
      </c>
      <c r="AK379" s="1448" t="e">
        <f t="shared" si="343"/>
        <v>#DIV/0!</v>
      </c>
      <c r="AL379" s="1431" t="e">
        <f t="shared" si="344"/>
        <v>#DIV/0!</v>
      </c>
    </row>
    <row r="380" spans="1:38" s="1507" customFormat="1" ht="27.75" hidden="1" customHeight="1">
      <c r="A380" s="1375"/>
      <c r="B380" s="1453" t="s">
        <v>2575</v>
      </c>
      <c r="C380" s="1455">
        <f t="shared" si="358"/>
        <v>3</v>
      </c>
      <c r="D380" s="1461">
        <v>3</v>
      </c>
      <c r="E380" s="1455"/>
      <c r="F380" s="1461">
        <v>3</v>
      </c>
      <c r="G380" s="1624">
        <f t="shared" ref="G380:G392" si="359">H380+I380+T380</f>
        <v>5.767944</v>
      </c>
      <c r="H380" s="1624">
        <f>3.36*1.39</f>
        <v>4.6703999999999999</v>
      </c>
      <c r="I380" s="1624">
        <f t="shared" ref="I380:I392" si="360">SUM(J380:S380)</f>
        <v>0</v>
      </c>
      <c r="J380" s="1624"/>
      <c r="K380" s="1624"/>
      <c r="L380" s="1624"/>
      <c r="M380" s="1624"/>
      <c r="N380" s="1624">
        <v>0</v>
      </c>
      <c r="O380" s="1624"/>
      <c r="P380" s="1624"/>
      <c r="Q380" s="1624"/>
      <c r="R380" s="1624"/>
      <c r="S380" s="1624"/>
      <c r="T380" s="1624">
        <f t="shared" ref="T380:T392" si="361">(H380+K380+L380+R380)*23.5/100</f>
        <v>1.0975440000000001</v>
      </c>
      <c r="U380" s="1624">
        <f t="shared" ref="U380:U392" si="362">V380+W380+AH380</f>
        <v>6.1829040000000006</v>
      </c>
      <c r="V380" s="1624">
        <f>3.36*1.49</f>
        <v>5.0064000000000002</v>
      </c>
      <c r="W380" s="1624">
        <f t="shared" ref="W380:W392" si="363">SUM(X380:AG380)</f>
        <v>0</v>
      </c>
      <c r="X380" s="1624"/>
      <c r="Y380" s="1624"/>
      <c r="Z380" s="1624"/>
      <c r="AA380" s="1624"/>
      <c r="AB380" s="1624">
        <v>0</v>
      </c>
      <c r="AC380" s="1624"/>
      <c r="AD380" s="1624"/>
      <c r="AE380" s="1624"/>
      <c r="AF380" s="1624"/>
      <c r="AG380" s="1624"/>
      <c r="AH380" s="1624">
        <f t="shared" ref="AH380:AH392" si="364">(V380+Y380+Z380+AF380)*23.5/100</f>
        <v>1.176504</v>
      </c>
      <c r="AI380" s="1621">
        <f t="shared" si="356"/>
        <v>0.41496000000000066</v>
      </c>
      <c r="AJ380" s="1621">
        <f t="shared" si="357"/>
        <v>2.489760000000004</v>
      </c>
      <c r="AK380" s="1448">
        <f t="shared" si="343"/>
        <v>0.13832000000000022</v>
      </c>
      <c r="AL380" s="1431">
        <f t="shared" si="344"/>
        <v>107.19424460431657</v>
      </c>
    </row>
    <row r="381" spans="1:38" s="1507" customFormat="1" ht="27.75" hidden="1" customHeight="1">
      <c r="A381" s="1375"/>
      <c r="B381" s="1453" t="s">
        <v>2576</v>
      </c>
      <c r="C381" s="1455">
        <f t="shared" si="358"/>
        <v>1</v>
      </c>
      <c r="D381" s="1461">
        <v>1</v>
      </c>
      <c r="E381" s="1455"/>
      <c r="F381" s="1461">
        <v>1</v>
      </c>
      <c r="G381" s="1624">
        <f t="shared" si="359"/>
        <v>5.046951</v>
      </c>
      <c r="H381" s="1624">
        <f>2.94*1.39</f>
        <v>4.0865999999999998</v>
      </c>
      <c r="I381" s="1624">
        <f t="shared" si="360"/>
        <v>0</v>
      </c>
      <c r="J381" s="1624"/>
      <c r="K381" s="1624"/>
      <c r="L381" s="1624">
        <v>0</v>
      </c>
      <c r="M381" s="1624"/>
      <c r="N381" s="1624">
        <v>0</v>
      </c>
      <c r="O381" s="1624"/>
      <c r="P381" s="1624"/>
      <c r="Q381" s="1624"/>
      <c r="R381" s="1624"/>
      <c r="S381" s="1624"/>
      <c r="T381" s="1624">
        <f t="shared" si="361"/>
        <v>0.96035099999999995</v>
      </c>
      <c r="U381" s="1624">
        <f t="shared" si="362"/>
        <v>5.4100410000000005</v>
      </c>
      <c r="V381" s="1624">
        <f>2.94*1.49</f>
        <v>4.3806000000000003</v>
      </c>
      <c r="W381" s="1624">
        <f t="shared" si="363"/>
        <v>0</v>
      </c>
      <c r="X381" s="1624"/>
      <c r="Y381" s="1624"/>
      <c r="Z381" s="1624">
        <v>0</v>
      </c>
      <c r="AA381" s="1624"/>
      <c r="AB381" s="1624">
        <v>0</v>
      </c>
      <c r="AC381" s="1624"/>
      <c r="AD381" s="1624"/>
      <c r="AE381" s="1624"/>
      <c r="AF381" s="1624"/>
      <c r="AG381" s="1624"/>
      <c r="AH381" s="1624">
        <f t="shared" si="364"/>
        <v>1.0294410000000001</v>
      </c>
      <c r="AI381" s="1621">
        <f t="shared" si="356"/>
        <v>0.36309000000000058</v>
      </c>
      <c r="AJ381" s="1621">
        <f t="shared" si="357"/>
        <v>2.1785400000000035</v>
      </c>
      <c r="AK381" s="1448">
        <f t="shared" si="343"/>
        <v>0.36309000000000058</v>
      </c>
      <c r="AL381" s="1431">
        <f t="shared" si="344"/>
        <v>107.19424460431657</v>
      </c>
    </row>
    <row r="382" spans="1:38" s="1507" customFormat="1" ht="27.75" hidden="1" customHeight="1">
      <c r="A382" s="1375"/>
      <c r="B382" s="1453" t="s">
        <v>2577</v>
      </c>
      <c r="C382" s="1455">
        <f t="shared" si="358"/>
        <v>1</v>
      </c>
      <c r="D382" s="1461">
        <v>1</v>
      </c>
      <c r="E382" s="1455"/>
      <c r="F382" s="1461">
        <v>1</v>
      </c>
      <c r="G382" s="1624">
        <f t="shared" si="359"/>
        <v>3.5019659999999999</v>
      </c>
      <c r="H382" s="1624">
        <f>2.04*1.39</f>
        <v>2.8355999999999999</v>
      </c>
      <c r="I382" s="1624">
        <f t="shared" si="360"/>
        <v>0</v>
      </c>
      <c r="J382" s="1624"/>
      <c r="K382" s="1624"/>
      <c r="L382" s="1624">
        <v>0</v>
      </c>
      <c r="M382" s="1624"/>
      <c r="N382" s="1624">
        <v>0</v>
      </c>
      <c r="O382" s="1624"/>
      <c r="P382" s="1624"/>
      <c r="Q382" s="1624"/>
      <c r="R382" s="1624"/>
      <c r="S382" s="1624"/>
      <c r="T382" s="1624">
        <f t="shared" si="361"/>
        <v>0.66636600000000001</v>
      </c>
      <c r="U382" s="1624">
        <f t="shared" si="362"/>
        <v>3.7539060000000002</v>
      </c>
      <c r="V382" s="1624">
        <f>2.04*1.49</f>
        <v>3.0396000000000001</v>
      </c>
      <c r="W382" s="1624">
        <f t="shared" si="363"/>
        <v>0</v>
      </c>
      <c r="X382" s="1624"/>
      <c r="Y382" s="1624"/>
      <c r="Z382" s="1624">
        <v>0</v>
      </c>
      <c r="AA382" s="1624"/>
      <c r="AB382" s="1624">
        <v>0</v>
      </c>
      <c r="AC382" s="1624"/>
      <c r="AD382" s="1624"/>
      <c r="AE382" s="1624"/>
      <c r="AF382" s="1624"/>
      <c r="AG382" s="1624"/>
      <c r="AH382" s="1624">
        <f t="shared" si="364"/>
        <v>0.714306</v>
      </c>
      <c r="AI382" s="1621">
        <f t="shared" si="356"/>
        <v>0.25194000000000027</v>
      </c>
      <c r="AJ382" s="1621">
        <f t="shared" si="357"/>
        <v>1.5116400000000016</v>
      </c>
      <c r="AK382" s="1448">
        <f t="shared" si="343"/>
        <v>0.25194000000000027</v>
      </c>
      <c r="AL382" s="1431">
        <f t="shared" si="344"/>
        <v>107.19424460431655</v>
      </c>
    </row>
    <row r="383" spans="1:38" s="1507" customFormat="1" ht="27.75" hidden="1" customHeight="1">
      <c r="A383" s="1375"/>
      <c r="B383" s="1453" t="s">
        <v>2578</v>
      </c>
      <c r="C383" s="1455">
        <f t="shared" si="358"/>
        <v>2</v>
      </c>
      <c r="D383" s="1461">
        <v>2</v>
      </c>
      <c r="E383" s="1455"/>
      <c r="F383" s="1461">
        <v>2</v>
      </c>
      <c r="G383" s="1624">
        <f t="shared" si="359"/>
        <v>7.6219260000000002</v>
      </c>
      <c r="H383" s="1624">
        <f>4.44*1.39</f>
        <v>6.1715999999999998</v>
      </c>
      <c r="I383" s="1624">
        <f t="shared" si="360"/>
        <v>0</v>
      </c>
      <c r="J383" s="1624"/>
      <c r="K383" s="1624"/>
      <c r="L383" s="1624">
        <v>0</v>
      </c>
      <c r="M383" s="1624"/>
      <c r="N383" s="1624">
        <v>0</v>
      </c>
      <c r="O383" s="1624"/>
      <c r="P383" s="1624"/>
      <c r="Q383" s="1624"/>
      <c r="R383" s="1624"/>
      <c r="S383" s="1624"/>
      <c r="T383" s="1624">
        <f t="shared" si="361"/>
        <v>1.450326</v>
      </c>
      <c r="U383" s="1624">
        <f t="shared" si="362"/>
        <v>8.1702660000000016</v>
      </c>
      <c r="V383" s="1624">
        <f>4.44*1.49</f>
        <v>6.6156000000000006</v>
      </c>
      <c r="W383" s="1624">
        <f t="shared" si="363"/>
        <v>0</v>
      </c>
      <c r="X383" s="1624"/>
      <c r="Y383" s="1624"/>
      <c r="Z383" s="1624">
        <v>0</v>
      </c>
      <c r="AA383" s="1624"/>
      <c r="AB383" s="1624">
        <v>0</v>
      </c>
      <c r="AC383" s="1624"/>
      <c r="AD383" s="1624"/>
      <c r="AE383" s="1624"/>
      <c r="AF383" s="1624"/>
      <c r="AG383" s="1624"/>
      <c r="AH383" s="1624">
        <f t="shared" si="364"/>
        <v>1.5546660000000003</v>
      </c>
      <c r="AI383" s="1621">
        <f t="shared" si="356"/>
        <v>0.54834000000000138</v>
      </c>
      <c r="AJ383" s="1621">
        <f t="shared" si="357"/>
        <v>3.2900400000000083</v>
      </c>
      <c r="AK383" s="1448">
        <f t="shared" si="343"/>
        <v>0.27417000000000069</v>
      </c>
      <c r="AL383" s="1431">
        <f t="shared" si="344"/>
        <v>107.19424460431657</v>
      </c>
    </row>
    <row r="384" spans="1:38" s="1507" customFormat="1" ht="27.75" hidden="1" customHeight="1">
      <c r="A384" s="1375"/>
      <c r="B384" s="1453" t="s">
        <v>2579</v>
      </c>
      <c r="C384" s="1455">
        <f t="shared" si="358"/>
        <v>2</v>
      </c>
      <c r="D384" s="1461">
        <v>2</v>
      </c>
      <c r="E384" s="1455"/>
      <c r="F384" s="1461">
        <v>2</v>
      </c>
      <c r="G384" s="1624">
        <f t="shared" si="359"/>
        <v>4.9096189999999993</v>
      </c>
      <c r="H384" s="1624">
        <f>2.86*1.39</f>
        <v>3.9753999999999996</v>
      </c>
      <c r="I384" s="1624">
        <f t="shared" si="360"/>
        <v>0</v>
      </c>
      <c r="J384" s="1624"/>
      <c r="K384" s="1624"/>
      <c r="L384" s="1624">
        <v>0</v>
      </c>
      <c r="M384" s="1624"/>
      <c r="N384" s="1624">
        <v>0</v>
      </c>
      <c r="O384" s="1624"/>
      <c r="P384" s="1624"/>
      <c r="Q384" s="1624"/>
      <c r="R384" s="1624"/>
      <c r="S384" s="1624"/>
      <c r="T384" s="1624">
        <f t="shared" si="361"/>
        <v>0.93421899999999991</v>
      </c>
      <c r="U384" s="1624">
        <f t="shared" si="362"/>
        <v>5.262829</v>
      </c>
      <c r="V384" s="1624">
        <f>2.86*1.49</f>
        <v>4.2614000000000001</v>
      </c>
      <c r="W384" s="1624">
        <f t="shared" si="363"/>
        <v>0</v>
      </c>
      <c r="X384" s="1624"/>
      <c r="Y384" s="1624"/>
      <c r="Z384" s="1624">
        <v>0</v>
      </c>
      <c r="AA384" s="1624"/>
      <c r="AB384" s="1624">
        <v>0</v>
      </c>
      <c r="AC384" s="1624"/>
      <c r="AD384" s="1624"/>
      <c r="AE384" s="1624"/>
      <c r="AF384" s="1624"/>
      <c r="AG384" s="1624"/>
      <c r="AH384" s="1624">
        <f t="shared" si="364"/>
        <v>1.0014289999999999</v>
      </c>
      <c r="AI384" s="1621">
        <f t="shared" si="356"/>
        <v>0.35321000000000069</v>
      </c>
      <c r="AJ384" s="1621">
        <f t="shared" si="357"/>
        <v>2.1192600000000041</v>
      </c>
      <c r="AK384" s="1448">
        <f t="shared" si="343"/>
        <v>0.17660500000000035</v>
      </c>
      <c r="AL384" s="1431">
        <f t="shared" si="344"/>
        <v>107.19424460431657</v>
      </c>
    </row>
    <row r="385" spans="1:38" s="1507" customFormat="1" ht="27.75" hidden="1" customHeight="1">
      <c r="A385" s="1375"/>
      <c r="B385" s="1453" t="s">
        <v>2580</v>
      </c>
      <c r="C385" s="1455">
        <f t="shared" si="358"/>
        <v>6</v>
      </c>
      <c r="D385" s="1461">
        <v>6</v>
      </c>
      <c r="E385" s="1455"/>
      <c r="F385" s="1461">
        <v>6</v>
      </c>
      <c r="G385" s="1624">
        <f t="shared" si="359"/>
        <v>15.793179999999998</v>
      </c>
      <c r="H385" s="1624">
        <f>9.2*1.39</f>
        <v>12.787999999999998</v>
      </c>
      <c r="I385" s="1624">
        <f t="shared" si="360"/>
        <v>0</v>
      </c>
      <c r="J385" s="1624"/>
      <c r="K385" s="1624"/>
      <c r="L385" s="1624">
        <v>0</v>
      </c>
      <c r="M385" s="1624"/>
      <c r="N385" s="1624">
        <v>0</v>
      </c>
      <c r="O385" s="1624"/>
      <c r="P385" s="1624"/>
      <c r="Q385" s="1624"/>
      <c r="R385" s="1624"/>
      <c r="S385" s="1624"/>
      <c r="T385" s="1624">
        <f t="shared" si="361"/>
        <v>3.0051799999999997</v>
      </c>
      <c r="U385" s="1624">
        <f t="shared" si="362"/>
        <v>16.929379999999998</v>
      </c>
      <c r="V385" s="1624">
        <f>9.2*1.49</f>
        <v>13.707999999999998</v>
      </c>
      <c r="W385" s="1624">
        <f t="shared" si="363"/>
        <v>0</v>
      </c>
      <c r="X385" s="1624"/>
      <c r="Y385" s="1624"/>
      <c r="Z385" s="1624">
        <v>0</v>
      </c>
      <c r="AA385" s="1624"/>
      <c r="AB385" s="1624">
        <v>0</v>
      </c>
      <c r="AC385" s="1624"/>
      <c r="AD385" s="1624"/>
      <c r="AE385" s="1624"/>
      <c r="AF385" s="1624"/>
      <c r="AG385" s="1624"/>
      <c r="AH385" s="1624">
        <f t="shared" si="364"/>
        <v>3.2213799999999999</v>
      </c>
      <c r="AI385" s="1621">
        <f t="shared" si="356"/>
        <v>1.1362000000000005</v>
      </c>
      <c r="AJ385" s="1621">
        <f t="shared" si="357"/>
        <v>6.8172000000000033</v>
      </c>
      <c r="AK385" s="1448">
        <f t="shared" si="343"/>
        <v>0.18936666666666677</v>
      </c>
      <c r="AL385" s="1431">
        <f t="shared" si="344"/>
        <v>107.19424460431655</v>
      </c>
    </row>
    <row r="386" spans="1:38" s="1507" customFormat="1" ht="27.75" hidden="1" customHeight="1">
      <c r="A386" s="1375"/>
      <c r="B386" s="1453" t="s">
        <v>2581</v>
      </c>
      <c r="C386" s="1455">
        <f t="shared" si="358"/>
        <v>7</v>
      </c>
      <c r="D386" s="1461">
        <v>7</v>
      </c>
      <c r="E386" s="1455"/>
      <c r="F386" s="1461">
        <v>7</v>
      </c>
      <c r="G386" s="1624">
        <f t="shared" si="359"/>
        <v>25.023950379999995</v>
      </c>
      <c r="H386" s="1624">
        <f>14.16*1.39</f>
        <v>19.682399999999998</v>
      </c>
      <c r="I386" s="1624">
        <f t="shared" si="360"/>
        <v>0.57990799999999998</v>
      </c>
      <c r="J386" s="1624"/>
      <c r="K386" s="1624"/>
      <c r="L386" s="1624">
        <f>0.4172*1.39</f>
        <v>0.57990799999999998</v>
      </c>
      <c r="M386" s="1624"/>
      <c r="N386" s="1624">
        <v>0</v>
      </c>
      <c r="O386" s="1624"/>
      <c r="P386" s="1624"/>
      <c r="Q386" s="1624"/>
      <c r="R386" s="1624"/>
      <c r="S386" s="1624"/>
      <c r="T386" s="1624">
        <f t="shared" si="361"/>
        <v>4.7616423799999996</v>
      </c>
      <c r="U386" s="1624">
        <f t="shared" si="362"/>
        <v>26.824234580000002</v>
      </c>
      <c r="V386" s="1624">
        <f>14.16*1.49</f>
        <v>21.098400000000002</v>
      </c>
      <c r="W386" s="1624">
        <f t="shared" si="363"/>
        <v>0.62162800000000007</v>
      </c>
      <c r="X386" s="1624"/>
      <c r="Y386" s="1624"/>
      <c r="Z386" s="1624">
        <f>0.4172*1.49</f>
        <v>0.62162800000000007</v>
      </c>
      <c r="AA386" s="1624"/>
      <c r="AB386" s="1624">
        <v>0</v>
      </c>
      <c r="AC386" s="1624"/>
      <c r="AD386" s="1624"/>
      <c r="AE386" s="1624"/>
      <c r="AF386" s="1624"/>
      <c r="AG386" s="1624"/>
      <c r="AH386" s="1624">
        <f t="shared" si="364"/>
        <v>5.1042065800000005</v>
      </c>
      <c r="AI386" s="1621">
        <f t="shared" si="356"/>
        <v>1.8002842000000072</v>
      </c>
      <c r="AJ386" s="1621">
        <f t="shared" si="357"/>
        <v>10.801705200000043</v>
      </c>
      <c r="AK386" s="1448">
        <f t="shared" si="343"/>
        <v>0.25718345714285817</v>
      </c>
      <c r="AL386" s="1431">
        <f t="shared" si="344"/>
        <v>107.19424460431657</v>
      </c>
    </row>
    <row r="387" spans="1:38" s="1507" customFormat="1" ht="27.75" hidden="1" customHeight="1">
      <c r="A387" s="1375"/>
      <c r="B387" s="1453" t="s">
        <v>2582</v>
      </c>
      <c r="C387" s="1455">
        <f t="shared" si="358"/>
        <v>7</v>
      </c>
      <c r="D387" s="1461">
        <v>7</v>
      </c>
      <c r="E387" s="1455"/>
      <c r="F387" s="1461">
        <v>7</v>
      </c>
      <c r="G387" s="1624">
        <f t="shared" si="359"/>
        <v>34.3707663</v>
      </c>
      <c r="H387" s="1624">
        <f>18.8*1.39</f>
        <v>26.131999999999998</v>
      </c>
      <c r="I387" s="1624">
        <f t="shared" si="360"/>
        <v>1.6985799999999998</v>
      </c>
      <c r="J387" s="1624"/>
      <c r="K387" s="1624"/>
      <c r="L387" s="1624">
        <f>1.222*1.39</f>
        <v>1.6985799999999998</v>
      </c>
      <c r="M387" s="1624"/>
      <c r="N387" s="1624">
        <v>0</v>
      </c>
      <c r="O387" s="1624"/>
      <c r="P387" s="1624"/>
      <c r="Q387" s="1624"/>
      <c r="R387" s="1624"/>
      <c r="S387" s="1624"/>
      <c r="T387" s="1624">
        <f t="shared" si="361"/>
        <v>6.5401862999999993</v>
      </c>
      <c r="U387" s="1624">
        <f t="shared" si="362"/>
        <v>36.843483300000003</v>
      </c>
      <c r="V387" s="1624">
        <f>18.8*1.49</f>
        <v>28.012</v>
      </c>
      <c r="W387" s="1624">
        <f t="shared" si="363"/>
        <v>1.8207799999999998</v>
      </c>
      <c r="X387" s="1624"/>
      <c r="Y387" s="1624"/>
      <c r="Z387" s="1624">
        <f>1.222*1.49</f>
        <v>1.8207799999999998</v>
      </c>
      <c r="AA387" s="1624"/>
      <c r="AB387" s="1624">
        <v>0</v>
      </c>
      <c r="AC387" s="1624"/>
      <c r="AD387" s="1624"/>
      <c r="AE387" s="1624"/>
      <c r="AF387" s="1624"/>
      <c r="AG387" s="1624"/>
      <c r="AH387" s="1624">
        <f t="shared" si="364"/>
        <v>7.0107033000000003</v>
      </c>
      <c r="AI387" s="1621">
        <f t="shared" si="356"/>
        <v>2.4727170000000029</v>
      </c>
      <c r="AJ387" s="1621">
        <f t="shared" si="357"/>
        <v>14.836302000000018</v>
      </c>
      <c r="AK387" s="1448">
        <f t="shared" si="343"/>
        <v>0.35324528571428615</v>
      </c>
      <c r="AL387" s="1431">
        <f t="shared" si="344"/>
        <v>107.19424460431655</v>
      </c>
    </row>
    <row r="388" spans="1:38" s="1507" customFormat="1" ht="27.75" hidden="1" customHeight="1">
      <c r="A388" s="1375"/>
      <c r="B388" s="1453" t="s">
        <v>2583</v>
      </c>
      <c r="C388" s="1455">
        <f t="shared" si="358"/>
        <v>4</v>
      </c>
      <c r="D388" s="1461">
        <v>4</v>
      </c>
      <c r="E388" s="1455"/>
      <c r="F388" s="1461">
        <v>4</v>
      </c>
      <c r="G388" s="1624">
        <f t="shared" si="359"/>
        <v>9.5789069999999992</v>
      </c>
      <c r="H388" s="1624">
        <f>5.58*1.39</f>
        <v>7.7561999999999998</v>
      </c>
      <c r="I388" s="1624">
        <f t="shared" si="360"/>
        <v>0</v>
      </c>
      <c r="J388" s="1624"/>
      <c r="K388" s="1624"/>
      <c r="L388" s="1624">
        <v>0</v>
      </c>
      <c r="M388" s="1624"/>
      <c r="N388" s="1624">
        <v>0</v>
      </c>
      <c r="O388" s="1624"/>
      <c r="P388" s="1624"/>
      <c r="Q388" s="1624"/>
      <c r="R388" s="1624"/>
      <c r="S388" s="1624"/>
      <c r="T388" s="1624">
        <f t="shared" si="361"/>
        <v>1.8227070000000001</v>
      </c>
      <c r="U388" s="1624">
        <f t="shared" si="362"/>
        <v>10.268037</v>
      </c>
      <c r="V388" s="1624">
        <f>5.58*1.49</f>
        <v>8.3141999999999996</v>
      </c>
      <c r="W388" s="1624">
        <f t="shared" si="363"/>
        <v>0</v>
      </c>
      <c r="X388" s="1624"/>
      <c r="Y388" s="1624"/>
      <c r="Z388" s="1624">
        <v>0</v>
      </c>
      <c r="AA388" s="1624"/>
      <c r="AB388" s="1624">
        <v>0</v>
      </c>
      <c r="AC388" s="1624"/>
      <c r="AD388" s="1624"/>
      <c r="AE388" s="1624"/>
      <c r="AF388" s="1624"/>
      <c r="AG388" s="1624"/>
      <c r="AH388" s="1624">
        <f t="shared" si="364"/>
        <v>1.9538369999999998</v>
      </c>
      <c r="AI388" s="1621">
        <f t="shared" si="356"/>
        <v>0.68913000000000046</v>
      </c>
      <c r="AJ388" s="1621">
        <f t="shared" si="357"/>
        <v>4.1347800000000028</v>
      </c>
      <c r="AK388" s="1448">
        <f t="shared" si="343"/>
        <v>0.17228250000000012</v>
      </c>
      <c r="AL388" s="1431">
        <f t="shared" si="344"/>
        <v>107.19424460431655</v>
      </c>
    </row>
    <row r="389" spans="1:38" s="1507" customFormat="1" ht="27.75" hidden="1" customHeight="1">
      <c r="A389" s="1375"/>
      <c r="B389" s="1453" t="s">
        <v>2584</v>
      </c>
      <c r="C389" s="1455">
        <f t="shared" si="358"/>
        <v>0</v>
      </c>
      <c r="D389" s="1461">
        <v>0</v>
      </c>
      <c r="E389" s="1455"/>
      <c r="F389" s="1461">
        <v>0</v>
      </c>
      <c r="G389" s="1624">
        <f t="shared" si="359"/>
        <v>0</v>
      </c>
      <c r="H389" s="1624"/>
      <c r="I389" s="1624">
        <f t="shared" si="360"/>
        <v>0</v>
      </c>
      <c r="J389" s="1624"/>
      <c r="K389" s="1624"/>
      <c r="L389" s="1624">
        <v>0</v>
      </c>
      <c r="M389" s="1624"/>
      <c r="N389" s="1624">
        <v>0</v>
      </c>
      <c r="O389" s="1624"/>
      <c r="P389" s="1624"/>
      <c r="Q389" s="1624"/>
      <c r="R389" s="1624"/>
      <c r="S389" s="1624"/>
      <c r="T389" s="1624">
        <f t="shared" si="361"/>
        <v>0</v>
      </c>
      <c r="U389" s="1624">
        <f t="shared" si="362"/>
        <v>0</v>
      </c>
      <c r="V389" s="1624"/>
      <c r="W389" s="1624">
        <f t="shared" si="363"/>
        <v>0</v>
      </c>
      <c r="X389" s="1624"/>
      <c r="Y389" s="1624"/>
      <c r="Z389" s="1624">
        <v>0</v>
      </c>
      <c r="AA389" s="1624"/>
      <c r="AB389" s="1624">
        <v>0</v>
      </c>
      <c r="AC389" s="1624"/>
      <c r="AD389" s="1624"/>
      <c r="AE389" s="1624"/>
      <c r="AF389" s="1624"/>
      <c r="AG389" s="1624"/>
      <c r="AH389" s="1624">
        <f t="shared" si="364"/>
        <v>0</v>
      </c>
      <c r="AI389" s="1621">
        <f t="shared" si="356"/>
        <v>0</v>
      </c>
      <c r="AJ389" s="1621">
        <f t="shared" si="357"/>
        <v>0</v>
      </c>
      <c r="AK389" s="1448" t="e">
        <f t="shared" si="343"/>
        <v>#DIV/0!</v>
      </c>
      <c r="AL389" s="1431" t="e">
        <f t="shared" si="344"/>
        <v>#DIV/0!</v>
      </c>
    </row>
    <row r="390" spans="1:38" s="1507" customFormat="1" ht="27.75" hidden="1" customHeight="1">
      <c r="A390" s="1375"/>
      <c r="B390" s="1453" t="s">
        <v>2585</v>
      </c>
      <c r="C390" s="1455">
        <f t="shared" si="358"/>
        <v>1</v>
      </c>
      <c r="D390" s="1461">
        <v>1</v>
      </c>
      <c r="E390" s="1455"/>
      <c r="F390" s="1461">
        <v>1</v>
      </c>
      <c r="G390" s="1624">
        <f t="shared" si="359"/>
        <v>4.5186120000000001</v>
      </c>
      <c r="H390" s="1624">
        <f>1.68*1.39</f>
        <v>2.3351999999999999</v>
      </c>
      <c r="I390" s="1624">
        <f t="shared" si="360"/>
        <v>1.6346400000000001</v>
      </c>
      <c r="J390" s="1624"/>
      <c r="K390" s="1624"/>
      <c r="L390" s="1624">
        <v>0</v>
      </c>
      <c r="M390" s="1624"/>
      <c r="N390" s="1624">
        <f>1.68*1.39*70/100</f>
        <v>1.6346400000000001</v>
      </c>
      <c r="O390" s="1624"/>
      <c r="P390" s="1624"/>
      <c r="Q390" s="1624"/>
      <c r="R390" s="1624"/>
      <c r="S390" s="1624"/>
      <c r="T390" s="1624">
        <f t="shared" si="361"/>
        <v>0.54877200000000004</v>
      </c>
      <c r="U390" s="1624">
        <f t="shared" si="362"/>
        <v>4.8436919999999999</v>
      </c>
      <c r="V390" s="1624">
        <f>1.68*1.49</f>
        <v>2.5032000000000001</v>
      </c>
      <c r="W390" s="1624">
        <f t="shared" si="363"/>
        <v>1.7522400000000002</v>
      </c>
      <c r="X390" s="1624"/>
      <c r="Y390" s="1624"/>
      <c r="Z390" s="1624">
        <v>0</v>
      </c>
      <c r="AA390" s="1624"/>
      <c r="AB390" s="1624">
        <f>1.68*1.49*70/100</f>
        <v>1.7522400000000002</v>
      </c>
      <c r="AC390" s="1624"/>
      <c r="AD390" s="1624"/>
      <c r="AE390" s="1624"/>
      <c r="AF390" s="1624"/>
      <c r="AG390" s="1624"/>
      <c r="AH390" s="1624">
        <f t="shared" si="364"/>
        <v>0.588252</v>
      </c>
      <c r="AI390" s="1621">
        <f t="shared" si="356"/>
        <v>0.32507999999999981</v>
      </c>
      <c r="AJ390" s="1621">
        <f t="shared" si="357"/>
        <v>1.9504799999999989</v>
      </c>
      <c r="AK390" s="1448">
        <f t="shared" si="343"/>
        <v>0.32507999999999981</v>
      </c>
      <c r="AL390" s="1431">
        <f t="shared" si="344"/>
        <v>107.19424460431655</v>
      </c>
    </row>
    <row r="391" spans="1:38" s="1507" customFormat="1" ht="27.75" hidden="1" customHeight="1">
      <c r="A391" s="1375"/>
      <c r="B391" s="1453" t="s">
        <v>2586</v>
      </c>
      <c r="C391" s="1455">
        <f t="shared" si="358"/>
        <v>1</v>
      </c>
      <c r="D391" s="1461">
        <v>1</v>
      </c>
      <c r="E391" s="1455"/>
      <c r="F391" s="1461">
        <v>1</v>
      </c>
      <c r="G391" s="1624">
        <f t="shared" si="359"/>
        <v>4.5186120000000001</v>
      </c>
      <c r="H391" s="1624">
        <f>1.68*1.39</f>
        <v>2.3351999999999999</v>
      </c>
      <c r="I391" s="1624">
        <f t="shared" si="360"/>
        <v>1.6346400000000001</v>
      </c>
      <c r="J391" s="1624"/>
      <c r="K391" s="1624"/>
      <c r="L391" s="1624">
        <v>0</v>
      </c>
      <c r="M391" s="1624"/>
      <c r="N391" s="1624">
        <f>1.68*1.39*70/100</f>
        <v>1.6346400000000001</v>
      </c>
      <c r="O391" s="1624"/>
      <c r="P391" s="1624"/>
      <c r="Q391" s="1624"/>
      <c r="R391" s="1624"/>
      <c r="S391" s="1624"/>
      <c r="T391" s="1624">
        <f t="shared" si="361"/>
        <v>0.54877200000000004</v>
      </c>
      <c r="U391" s="1624">
        <f t="shared" si="362"/>
        <v>4.8436919999999999</v>
      </c>
      <c r="V391" s="1624">
        <f>1.68*1.49</f>
        <v>2.5032000000000001</v>
      </c>
      <c r="W391" s="1624">
        <f t="shared" si="363"/>
        <v>1.7522400000000002</v>
      </c>
      <c r="X391" s="1624"/>
      <c r="Y391" s="1624"/>
      <c r="Z391" s="1624">
        <v>0</v>
      </c>
      <c r="AA391" s="1624"/>
      <c r="AB391" s="1624">
        <f>1.68*1.49*70/100</f>
        <v>1.7522400000000002</v>
      </c>
      <c r="AC391" s="1624"/>
      <c r="AD391" s="1624"/>
      <c r="AE391" s="1624"/>
      <c r="AF391" s="1624"/>
      <c r="AG391" s="1624"/>
      <c r="AH391" s="1624">
        <f t="shared" si="364"/>
        <v>0.588252</v>
      </c>
      <c r="AI391" s="1621">
        <f t="shared" si="356"/>
        <v>0.32507999999999981</v>
      </c>
      <c r="AJ391" s="1621">
        <f t="shared" si="357"/>
        <v>1.9504799999999989</v>
      </c>
      <c r="AK391" s="1448">
        <f t="shared" si="343"/>
        <v>0.32507999999999981</v>
      </c>
      <c r="AL391" s="1431">
        <f t="shared" si="344"/>
        <v>107.19424460431655</v>
      </c>
    </row>
    <row r="392" spans="1:38" s="1507" customFormat="1" ht="27.75" hidden="1" customHeight="1">
      <c r="A392" s="1375"/>
      <c r="B392" s="1453" t="s">
        <v>2587</v>
      </c>
      <c r="C392" s="1455">
        <f t="shared" si="358"/>
        <v>1</v>
      </c>
      <c r="D392" s="1461">
        <v>1</v>
      </c>
      <c r="E392" s="1455"/>
      <c r="F392" s="1461">
        <v>1</v>
      </c>
      <c r="G392" s="1624">
        <f t="shared" si="359"/>
        <v>6.4551599999999993</v>
      </c>
      <c r="H392" s="1624">
        <f>2.4*1.39</f>
        <v>3.3359999999999999</v>
      </c>
      <c r="I392" s="1624">
        <f t="shared" si="360"/>
        <v>2.3351999999999999</v>
      </c>
      <c r="J392" s="1624"/>
      <c r="K392" s="1624"/>
      <c r="L392" s="1624">
        <v>0</v>
      </c>
      <c r="M392" s="1624"/>
      <c r="N392" s="1624">
        <f>2.4*1.39*70/100</f>
        <v>2.3351999999999999</v>
      </c>
      <c r="O392" s="1624"/>
      <c r="P392" s="1624"/>
      <c r="Q392" s="1624"/>
      <c r="R392" s="1624"/>
      <c r="S392" s="1624"/>
      <c r="T392" s="1624">
        <f t="shared" si="361"/>
        <v>0.78395999999999999</v>
      </c>
      <c r="U392" s="1624">
        <f t="shared" si="362"/>
        <v>6.9195600000000006</v>
      </c>
      <c r="V392" s="1624">
        <f>2.4*1.49</f>
        <v>3.5760000000000001</v>
      </c>
      <c r="W392" s="1624">
        <f t="shared" si="363"/>
        <v>2.5032000000000001</v>
      </c>
      <c r="X392" s="1624"/>
      <c r="Y392" s="1624"/>
      <c r="Z392" s="1624">
        <v>0</v>
      </c>
      <c r="AA392" s="1624"/>
      <c r="AB392" s="1624">
        <f>2.4*1.49*70/100</f>
        <v>2.5032000000000001</v>
      </c>
      <c r="AC392" s="1624"/>
      <c r="AD392" s="1624"/>
      <c r="AE392" s="1624"/>
      <c r="AF392" s="1624"/>
      <c r="AG392" s="1624"/>
      <c r="AH392" s="1624">
        <f t="shared" si="364"/>
        <v>0.84036</v>
      </c>
      <c r="AI392" s="1621">
        <f t="shared" si="356"/>
        <v>0.46440000000000126</v>
      </c>
      <c r="AJ392" s="1621">
        <f t="shared" si="357"/>
        <v>2.7864000000000075</v>
      </c>
      <c r="AK392" s="1448">
        <f t="shared" si="343"/>
        <v>0.46440000000000126</v>
      </c>
      <c r="AL392" s="1431">
        <f t="shared" si="344"/>
        <v>107.19424460431657</v>
      </c>
    </row>
    <row r="393" spans="1:38" s="1507" customFormat="1" ht="27.75" hidden="1" customHeight="1">
      <c r="A393" s="1375"/>
      <c r="B393" s="1453" t="s">
        <v>2588</v>
      </c>
      <c r="C393" s="1455">
        <f t="shared" si="358"/>
        <v>0</v>
      </c>
      <c r="D393" s="1461">
        <v>0</v>
      </c>
      <c r="E393" s="1455"/>
      <c r="F393" s="1461">
        <v>0</v>
      </c>
      <c r="G393" s="1624">
        <v>0</v>
      </c>
      <c r="H393" s="1624">
        <v>0</v>
      </c>
      <c r="I393" s="1624">
        <v>0</v>
      </c>
      <c r="J393" s="1624"/>
      <c r="K393" s="1624"/>
      <c r="L393" s="1624">
        <v>0</v>
      </c>
      <c r="M393" s="1624"/>
      <c r="N393" s="1624">
        <v>0</v>
      </c>
      <c r="O393" s="1624"/>
      <c r="P393" s="1624"/>
      <c r="Q393" s="1624"/>
      <c r="R393" s="1624"/>
      <c r="S393" s="1624"/>
      <c r="T393" s="1624"/>
      <c r="U393" s="1624">
        <v>0</v>
      </c>
      <c r="V393" s="1624">
        <v>0</v>
      </c>
      <c r="W393" s="1624">
        <v>0</v>
      </c>
      <c r="X393" s="1624"/>
      <c r="Y393" s="1624"/>
      <c r="Z393" s="1624">
        <v>0</v>
      </c>
      <c r="AA393" s="1624"/>
      <c r="AB393" s="1624">
        <v>0</v>
      </c>
      <c r="AC393" s="1624"/>
      <c r="AD393" s="1624"/>
      <c r="AE393" s="1624"/>
      <c r="AF393" s="1624"/>
      <c r="AG393" s="1624"/>
      <c r="AH393" s="1624"/>
      <c r="AI393" s="1617"/>
      <c r="AJ393" s="1617"/>
      <c r="AK393" s="1448" t="e">
        <f t="shared" si="343"/>
        <v>#DIV/0!</v>
      </c>
      <c r="AL393" s="1431" t="e">
        <f t="shared" si="344"/>
        <v>#DIV/0!</v>
      </c>
    </row>
    <row r="394" spans="1:38" s="1507" customFormat="1" ht="27.75" hidden="1" customHeight="1">
      <c r="A394" s="1375">
        <v>2</v>
      </c>
      <c r="B394" s="764" t="s">
        <v>2590</v>
      </c>
      <c r="C394" s="1455">
        <f t="shared" si="358"/>
        <v>8</v>
      </c>
      <c r="D394" s="1455"/>
      <c r="E394" s="1455">
        <v>8</v>
      </c>
      <c r="F394" s="1456">
        <v>8</v>
      </c>
      <c r="G394" s="1620">
        <f>H394+I394+T394</f>
        <v>25.217588499999994</v>
      </c>
      <c r="H394" s="1624">
        <f>14.69*1.39</f>
        <v>20.419099999999997</v>
      </c>
      <c r="I394" s="1620">
        <f>SUM(J394:S394)</f>
        <v>0</v>
      </c>
      <c r="J394" s="1705"/>
      <c r="K394" s="1705"/>
      <c r="L394" s="1624"/>
      <c r="M394" s="1705"/>
      <c r="N394" s="1624"/>
      <c r="O394" s="1705"/>
      <c r="P394" s="1705"/>
      <c r="Q394" s="1705"/>
      <c r="R394" s="1705"/>
      <c r="S394" s="1705"/>
      <c r="T394" s="1621">
        <f>(H394+K394+L394+R394)*23.5%</f>
        <v>4.7984884999999986</v>
      </c>
      <c r="U394" s="1620">
        <f>V394+W394+AH394</f>
        <v>27.031803499999995</v>
      </c>
      <c r="V394" s="1624">
        <f>14.69*1.49</f>
        <v>21.888099999999998</v>
      </c>
      <c r="W394" s="1620">
        <f>SUM(X394:AG394)</f>
        <v>0</v>
      </c>
      <c r="X394" s="1705"/>
      <c r="Y394" s="1705"/>
      <c r="Z394" s="1624"/>
      <c r="AA394" s="1705"/>
      <c r="AB394" s="1624"/>
      <c r="AC394" s="1705"/>
      <c r="AD394" s="1705"/>
      <c r="AE394" s="1705"/>
      <c r="AF394" s="1705"/>
      <c r="AG394" s="1705"/>
      <c r="AH394" s="1621">
        <f>(V394+Y394+Z394+AF394)*23.5%</f>
        <v>5.1437034999999991</v>
      </c>
      <c r="AI394" s="1621">
        <f>U394-G394</f>
        <v>1.8142150000000008</v>
      </c>
      <c r="AJ394" s="1621">
        <f>AI394*6</f>
        <v>10.885290000000005</v>
      </c>
      <c r="AK394" s="1463">
        <f t="shared" si="343"/>
        <v>0.2267768750000001</v>
      </c>
      <c r="AL394" s="1431">
        <f t="shared" si="344"/>
        <v>107.19424460431655</v>
      </c>
    </row>
    <row r="395" spans="1:38" s="1507" customFormat="1" ht="27.75" hidden="1" customHeight="1">
      <c r="A395" s="1456"/>
      <c r="B395" s="1535" t="s">
        <v>2529</v>
      </c>
      <c r="C395" s="1455"/>
      <c r="D395" s="1455"/>
      <c r="E395" s="1455"/>
      <c r="F395" s="1455"/>
      <c r="G395" s="1621"/>
      <c r="H395" s="1617"/>
      <c r="I395" s="1621"/>
      <c r="J395" s="1617"/>
      <c r="K395" s="1617"/>
      <c r="L395" s="1617"/>
      <c r="M395" s="1617"/>
      <c r="N395" s="1617"/>
      <c r="O395" s="1617"/>
      <c r="P395" s="1617"/>
      <c r="Q395" s="1617"/>
      <c r="R395" s="1617"/>
      <c r="S395" s="1617"/>
      <c r="T395" s="1621">
        <f>(H395+K395+L395+R395)*23.5%</f>
        <v>0</v>
      </c>
      <c r="U395" s="1614">
        <f>V395+W395+AH395</f>
        <v>0</v>
      </c>
      <c r="V395" s="1614">
        <f>(H395/1.3)*1.39</f>
        <v>0</v>
      </c>
      <c r="W395" s="1614">
        <f>SUM(X395:AG395)</f>
        <v>0</v>
      </c>
      <c r="X395" s="1614">
        <f t="shared" ref="X395:AG395" si="365">(J395/1.3)*1.39</f>
        <v>0</v>
      </c>
      <c r="Y395" s="1614">
        <f t="shared" si="365"/>
        <v>0</v>
      </c>
      <c r="Z395" s="1614">
        <f t="shared" si="365"/>
        <v>0</v>
      </c>
      <c r="AA395" s="1614">
        <f t="shared" si="365"/>
        <v>0</v>
      </c>
      <c r="AB395" s="1614">
        <f t="shared" si="365"/>
        <v>0</v>
      </c>
      <c r="AC395" s="1614">
        <f t="shared" si="365"/>
        <v>0</v>
      </c>
      <c r="AD395" s="1614">
        <f t="shared" si="365"/>
        <v>0</v>
      </c>
      <c r="AE395" s="1614">
        <f t="shared" si="365"/>
        <v>0</v>
      </c>
      <c r="AF395" s="1614">
        <f t="shared" si="365"/>
        <v>0</v>
      </c>
      <c r="AG395" s="1614">
        <f t="shared" si="365"/>
        <v>0</v>
      </c>
      <c r="AH395" s="1614">
        <f>(V395+Y395+Z395+AF395)*23.5%</f>
        <v>0</v>
      </c>
      <c r="AI395" s="1621">
        <f>U395-G395</f>
        <v>0</v>
      </c>
      <c r="AJ395" s="1621">
        <f>AI395*6</f>
        <v>0</v>
      </c>
      <c r="AK395" s="1448" t="e">
        <f t="shared" si="343"/>
        <v>#DIV/0!</v>
      </c>
      <c r="AL395" s="1431" t="e">
        <f t="shared" si="344"/>
        <v>#DIV/0!</v>
      </c>
    </row>
    <row r="396" spans="1:38" s="1507" customFormat="1" ht="27.75" hidden="1" customHeight="1">
      <c r="A396" s="1456"/>
      <c r="B396" s="1449" t="s">
        <v>2491</v>
      </c>
      <c r="C396" s="560">
        <f>SUM(C397:C404)</f>
        <v>7</v>
      </c>
      <c r="D396" s="560">
        <v>7</v>
      </c>
      <c r="E396" s="560"/>
      <c r="F396" s="560"/>
      <c r="G396" s="1617">
        <f t="shared" ref="G396:AJ396" si="366">SUM(G397:G404)</f>
        <v>45.113867799999994</v>
      </c>
      <c r="H396" s="1617">
        <f t="shared" si="366"/>
        <v>31.149899999999999</v>
      </c>
      <c r="I396" s="1617">
        <f t="shared" si="366"/>
        <v>6.5385599999999995</v>
      </c>
      <c r="J396" s="1617">
        <f t="shared" si="366"/>
        <v>0</v>
      </c>
      <c r="K396" s="1617">
        <f t="shared" si="366"/>
        <v>0</v>
      </c>
      <c r="L396" s="1617">
        <f t="shared" si="366"/>
        <v>0.44757999999999998</v>
      </c>
      <c r="M396" s="1617">
        <f t="shared" si="366"/>
        <v>0</v>
      </c>
      <c r="N396" s="1617">
        <f t="shared" si="366"/>
        <v>6.0909799999999992</v>
      </c>
      <c r="O396" s="1617">
        <f t="shared" si="366"/>
        <v>0</v>
      </c>
      <c r="P396" s="1617">
        <f t="shared" si="366"/>
        <v>0</v>
      </c>
      <c r="Q396" s="1617">
        <f t="shared" si="366"/>
        <v>0</v>
      </c>
      <c r="R396" s="1617">
        <f t="shared" si="366"/>
        <v>0</v>
      </c>
      <c r="S396" s="1617">
        <f t="shared" si="366"/>
        <v>0</v>
      </c>
      <c r="T396" s="1617">
        <f t="shared" si="366"/>
        <v>7.4254077999999986</v>
      </c>
      <c r="U396" s="1617">
        <f t="shared" si="366"/>
        <v>48.359469799999999</v>
      </c>
      <c r="V396" s="1617">
        <f t="shared" si="366"/>
        <v>33.390899999999995</v>
      </c>
      <c r="W396" s="1617">
        <f t="shared" si="366"/>
        <v>7.0089599999999992</v>
      </c>
      <c r="X396" s="1617">
        <f t="shared" si="366"/>
        <v>0</v>
      </c>
      <c r="Y396" s="1617">
        <f t="shared" si="366"/>
        <v>0</v>
      </c>
      <c r="Z396" s="1617">
        <f t="shared" si="366"/>
        <v>0.47977999999999998</v>
      </c>
      <c r="AA396" s="1617">
        <f t="shared" si="366"/>
        <v>0</v>
      </c>
      <c r="AB396" s="1617">
        <f t="shared" si="366"/>
        <v>6.5291799999999993</v>
      </c>
      <c r="AC396" s="1617">
        <f t="shared" si="366"/>
        <v>0</v>
      </c>
      <c r="AD396" s="1617">
        <f t="shared" si="366"/>
        <v>0</v>
      </c>
      <c r="AE396" s="1617">
        <f t="shared" si="366"/>
        <v>0</v>
      </c>
      <c r="AF396" s="1617">
        <f t="shared" si="366"/>
        <v>0</v>
      </c>
      <c r="AG396" s="1617">
        <f t="shared" si="366"/>
        <v>0</v>
      </c>
      <c r="AH396" s="1617">
        <f t="shared" si="366"/>
        <v>7.9596097999999991</v>
      </c>
      <c r="AI396" s="1617">
        <f t="shared" si="366"/>
        <v>3.2456019999999999</v>
      </c>
      <c r="AJ396" s="1617">
        <f t="shared" si="366"/>
        <v>19.473611999999999</v>
      </c>
      <c r="AK396" s="1448" t="e">
        <f t="shared" si="343"/>
        <v>#DIV/0!</v>
      </c>
      <c r="AL396" s="1431">
        <f t="shared" si="344"/>
        <v>107.19424460431657</v>
      </c>
    </row>
    <row r="397" spans="1:38" s="1507" customFormat="1" ht="27.75" hidden="1" customHeight="1">
      <c r="A397" s="1456">
        <v>3</v>
      </c>
      <c r="B397" s="764" t="s">
        <v>2591</v>
      </c>
      <c r="C397" s="1455"/>
      <c r="D397" s="1455"/>
      <c r="E397" s="1455"/>
      <c r="F397" s="1455"/>
      <c r="G397" s="1614">
        <f t="shared" ref="G397:G404" si="367">H397+I397+T397</f>
        <v>0</v>
      </c>
      <c r="H397" s="1617"/>
      <c r="I397" s="1614">
        <f>SUM(J397:S397)</f>
        <v>0</v>
      </c>
      <c r="J397" s="1617"/>
      <c r="K397" s="1617"/>
      <c r="L397" s="1617"/>
      <c r="M397" s="1617"/>
      <c r="N397" s="1617"/>
      <c r="O397" s="1617"/>
      <c r="P397" s="1617"/>
      <c r="Q397" s="1617"/>
      <c r="R397" s="1617"/>
      <c r="S397" s="1617"/>
      <c r="T397" s="1621"/>
      <c r="U397" s="1614">
        <f t="shared" ref="U397:U405" si="368">V397+W397+AH397</f>
        <v>0</v>
      </c>
      <c r="V397" s="1617"/>
      <c r="W397" s="1614">
        <f>SUM(X397:AG397)</f>
        <v>0</v>
      </c>
      <c r="X397" s="1617"/>
      <c r="Y397" s="1617"/>
      <c r="Z397" s="1617"/>
      <c r="AA397" s="1617"/>
      <c r="AB397" s="1617"/>
      <c r="AC397" s="1617"/>
      <c r="AD397" s="1617"/>
      <c r="AE397" s="1617"/>
      <c r="AF397" s="1617"/>
      <c r="AG397" s="1617"/>
      <c r="AH397" s="1621"/>
      <c r="AI397" s="1621">
        <f t="shared" ref="AI397:AI405" si="369">U397-G397</f>
        <v>0</v>
      </c>
      <c r="AJ397" s="1621">
        <f>AI397*6</f>
        <v>0</v>
      </c>
      <c r="AK397" s="1448" t="e">
        <f t="shared" si="343"/>
        <v>#DIV/0!</v>
      </c>
      <c r="AL397" s="1431" t="e">
        <f t="shared" si="344"/>
        <v>#DIV/0!</v>
      </c>
    </row>
    <row r="398" spans="1:38" s="1507" customFormat="1" ht="27.75" hidden="1" customHeight="1">
      <c r="A398" s="1456">
        <v>4</v>
      </c>
      <c r="B398" s="764" t="s">
        <v>2592</v>
      </c>
      <c r="C398" s="1455"/>
      <c r="D398" s="1455"/>
      <c r="E398" s="1455"/>
      <c r="F398" s="1456"/>
      <c r="G398" s="1614">
        <f t="shared" si="367"/>
        <v>9.3042429999999996</v>
      </c>
      <c r="H398" s="1617">
        <f>5.42*1.39</f>
        <v>7.5337999999999994</v>
      </c>
      <c r="I398" s="1614">
        <f>SUM(J398:S398)</f>
        <v>0</v>
      </c>
      <c r="J398" s="1617"/>
      <c r="K398" s="1617"/>
      <c r="L398" s="1617"/>
      <c r="M398" s="1617"/>
      <c r="N398" s="1617"/>
      <c r="O398" s="1617"/>
      <c r="P398" s="1617"/>
      <c r="Q398" s="1617"/>
      <c r="R398" s="1617"/>
      <c r="S398" s="1617"/>
      <c r="T398" s="1621">
        <f>(H398+K398+L398+R398)*23.5%</f>
        <v>1.7704429999999998</v>
      </c>
      <c r="U398" s="1367">
        <f t="shared" si="368"/>
        <v>9.9736129999999985</v>
      </c>
      <c r="V398" s="1365">
        <f>5.42*1.49</f>
        <v>8.0757999999999992</v>
      </c>
      <c r="W398" s="1367">
        <f>SUM(X398:AG398)</f>
        <v>0</v>
      </c>
      <c r="X398" s="1365"/>
      <c r="Y398" s="1365"/>
      <c r="Z398" s="1365"/>
      <c r="AA398" s="1365"/>
      <c r="AB398" s="1365"/>
      <c r="AC398" s="1365"/>
      <c r="AD398" s="1365"/>
      <c r="AE398" s="1365"/>
      <c r="AF398" s="1365"/>
      <c r="AG398" s="1365"/>
      <c r="AH398" s="1366">
        <f>(V398+Y398+Z398+AF398)*23.5%</f>
        <v>1.8978129999999998</v>
      </c>
      <c r="AI398" s="1366">
        <f t="shared" si="369"/>
        <v>0.66936999999999891</v>
      </c>
      <c r="AJ398" s="1366">
        <f t="shared" ref="AJ398:AJ405" si="370">AI398*6</f>
        <v>4.0162199999999935</v>
      </c>
      <c r="AK398" s="1448" t="e">
        <f t="shared" si="343"/>
        <v>#DIV/0!</v>
      </c>
      <c r="AL398" s="1431">
        <f t="shared" si="344"/>
        <v>107.19424460431655</v>
      </c>
    </row>
    <row r="399" spans="1:38" s="1507" customFormat="1" ht="39" hidden="1" customHeight="1">
      <c r="A399" s="1456">
        <v>5</v>
      </c>
      <c r="B399" s="764" t="s">
        <v>2593</v>
      </c>
      <c r="C399" s="1461">
        <v>3</v>
      </c>
      <c r="D399" s="1461">
        <v>3</v>
      </c>
      <c r="E399" s="1461"/>
      <c r="F399" s="1461">
        <v>3</v>
      </c>
      <c r="G399" s="1620">
        <f t="shared" si="367"/>
        <v>18.9724158</v>
      </c>
      <c r="H399" s="1624">
        <f>10.73*1.39</f>
        <v>14.9147</v>
      </c>
      <c r="I399" s="1620">
        <f>SUM(J399:S399)</f>
        <v>0.44757999999999998</v>
      </c>
      <c r="J399" s="1630"/>
      <c r="K399" s="1630">
        <f t="shared" ref="K399" si="371">0*1.39</f>
        <v>0</v>
      </c>
      <c r="L399" s="1624">
        <f>0.322*1.39</f>
        <v>0.44757999999999998</v>
      </c>
      <c r="M399" s="1630"/>
      <c r="N399" s="1624"/>
      <c r="O399" s="1630">
        <f t="shared" ref="O399" si="372">0*1.39</f>
        <v>0</v>
      </c>
      <c r="P399" s="1630"/>
      <c r="Q399" s="1630"/>
      <c r="R399" s="1630">
        <f t="shared" ref="R399:S399" si="373">0*1.39</f>
        <v>0</v>
      </c>
      <c r="S399" s="1630">
        <f t="shared" si="373"/>
        <v>0</v>
      </c>
      <c r="T399" s="1621">
        <f>(H399+K399+L399+R399)*23.5%</f>
        <v>3.6101357999999997</v>
      </c>
      <c r="U399" s="1620">
        <f t="shared" si="368"/>
        <v>20.3373378</v>
      </c>
      <c r="V399" s="1624">
        <f>(H399/1.39)*1.49</f>
        <v>15.9877</v>
      </c>
      <c r="W399" s="1620">
        <f>SUM(X399:AG399)</f>
        <v>0.47977999999999998</v>
      </c>
      <c r="X399" s="1706"/>
      <c r="Y399" s="1706">
        <f t="shared" ref="Y399:AG399" si="374">(K399/1.39)*1.49</f>
        <v>0</v>
      </c>
      <c r="Z399" s="1624">
        <f t="shared" si="374"/>
        <v>0.47977999999999998</v>
      </c>
      <c r="AA399" s="1706">
        <f t="shared" si="374"/>
        <v>0</v>
      </c>
      <c r="AB399" s="1624">
        <f t="shared" si="374"/>
        <v>0</v>
      </c>
      <c r="AC399" s="1706">
        <f t="shared" si="374"/>
        <v>0</v>
      </c>
      <c r="AD399" s="1706">
        <f t="shared" si="374"/>
        <v>0</v>
      </c>
      <c r="AE399" s="1706">
        <f t="shared" si="374"/>
        <v>0</v>
      </c>
      <c r="AF399" s="1706">
        <f t="shared" si="374"/>
        <v>0</v>
      </c>
      <c r="AG399" s="1706">
        <f t="shared" si="374"/>
        <v>0</v>
      </c>
      <c r="AH399" s="1620">
        <f>(V399+Y399+Z399+AF399)*23.5%</f>
        <v>3.8698578000000001</v>
      </c>
      <c r="AI399" s="1621">
        <f t="shared" si="369"/>
        <v>1.364922</v>
      </c>
      <c r="AJ399" s="1621">
        <f t="shared" si="370"/>
        <v>8.1895319999999998</v>
      </c>
      <c r="AK399" s="1448">
        <f t="shared" si="343"/>
        <v>0.45497399999999999</v>
      </c>
      <c r="AL399" s="1431">
        <f t="shared" si="344"/>
        <v>107.19424460431655</v>
      </c>
    </row>
    <row r="400" spans="1:38" s="1507" customFormat="1" ht="39" hidden="1" customHeight="1">
      <c r="A400" s="1456">
        <v>6</v>
      </c>
      <c r="B400" s="764" t="s">
        <v>2594</v>
      </c>
      <c r="C400" s="1540"/>
      <c r="D400" s="1540"/>
      <c r="E400" s="1540"/>
      <c r="F400" s="1456"/>
      <c r="G400" s="1624">
        <f t="shared" si="367"/>
        <v>0</v>
      </c>
      <c r="H400" s="1625"/>
      <c r="I400" s="1624">
        <f>SUM(J400:S400)</f>
        <v>0</v>
      </c>
      <c r="J400" s="1707"/>
      <c r="K400" s="1707"/>
      <c r="L400" s="1707"/>
      <c r="M400" s="1707"/>
      <c r="N400" s="1707"/>
      <c r="O400" s="1707"/>
      <c r="P400" s="1707"/>
      <c r="Q400" s="1707"/>
      <c r="R400" s="1707"/>
      <c r="S400" s="1707"/>
      <c r="T400" s="1624">
        <f>(H400+K400+L400+R400)*23.5/100</f>
        <v>0</v>
      </c>
      <c r="U400" s="1624">
        <f t="shared" si="368"/>
        <v>0</v>
      </c>
      <c r="V400" s="1625"/>
      <c r="W400" s="1624">
        <f>SUM(X400:AG400)</f>
        <v>0</v>
      </c>
      <c r="X400" s="1708"/>
      <c r="Y400" s="1708"/>
      <c r="Z400" s="1708"/>
      <c r="AA400" s="1708"/>
      <c r="AB400" s="1708"/>
      <c r="AC400" s="1708"/>
      <c r="AD400" s="1708"/>
      <c r="AE400" s="1708"/>
      <c r="AF400" s="1708"/>
      <c r="AG400" s="1708"/>
      <c r="AH400" s="1624">
        <f>(V400+Y400+Z400+AF400)*23.5/100</f>
        <v>0</v>
      </c>
      <c r="AI400" s="1621">
        <f t="shared" si="369"/>
        <v>0</v>
      </c>
      <c r="AJ400" s="1621">
        <f t="shared" si="370"/>
        <v>0</v>
      </c>
      <c r="AK400" s="1448" t="e">
        <f t="shared" si="343"/>
        <v>#DIV/0!</v>
      </c>
      <c r="AL400" s="1431" t="e">
        <f t="shared" si="344"/>
        <v>#DIV/0!</v>
      </c>
    </row>
    <row r="401" spans="1:40" s="1507" customFormat="1" ht="27.75" hidden="1" customHeight="1">
      <c r="A401" s="1456">
        <v>7</v>
      </c>
      <c r="B401" s="764" t="s">
        <v>2595</v>
      </c>
      <c r="C401" s="1456"/>
      <c r="D401" s="1456"/>
      <c r="E401" s="1456"/>
      <c r="F401" s="1456"/>
      <c r="G401" s="1621">
        <f t="shared" si="367"/>
        <v>0</v>
      </c>
      <c r="H401" s="1617"/>
      <c r="I401" s="1366">
        <f>K401+M401+R401+S401</f>
        <v>0</v>
      </c>
      <c r="J401" s="1365"/>
      <c r="K401" s="1617"/>
      <c r="L401" s="1617"/>
      <c r="M401" s="1617"/>
      <c r="N401" s="1617"/>
      <c r="O401" s="1617"/>
      <c r="P401" s="1617"/>
      <c r="Q401" s="1617"/>
      <c r="R401" s="1617"/>
      <c r="S401" s="1617"/>
      <c r="T401" s="1621"/>
      <c r="U401" s="1621">
        <f t="shared" si="368"/>
        <v>0</v>
      </c>
      <c r="V401" s="1621"/>
      <c r="W401" s="1621">
        <f>Y401+AA401+AF401+AG401</f>
        <v>0</v>
      </c>
      <c r="X401" s="1621"/>
      <c r="Y401" s="1621"/>
      <c r="Z401" s="1621"/>
      <c r="AA401" s="1621"/>
      <c r="AB401" s="1621"/>
      <c r="AC401" s="1621"/>
      <c r="AD401" s="1621"/>
      <c r="AE401" s="1621"/>
      <c r="AF401" s="1621"/>
      <c r="AG401" s="1621"/>
      <c r="AH401" s="1621"/>
      <c r="AI401" s="1621">
        <f t="shared" si="369"/>
        <v>0</v>
      </c>
      <c r="AJ401" s="1621">
        <f>AI401*6</f>
        <v>0</v>
      </c>
      <c r="AK401" s="1448" t="e">
        <f t="shared" si="343"/>
        <v>#DIV/0!</v>
      </c>
      <c r="AL401" s="1431" t="e">
        <f t="shared" si="344"/>
        <v>#DIV/0!</v>
      </c>
    </row>
    <row r="402" spans="1:40" s="1507" customFormat="1" ht="39.75" hidden="1" customHeight="1">
      <c r="A402" s="1456">
        <v>8</v>
      </c>
      <c r="B402" s="764" t="s">
        <v>2596</v>
      </c>
      <c r="C402" s="1461">
        <v>4</v>
      </c>
      <c r="D402" s="1461">
        <v>4</v>
      </c>
      <c r="E402" s="1461"/>
      <c r="F402" s="1461">
        <v>4</v>
      </c>
      <c r="G402" s="1620">
        <f t="shared" si="367"/>
        <v>16.837208999999998</v>
      </c>
      <c r="H402" s="1624">
        <f>6.26*1.39</f>
        <v>8.7013999999999996</v>
      </c>
      <c r="I402" s="1620">
        <f>SUM(J402:S402)</f>
        <v>6.0909799999999992</v>
      </c>
      <c r="J402" s="1630"/>
      <c r="K402" s="1630">
        <f t="shared" ref="K402:L402" si="375">0*1.39</f>
        <v>0</v>
      </c>
      <c r="L402" s="1624">
        <f t="shared" si="375"/>
        <v>0</v>
      </c>
      <c r="M402" s="1630"/>
      <c r="N402" s="1624">
        <f>6.26*1.39*70/100</f>
        <v>6.0909799999999992</v>
      </c>
      <c r="O402" s="1630">
        <f t="shared" ref="O402" si="376">0*1.39</f>
        <v>0</v>
      </c>
      <c r="P402" s="1630"/>
      <c r="Q402" s="1630"/>
      <c r="R402" s="1630">
        <f t="shared" ref="R402:S402" si="377">0*1.39</f>
        <v>0</v>
      </c>
      <c r="S402" s="1630">
        <f t="shared" si="377"/>
        <v>0</v>
      </c>
      <c r="T402" s="1621">
        <f>(H402+K402+L402+R402)*23.5%</f>
        <v>2.0448289999999996</v>
      </c>
      <c r="U402" s="1620">
        <f t="shared" si="368"/>
        <v>18.048518999999999</v>
      </c>
      <c r="V402" s="1624">
        <f>(H402/1.39)*1.49</f>
        <v>9.327399999999999</v>
      </c>
      <c r="W402" s="1620">
        <f>SUM(X402:AG402)</f>
        <v>6.5291799999999993</v>
      </c>
      <c r="X402" s="1706"/>
      <c r="Y402" s="1706">
        <f>(K402/1.39)*1.49</f>
        <v>0</v>
      </c>
      <c r="Z402" s="1624">
        <v>0</v>
      </c>
      <c r="AA402" s="1706">
        <f t="shared" ref="AA402:AG402" si="378">(M402/1.39)*1.49</f>
        <v>0</v>
      </c>
      <c r="AB402" s="1706">
        <f t="shared" si="378"/>
        <v>6.5291799999999993</v>
      </c>
      <c r="AC402" s="1706">
        <f t="shared" si="378"/>
        <v>0</v>
      </c>
      <c r="AD402" s="1706">
        <f t="shared" si="378"/>
        <v>0</v>
      </c>
      <c r="AE402" s="1706">
        <f t="shared" si="378"/>
        <v>0</v>
      </c>
      <c r="AF402" s="1706">
        <f t="shared" si="378"/>
        <v>0</v>
      </c>
      <c r="AG402" s="1706">
        <f t="shared" si="378"/>
        <v>0</v>
      </c>
      <c r="AH402" s="1620">
        <f>(V402+Y402+Z402+AF402)*23.5%</f>
        <v>2.1919389999999996</v>
      </c>
      <c r="AI402" s="1621">
        <f t="shared" si="369"/>
        <v>1.211310000000001</v>
      </c>
      <c r="AJ402" s="1621">
        <f t="shared" si="370"/>
        <v>7.267860000000006</v>
      </c>
      <c r="AK402" s="1448">
        <f t="shared" si="343"/>
        <v>0.30282750000000025</v>
      </c>
      <c r="AL402" s="1431">
        <f t="shared" si="344"/>
        <v>107.19424460431655</v>
      </c>
    </row>
    <row r="403" spans="1:40" s="1507" customFormat="1" ht="39.75" hidden="1" customHeight="1">
      <c r="A403" s="1456">
        <v>9</v>
      </c>
      <c r="B403" s="764" t="s">
        <v>2597</v>
      </c>
      <c r="C403" s="1455"/>
      <c r="D403" s="1455"/>
      <c r="E403" s="1455"/>
      <c r="F403" s="1455"/>
      <c r="G403" s="1709">
        <f t="shared" si="367"/>
        <v>0</v>
      </c>
      <c r="H403" s="1617"/>
      <c r="I403" s="1709">
        <f>SUM(J403:S403)</f>
        <v>0</v>
      </c>
      <c r="J403" s="1617"/>
      <c r="K403" s="1617"/>
      <c r="L403" s="1617"/>
      <c r="M403" s="1617"/>
      <c r="N403" s="1617"/>
      <c r="O403" s="1617"/>
      <c r="P403" s="1617"/>
      <c r="Q403" s="1617"/>
      <c r="R403" s="1617"/>
      <c r="S403" s="1617"/>
      <c r="T403" s="1693"/>
      <c r="U403" s="1709">
        <f t="shared" si="368"/>
        <v>0</v>
      </c>
      <c r="V403" s="1617"/>
      <c r="W403" s="1709">
        <f>SUM(X403:AG403)</f>
        <v>0</v>
      </c>
      <c r="X403" s="1617"/>
      <c r="Y403" s="1617"/>
      <c r="Z403" s="1617"/>
      <c r="AA403" s="1617"/>
      <c r="AB403" s="1617"/>
      <c r="AC403" s="1617"/>
      <c r="AD403" s="1617"/>
      <c r="AE403" s="1617"/>
      <c r="AF403" s="1617"/>
      <c r="AG403" s="1617"/>
      <c r="AH403" s="1693"/>
      <c r="AI403" s="1710">
        <f t="shared" si="369"/>
        <v>0</v>
      </c>
      <c r="AJ403" s="1710">
        <f t="shared" si="370"/>
        <v>0</v>
      </c>
      <c r="AK403" s="1448" t="e">
        <f t="shared" si="343"/>
        <v>#DIV/0!</v>
      </c>
      <c r="AL403" s="1431" t="e">
        <f t="shared" si="344"/>
        <v>#DIV/0!</v>
      </c>
    </row>
    <row r="404" spans="1:40" s="1507" customFormat="1" ht="40.5" hidden="1" customHeight="1">
      <c r="A404" s="1456">
        <v>10</v>
      </c>
      <c r="B404" s="764" t="s">
        <v>2598</v>
      </c>
      <c r="C404" s="1455"/>
      <c r="D404" s="1455"/>
      <c r="E404" s="1455"/>
      <c r="F404" s="1455"/>
      <c r="G404" s="1709">
        <f t="shared" si="367"/>
        <v>0</v>
      </c>
      <c r="H404" s="1617"/>
      <c r="I404" s="1709">
        <f>SUM(J404:S404)</f>
        <v>0</v>
      </c>
      <c r="J404" s="1617"/>
      <c r="K404" s="1617"/>
      <c r="L404" s="1617"/>
      <c r="M404" s="1617"/>
      <c r="N404" s="1617"/>
      <c r="O404" s="1617"/>
      <c r="P404" s="1617"/>
      <c r="Q404" s="1617"/>
      <c r="R404" s="1617"/>
      <c r="S404" s="1617"/>
      <c r="T404" s="1693"/>
      <c r="U404" s="1709">
        <f t="shared" si="368"/>
        <v>0</v>
      </c>
      <c r="V404" s="1617"/>
      <c r="W404" s="1709">
        <f>SUM(X404:AG404)</f>
        <v>0</v>
      </c>
      <c r="X404" s="1617"/>
      <c r="Y404" s="1617"/>
      <c r="Z404" s="1617"/>
      <c r="AA404" s="1617"/>
      <c r="AB404" s="1617"/>
      <c r="AC404" s="1617"/>
      <c r="AD404" s="1617"/>
      <c r="AE404" s="1617"/>
      <c r="AF404" s="1617"/>
      <c r="AG404" s="1617"/>
      <c r="AH404" s="1693"/>
      <c r="AI404" s="1710">
        <f t="shared" si="369"/>
        <v>0</v>
      </c>
      <c r="AJ404" s="1710">
        <f t="shared" si="370"/>
        <v>0</v>
      </c>
      <c r="AK404" s="1448" t="e">
        <f t="shared" si="343"/>
        <v>#DIV/0!</v>
      </c>
      <c r="AL404" s="1431" t="e">
        <f t="shared" si="344"/>
        <v>#DIV/0!</v>
      </c>
    </row>
    <row r="405" spans="1:40" s="1507" customFormat="1" ht="27.75" hidden="1" customHeight="1">
      <c r="A405" s="1456"/>
      <c r="B405" s="1535" t="s">
        <v>2529</v>
      </c>
      <c r="C405" s="1455"/>
      <c r="D405" s="1455"/>
      <c r="E405" s="1455"/>
      <c r="F405" s="1455"/>
      <c r="G405" s="1693"/>
      <c r="H405" s="1617"/>
      <c r="I405" s="1693"/>
      <c r="J405" s="1617"/>
      <c r="K405" s="1617"/>
      <c r="L405" s="1617"/>
      <c r="M405" s="1617"/>
      <c r="N405" s="1617"/>
      <c r="O405" s="1617"/>
      <c r="P405" s="1617"/>
      <c r="Q405" s="1617"/>
      <c r="R405" s="1617"/>
      <c r="S405" s="1617"/>
      <c r="T405" s="1693">
        <f>(H405+K405+L405+R405)*23.5%</f>
        <v>0</v>
      </c>
      <c r="U405" s="1626">
        <f t="shared" si="368"/>
        <v>0</v>
      </c>
      <c r="V405" s="1626">
        <f>(H405/1.3)*1.39</f>
        <v>0</v>
      </c>
      <c r="W405" s="1626">
        <f>SUM(X405:AG405)</f>
        <v>0</v>
      </c>
      <c r="X405" s="1626">
        <f t="shared" ref="X405:AG405" si="379">(J405/1.3)*1.39</f>
        <v>0</v>
      </c>
      <c r="Y405" s="1626">
        <f t="shared" si="379"/>
        <v>0</v>
      </c>
      <c r="Z405" s="1626">
        <f t="shared" si="379"/>
        <v>0</v>
      </c>
      <c r="AA405" s="1626">
        <f t="shared" si="379"/>
        <v>0</v>
      </c>
      <c r="AB405" s="1626">
        <f t="shared" si="379"/>
        <v>0</v>
      </c>
      <c r="AC405" s="1626">
        <f t="shared" si="379"/>
        <v>0</v>
      </c>
      <c r="AD405" s="1626">
        <f t="shared" si="379"/>
        <v>0</v>
      </c>
      <c r="AE405" s="1626">
        <f t="shared" si="379"/>
        <v>0</v>
      </c>
      <c r="AF405" s="1626">
        <f t="shared" si="379"/>
        <v>0</v>
      </c>
      <c r="AG405" s="1626">
        <f t="shared" si="379"/>
        <v>0</v>
      </c>
      <c r="AH405" s="1626">
        <f>(V405+Y405+Z405+AF405)*23.5%</f>
        <v>0</v>
      </c>
      <c r="AI405" s="1710">
        <f t="shared" si="369"/>
        <v>0</v>
      </c>
      <c r="AJ405" s="1710">
        <f t="shared" si="370"/>
        <v>0</v>
      </c>
      <c r="AK405" s="1448" t="e">
        <f t="shared" si="343"/>
        <v>#DIV/0!</v>
      </c>
      <c r="AL405" s="1431" t="e">
        <f t="shared" si="344"/>
        <v>#DIV/0!</v>
      </c>
    </row>
    <row r="406" spans="1:40" s="1507" customFormat="1" ht="27.75" hidden="1" customHeight="1">
      <c r="A406" s="1445">
        <v>2</v>
      </c>
      <c r="B406" s="1446" t="s">
        <v>2237</v>
      </c>
      <c r="C406" s="1447">
        <f>C407+C442</f>
        <v>120</v>
      </c>
      <c r="D406" s="1447">
        <f t="shared" ref="D406:AJ406" si="380">D407+D442</f>
        <v>116</v>
      </c>
      <c r="E406" s="1447">
        <f t="shared" si="380"/>
        <v>4</v>
      </c>
      <c r="F406" s="1447">
        <f t="shared" si="380"/>
        <v>127</v>
      </c>
      <c r="G406" s="1616">
        <f t="shared" si="380"/>
        <v>543.30097838999995</v>
      </c>
      <c r="H406" s="1616">
        <f t="shared" si="380"/>
        <v>417.61160000000007</v>
      </c>
      <c r="I406" s="1616">
        <f t="shared" si="380"/>
        <v>27.169582500000001</v>
      </c>
      <c r="J406" s="1616">
        <f t="shared" si="380"/>
        <v>0</v>
      </c>
      <c r="K406" s="1616">
        <f t="shared" si="380"/>
        <v>0</v>
      </c>
      <c r="L406" s="1616">
        <f t="shared" si="380"/>
        <v>1.6215740000000001</v>
      </c>
      <c r="M406" s="1616">
        <f t="shared" si="380"/>
        <v>25.458683999999998</v>
      </c>
      <c r="N406" s="1616">
        <f t="shared" si="380"/>
        <v>3.65848</v>
      </c>
      <c r="O406" s="1616">
        <f t="shared" si="380"/>
        <v>0</v>
      </c>
      <c r="P406" s="1616">
        <f t="shared" si="380"/>
        <v>7.6307085000000008</v>
      </c>
      <c r="Q406" s="1616">
        <f t="shared" si="380"/>
        <v>0</v>
      </c>
      <c r="R406" s="1616">
        <f t="shared" si="380"/>
        <v>0</v>
      </c>
      <c r="S406" s="1616">
        <f t="shared" si="380"/>
        <v>7.0891999999999999</v>
      </c>
      <c r="T406" s="1616">
        <f t="shared" si="380"/>
        <v>98.519795890000012</v>
      </c>
      <c r="U406" s="1616">
        <f t="shared" si="380"/>
        <v>582.12753524772006</v>
      </c>
      <c r="V406" s="1616">
        <f t="shared" si="380"/>
        <v>447.65559999999999</v>
      </c>
      <c r="W406" s="1616">
        <f t="shared" si="380"/>
        <v>29.103536707719975</v>
      </c>
      <c r="X406" s="1616">
        <f t="shared" si="380"/>
        <v>0</v>
      </c>
      <c r="Y406" s="1616">
        <f t="shared" si="380"/>
        <v>0</v>
      </c>
      <c r="Z406" s="1616">
        <f t="shared" si="380"/>
        <v>0.72056399999999998</v>
      </c>
      <c r="AA406" s="1616">
        <f t="shared" si="380"/>
        <v>27.290243999999998</v>
      </c>
      <c r="AB406" s="1616">
        <f t="shared" si="380"/>
        <v>3.9216800000000003</v>
      </c>
      <c r="AC406" s="1616">
        <f t="shared" si="380"/>
        <v>0</v>
      </c>
      <c r="AD406" s="1616">
        <f t="shared" si="380"/>
        <v>8.1589883192307688</v>
      </c>
      <c r="AE406" s="1616">
        <f t="shared" si="380"/>
        <v>0</v>
      </c>
      <c r="AF406" s="1616">
        <f t="shared" si="380"/>
        <v>0</v>
      </c>
      <c r="AG406" s="1616">
        <f t="shared" si="380"/>
        <v>7.5992143884892096</v>
      </c>
      <c r="AH406" s="1616">
        <f t="shared" si="380"/>
        <v>105.36839854</v>
      </c>
      <c r="AI406" s="1616">
        <f t="shared" si="380"/>
        <v>38.826556857719993</v>
      </c>
      <c r="AJ406" s="1616">
        <f t="shared" si="380"/>
        <v>232.95934114631993</v>
      </c>
      <c r="AK406" s="1448">
        <f t="shared" si="343"/>
        <v>0.30572092013952751</v>
      </c>
      <c r="AL406" s="1431">
        <f t="shared" si="344"/>
        <v>107.14641762155065</v>
      </c>
    </row>
    <row r="407" spans="1:40" s="1507" customFormat="1" ht="27.75" hidden="1" customHeight="1">
      <c r="A407" s="1375">
        <v>11</v>
      </c>
      <c r="B407" s="1376" t="s">
        <v>2293</v>
      </c>
      <c r="C407" s="560">
        <f>SUM(C408:C416,C426:C428,C437:C441)</f>
        <v>120</v>
      </c>
      <c r="D407" s="560">
        <f t="shared" ref="D407:AJ407" si="381">SUM(D408:D416,D426:D428,D437:D441)</f>
        <v>116</v>
      </c>
      <c r="E407" s="560">
        <f t="shared" si="381"/>
        <v>4</v>
      </c>
      <c r="F407" s="560">
        <f t="shared" si="381"/>
        <v>127</v>
      </c>
      <c r="G407" s="1617">
        <f t="shared" si="381"/>
        <v>543.30097838999995</v>
      </c>
      <c r="H407" s="1617">
        <f t="shared" si="381"/>
        <v>417.61160000000007</v>
      </c>
      <c r="I407" s="1617">
        <f t="shared" si="381"/>
        <v>27.169582500000001</v>
      </c>
      <c r="J407" s="1617">
        <f t="shared" si="381"/>
        <v>0</v>
      </c>
      <c r="K407" s="1617">
        <f t="shared" si="381"/>
        <v>0</v>
      </c>
      <c r="L407" s="1617">
        <f t="shared" si="381"/>
        <v>1.6215740000000001</v>
      </c>
      <c r="M407" s="1617">
        <f t="shared" si="381"/>
        <v>25.458683999999998</v>
      </c>
      <c r="N407" s="1617">
        <f t="shared" si="381"/>
        <v>3.65848</v>
      </c>
      <c r="O407" s="1617">
        <f t="shared" si="381"/>
        <v>0</v>
      </c>
      <c r="P407" s="1617">
        <f t="shared" si="381"/>
        <v>7.6307085000000008</v>
      </c>
      <c r="Q407" s="1617">
        <f t="shared" si="381"/>
        <v>0</v>
      </c>
      <c r="R407" s="1617">
        <f t="shared" si="381"/>
        <v>0</v>
      </c>
      <c r="S407" s="1617">
        <f t="shared" si="381"/>
        <v>7.0891999999999999</v>
      </c>
      <c r="T407" s="1617">
        <f t="shared" si="381"/>
        <v>98.519795890000012</v>
      </c>
      <c r="U407" s="1617">
        <f t="shared" si="381"/>
        <v>582.12753524772006</v>
      </c>
      <c r="V407" s="1617">
        <f t="shared" si="381"/>
        <v>447.65559999999999</v>
      </c>
      <c r="W407" s="1617">
        <f t="shared" si="381"/>
        <v>29.103536707719975</v>
      </c>
      <c r="X407" s="1617">
        <f t="shared" si="381"/>
        <v>0</v>
      </c>
      <c r="Y407" s="1617">
        <f t="shared" si="381"/>
        <v>0</v>
      </c>
      <c r="Z407" s="1617">
        <f t="shared" si="381"/>
        <v>0.72056399999999998</v>
      </c>
      <c r="AA407" s="1617">
        <f t="shared" si="381"/>
        <v>27.290243999999998</v>
      </c>
      <c r="AB407" s="1617">
        <f t="shared" si="381"/>
        <v>3.9216800000000003</v>
      </c>
      <c r="AC407" s="1617">
        <f t="shared" si="381"/>
        <v>0</v>
      </c>
      <c r="AD407" s="1617">
        <f t="shared" si="381"/>
        <v>8.1589883192307688</v>
      </c>
      <c r="AE407" s="1617">
        <f t="shared" si="381"/>
        <v>0</v>
      </c>
      <c r="AF407" s="1617">
        <f t="shared" si="381"/>
        <v>0</v>
      </c>
      <c r="AG407" s="1617">
        <f t="shared" si="381"/>
        <v>7.5992143884892096</v>
      </c>
      <c r="AH407" s="1617">
        <f t="shared" si="381"/>
        <v>105.36839854</v>
      </c>
      <c r="AI407" s="1617">
        <f t="shared" si="381"/>
        <v>38.826556857719993</v>
      </c>
      <c r="AJ407" s="1617">
        <f t="shared" si="381"/>
        <v>232.95934114631993</v>
      </c>
      <c r="AK407" s="1448">
        <f t="shared" si="343"/>
        <v>0.30572092013952751</v>
      </c>
      <c r="AL407" s="1431">
        <f t="shared" si="344"/>
        <v>107.14641762155065</v>
      </c>
    </row>
    <row r="408" spans="1:40" s="1507" customFormat="1" ht="27.75" hidden="1" customHeight="1">
      <c r="A408" s="1375"/>
      <c r="B408" s="1453" t="s">
        <v>2889</v>
      </c>
      <c r="C408" s="1455">
        <f>D408+E408</f>
        <v>1</v>
      </c>
      <c r="D408" s="1455"/>
      <c r="E408" s="1455">
        <v>1</v>
      </c>
      <c r="F408" s="1455">
        <v>1</v>
      </c>
      <c r="G408" s="1367">
        <f t="shared" ref="G408:G415" si="382">H408+I408+T408</f>
        <v>6.5569860000000002</v>
      </c>
      <c r="H408" s="1577">
        <f>((3.12)*1390)/1000</f>
        <v>4.3368000000000002</v>
      </c>
      <c r="I408" s="1367">
        <f t="shared" ref="I408:I415" si="383">SUM(J408:S408)</f>
        <v>1.201038</v>
      </c>
      <c r="J408" s="1365"/>
      <c r="K408" s="1365"/>
      <c r="L408" s="1365"/>
      <c r="M408" s="1365"/>
      <c r="N408" s="1365"/>
      <c r="O408" s="1365"/>
      <c r="P408" s="1365">
        <f>(H408+K408+L408+0.774)*23.5%</f>
        <v>1.201038</v>
      </c>
      <c r="Q408" s="1365">
        <f>(J408/1.39)*1.49</f>
        <v>0</v>
      </c>
      <c r="R408" s="1365"/>
      <c r="S408" s="1577">
        <f>(L408/1.39)*1.49</f>
        <v>0</v>
      </c>
      <c r="T408" s="1366">
        <f>(H408+K408+L408+R408)*23.5%</f>
        <v>1.0191479999999999</v>
      </c>
      <c r="U408" s="1367">
        <f t="shared" ref="U408:U415" si="384">V408+W408+AH408</f>
        <v>7.025454784615385</v>
      </c>
      <c r="V408" s="1367">
        <f>(H408/1.39)*1.49</f>
        <v>4.6488000000000005</v>
      </c>
      <c r="W408" s="1367">
        <f t="shared" ref="W408:W415" si="385">SUM(X408:AG408)</f>
        <v>1.2841867846153845</v>
      </c>
      <c r="X408" s="1367">
        <f t="shared" ref="X408:AG410" si="386">(J408/1.3)*1.39</f>
        <v>0</v>
      </c>
      <c r="Y408" s="1367">
        <f t="shared" si="386"/>
        <v>0</v>
      </c>
      <c r="Z408" s="1367">
        <f t="shared" si="386"/>
        <v>0</v>
      </c>
      <c r="AA408" s="1367">
        <f t="shared" si="386"/>
        <v>0</v>
      </c>
      <c r="AB408" s="1367">
        <f t="shared" si="386"/>
        <v>0</v>
      </c>
      <c r="AC408" s="1367">
        <f t="shared" si="386"/>
        <v>0</v>
      </c>
      <c r="AD408" s="1367">
        <f t="shared" si="386"/>
        <v>1.2841867846153845</v>
      </c>
      <c r="AE408" s="1367">
        <f t="shared" si="386"/>
        <v>0</v>
      </c>
      <c r="AF408" s="1367">
        <f t="shared" si="386"/>
        <v>0</v>
      </c>
      <c r="AG408" s="1367">
        <f t="shared" si="386"/>
        <v>0</v>
      </c>
      <c r="AH408" s="1367">
        <f>(V408+Y408+Z408+AF408)*23.5%</f>
        <v>1.092468</v>
      </c>
      <c r="AI408" s="1366">
        <f t="shared" ref="AI408:AI415" si="387">U408-G408</f>
        <v>0.46846878461538477</v>
      </c>
      <c r="AJ408" s="1366">
        <f>AI408*6</f>
        <v>2.8108127076923086</v>
      </c>
      <c r="AK408" s="1448">
        <f t="shared" si="343"/>
        <v>0.46846878461538477</v>
      </c>
      <c r="AL408" s="1431">
        <f t="shared" si="344"/>
        <v>107.14457503211665</v>
      </c>
      <c r="AN408" s="1541">
        <f>AJ407-AL407</f>
        <v>125.81292352476927</v>
      </c>
    </row>
    <row r="409" spans="1:40" s="1507" customFormat="1" ht="27.75" hidden="1" customHeight="1">
      <c r="A409" s="1375"/>
      <c r="B409" s="1453" t="s">
        <v>2600</v>
      </c>
      <c r="C409" s="1455">
        <f t="shared" ref="C409:C412" si="388">D409+E409</f>
        <v>3</v>
      </c>
      <c r="D409" s="1455"/>
      <c r="E409" s="1455">
        <v>3</v>
      </c>
      <c r="F409" s="1455">
        <v>2</v>
      </c>
      <c r="G409" s="1367">
        <f t="shared" si="382"/>
        <v>7.8238320000000012</v>
      </c>
      <c r="H409" s="1577">
        <f>((3.74)*1390)/1000</f>
        <v>5.1986000000000008</v>
      </c>
      <c r="I409" s="1367">
        <f t="shared" si="383"/>
        <v>1.4035610000000001</v>
      </c>
      <c r="J409" s="1365"/>
      <c r="K409" s="1365"/>
      <c r="L409" s="1365"/>
      <c r="M409" s="1365"/>
      <c r="N409" s="1365"/>
      <c r="O409" s="1365"/>
      <c r="P409" s="1365">
        <f>(H409+K409+L409+0.774)*23.5%</f>
        <v>1.4035610000000001</v>
      </c>
      <c r="Q409" s="1365">
        <f>(J409/1.39)*1.49</f>
        <v>0</v>
      </c>
      <c r="R409" s="1365"/>
      <c r="S409" s="1365">
        <f>(L409/1.39)*1.49</f>
        <v>0</v>
      </c>
      <c r="T409" s="1366">
        <f>(H409+K409+L409+R409)*23.5%</f>
        <v>1.2216710000000002</v>
      </c>
      <c r="U409" s="1367">
        <f t="shared" si="384"/>
        <v>8.3828916076923097</v>
      </c>
      <c r="V409" s="1367">
        <f>(H409/1.39)*1.49</f>
        <v>5.5726000000000013</v>
      </c>
      <c r="W409" s="1367">
        <f t="shared" si="385"/>
        <v>1.5007306076923077</v>
      </c>
      <c r="X409" s="1367">
        <f t="shared" si="386"/>
        <v>0</v>
      </c>
      <c r="Y409" s="1367">
        <f t="shared" si="386"/>
        <v>0</v>
      </c>
      <c r="Z409" s="1367">
        <f t="shared" si="386"/>
        <v>0</v>
      </c>
      <c r="AA409" s="1367">
        <f t="shared" si="386"/>
        <v>0</v>
      </c>
      <c r="AB409" s="1367">
        <f t="shared" si="386"/>
        <v>0</v>
      </c>
      <c r="AC409" s="1367">
        <f t="shared" si="386"/>
        <v>0</v>
      </c>
      <c r="AD409" s="1367">
        <f t="shared" si="386"/>
        <v>1.5007306076923077</v>
      </c>
      <c r="AE409" s="1367">
        <f t="shared" si="386"/>
        <v>0</v>
      </c>
      <c r="AF409" s="1367">
        <f t="shared" si="386"/>
        <v>0</v>
      </c>
      <c r="AG409" s="1367">
        <f t="shared" si="386"/>
        <v>0</v>
      </c>
      <c r="AH409" s="1367">
        <f>(V409+Y409+Z409+AF409)*23.5%</f>
        <v>1.3095610000000002</v>
      </c>
      <c r="AI409" s="1366">
        <f t="shared" si="387"/>
        <v>0.55905960769230845</v>
      </c>
      <c r="AJ409" s="1366">
        <f t="shared" ref="AJ409:AJ427" si="389">AI409*6</f>
        <v>3.3543576461538507</v>
      </c>
      <c r="AK409" s="1448">
        <f t="shared" si="343"/>
        <v>0.27952980384615422</v>
      </c>
      <c r="AL409" s="1431">
        <f t="shared" si="344"/>
        <v>107.14559831668559</v>
      </c>
    </row>
    <row r="410" spans="1:40" s="1507" customFormat="1" ht="27.75" hidden="1" customHeight="1">
      <c r="A410" s="1375"/>
      <c r="B410" s="1453" t="s">
        <v>3057</v>
      </c>
      <c r="C410" s="1455">
        <f t="shared" si="388"/>
        <v>13</v>
      </c>
      <c r="D410" s="1455">
        <v>13</v>
      </c>
      <c r="E410" s="1455"/>
      <c r="F410" s="1455">
        <v>6</v>
      </c>
      <c r="G410" s="1367">
        <f t="shared" si="382"/>
        <v>30.484029000000003</v>
      </c>
      <c r="H410" s="1577">
        <f>((14.83)*1390)/1000</f>
        <v>20.613700000000001</v>
      </c>
      <c r="I410" s="1367">
        <f t="shared" si="383"/>
        <v>5.0261095000000005</v>
      </c>
      <c r="J410" s="1365"/>
      <c r="K410" s="1365"/>
      <c r="L410" s="1365"/>
      <c r="M410" s="1365"/>
      <c r="N410" s="1365"/>
      <c r="O410" s="1365"/>
      <c r="P410" s="1365">
        <f>(H410+K410+L410+0.774)*23.5%</f>
        <v>5.0261095000000005</v>
      </c>
      <c r="Q410" s="1365">
        <f>(J410/1.39)*1.49</f>
        <v>0</v>
      </c>
      <c r="R410" s="1365"/>
      <c r="S410" s="1577">
        <f>(L410/1.39)*1.49</f>
        <v>0</v>
      </c>
      <c r="T410" s="1366">
        <f>(H410+K410+L410+R410)*23.5%</f>
        <v>4.8442195000000003</v>
      </c>
      <c r="U410" s="1367">
        <f t="shared" si="384"/>
        <v>32.663495426923078</v>
      </c>
      <c r="V410" s="1367">
        <f>(H410/1.39)*1.49</f>
        <v>22.096700000000002</v>
      </c>
      <c r="W410" s="1367">
        <f t="shared" si="385"/>
        <v>5.3740709269230766</v>
      </c>
      <c r="X410" s="1367">
        <f t="shared" si="386"/>
        <v>0</v>
      </c>
      <c r="Y410" s="1367">
        <f t="shared" si="386"/>
        <v>0</v>
      </c>
      <c r="Z410" s="1367">
        <f t="shared" si="386"/>
        <v>0</v>
      </c>
      <c r="AA410" s="1367">
        <f t="shared" si="386"/>
        <v>0</v>
      </c>
      <c r="AB410" s="1367">
        <f t="shared" si="386"/>
        <v>0</v>
      </c>
      <c r="AC410" s="1367">
        <f t="shared" si="386"/>
        <v>0</v>
      </c>
      <c r="AD410" s="1367">
        <f t="shared" si="386"/>
        <v>5.3740709269230766</v>
      </c>
      <c r="AE410" s="1367">
        <f t="shared" si="386"/>
        <v>0</v>
      </c>
      <c r="AF410" s="1367">
        <f t="shared" si="386"/>
        <v>0</v>
      </c>
      <c r="AG410" s="1367">
        <f t="shared" si="386"/>
        <v>0</v>
      </c>
      <c r="AH410" s="1367">
        <f>(V410+Y410+Z410+AF410)*23.5%</f>
        <v>5.1927244999999997</v>
      </c>
      <c r="AI410" s="1366">
        <f t="shared" si="387"/>
        <v>2.1794664269230744</v>
      </c>
      <c r="AJ410" s="1366">
        <f>AI410*6</f>
        <v>13.076798561538446</v>
      </c>
      <c r="AK410" s="1448">
        <f t="shared" si="343"/>
        <v>0.36324440448717904</v>
      </c>
      <c r="AL410" s="1431">
        <f t="shared" si="344"/>
        <v>107.14953534168031</v>
      </c>
    </row>
    <row r="411" spans="1:40" s="1507" customFormat="1" ht="27.75" hidden="1" customHeight="1">
      <c r="A411" s="1375"/>
      <c r="B411" s="1453" t="s">
        <v>2602</v>
      </c>
      <c r="C411" s="1455">
        <f t="shared" si="388"/>
        <v>0</v>
      </c>
      <c r="D411" s="1455"/>
      <c r="E411" s="1455"/>
      <c r="F411" s="1455"/>
      <c r="G411" s="1614">
        <f t="shared" si="382"/>
        <v>0</v>
      </c>
      <c r="H411" s="1617"/>
      <c r="I411" s="1614">
        <f t="shared" si="383"/>
        <v>0</v>
      </c>
      <c r="J411" s="1617"/>
      <c r="K411" s="1617"/>
      <c r="L411" s="1617"/>
      <c r="M411" s="1617"/>
      <c r="N411" s="1617"/>
      <c r="O411" s="1617"/>
      <c r="P411" s="1365"/>
      <c r="Q411" s="1617"/>
      <c r="R411" s="1617"/>
      <c r="S411" s="1617"/>
      <c r="T411" s="1621"/>
      <c r="U411" s="1614">
        <f t="shared" si="384"/>
        <v>0</v>
      </c>
      <c r="V411" s="1617"/>
      <c r="W411" s="1614">
        <f t="shared" si="385"/>
        <v>0</v>
      </c>
      <c r="X411" s="1617"/>
      <c r="Y411" s="1617"/>
      <c r="Z411" s="1617"/>
      <c r="AA411" s="1617"/>
      <c r="AB411" s="1617"/>
      <c r="AC411" s="1617"/>
      <c r="AD411" s="1617"/>
      <c r="AE411" s="1617"/>
      <c r="AF411" s="1617"/>
      <c r="AG411" s="1617"/>
      <c r="AH411" s="1621"/>
      <c r="AI411" s="1621">
        <f t="shared" si="387"/>
        <v>0</v>
      </c>
      <c r="AJ411" s="1621">
        <f t="shared" si="389"/>
        <v>0</v>
      </c>
      <c r="AK411" s="1448" t="e">
        <f t="shared" si="343"/>
        <v>#DIV/0!</v>
      </c>
      <c r="AL411" s="1431" t="e">
        <f t="shared" si="344"/>
        <v>#DIV/0!</v>
      </c>
    </row>
    <row r="412" spans="1:40" s="1507" customFormat="1" ht="27.75" hidden="1" customHeight="1">
      <c r="A412" s="1375"/>
      <c r="B412" s="1453" t="s">
        <v>2603</v>
      </c>
      <c r="C412" s="1455">
        <f t="shared" si="388"/>
        <v>2</v>
      </c>
      <c r="D412" s="1455">
        <v>2</v>
      </c>
      <c r="E412" s="1455"/>
      <c r="F412" s="1455">
        <v>2</v>
      </c>
      <c r="G412" s="1367">
        <f t="shared" si="382"/>
        <v>6.114609999999999</v>
      </c>
      <c r="H412" s="1577">
        <f>(3.4*1390)/1000</f>
        <v>4.726</v>
      </c>
      <c r="I412" s="1367">
        <f t="shared" si="383"/>
        <v>0.27800000000000002</v>
      </c>
      <c r="J412" s="1365"/>
      <c r="K412" s="1365"/>
      <c r="L412" s="1365"/>
      <c r="M412" s="1365"/>
      <c r="N412" s="1365"/>
      <c r="O412" s="1365"/>
      <c r="P412" s="1365"/>
      <c r="Q412" s="1365"/>
      <c r="R412" s="1365"/>
      <c r="S412" s="1577">
        <f>(0.2*1390)/1000</f>
        <v>0.27800000000000002</v>
      </c>
      <c r="T412" s="1366">
        <f>(H412+K412+L412+R412)*23.5%</f>
        <v>1.1106099999999999</v>
      </c>
      <c r="U412" s="1367">
        <f t="shared" si="384"/>
        <v>6.5545100000000005</v>
      </c>
      <c r="V412" s="1367">
        <f>(H412/1.39)*1.49</f>
        <v>5.0660000000000007</v>
      </c>
      <c r="W412" s="1367">
        <f t="shared" si="385"/>
        <v>0.29800000000000004</v>
      </c>
      <c r="X412" s="1367">
        <f t="shared" ref="X412:AF412" si="390">(J412/1.3)*1.39</f>
        <v>0</v>
      </c>
      <c r="Y412" s="1367">
        <f t="shared" si="390"/>
        <v>0</v>
      </c>
      <c r="Z412" s="1367">
        <f t="shared" si="390"/>
        <v>0</v>
      </c>
      <c r="AA412" s="1367">
        <f t="shared" si="390"/>
        <v>0</v>
      </c>
      <c r="AB412" s="1367">
        <f t="shared" si="390"/>
        <v>0</v>
      </c>
      <c r="AC412" s="1367">
        <f t="shared" si="390"/>
        <v>0</v>
      </c>
      <c r="AD412" s="1367">
        <f t="shared" si="390"/>
        <v>0</v>
      </c>
      <c r="AE412" s="1367">
        <f t="shared" si="390"/>
        <v>0</v>
      </c>
      <c r="AF412" s="1367">
        <f t="shared" si="390"/>
        <v>0</v>
      </c>
      <c r="AG412" s="1367">
        <f>(S412/1.39)*1.49</f>
        <v>0.29800000000000004</v>
      </c>
      <c r="AH412" s="1367">
        <f>(V412+Y412+Z412+AF412)*23.5%</f>
        <v>1.1905100000000002</v>
      </c>
      <c r="AI412" s="1366">
        <f t="shared" si="387"/>
        <v>0.43990000000000151</v>
      </c>
      <c r="AJ412" s="1366">
        <f t="shared" si="389"/>
        <v>2.6394000000000091</v>
      </c>
      <c r="AK412" s="1448">
        <f t="shared" si="343"/>
        <v>0.21995000000000076</v>
      </c>
      <c r="AL412" s="1431">
        <f t="shared" si="344"/>
        <v>107.19424460431657</v>
      </c>
    </row>
    <row r="413" spans="1:40" s="1507" customFormat="1" ht="27.75" hidden="1" customHeight="1">
      <c r="A413" s="1375"/>
      <c r="B413" s="1453" t="s">
        <v>2604</v>
      </c>
      <c r="C413" s="1455"/>
      <c r="D413" s="1455"/>
      <c r="E413" s="1455"/>
      <c r="F413" s="1455"/>
      <c r="G413" s="1614">
        <f t="shared" si="382"/>
        <v>0</v>
      </c>
      <c r="H413" s="1617"/>
      <c r="I413" s="1614">
        <f t="shared" si="383"/>
        <v>0</v>
      </c>
      <c r="J413" s="1617"/>
      <c r="K413" s="1617"/>
      <c r="L413" s="1617"/>
      <c r="M413" s="1617"/>
      <c r="N413" s="1617"/>
      <c r="O413" s="1617"/>
      <c r="P413" s="1617"/>
      <c r="Q413" s="1617"/>
      <c r="R413" s="1617"/>
      <c r="S413" s="1617"/>
      <c r="T413" s="1621"/>
      <c r="U413" s="1614">
        <f t="shared" si="384"/>
        <v>0</v>
      </c>
      <c r="V413" s="1617"/>
      <c r="W413" s="1614">
        <f t="shared" si="385"/>
        <v>0</v>
      </c>
      <c r="X413" s="1617"/>
      <c r="Y413" s="1617"/>
      <c r="Z413" s="1617"/>
      <c r="AA413" s="1617"/>
      <c r="AB413" s="1617"/>
      <c r="AC413" s="1617"/>
      <c r="AD413" s="1617"/>
      <c r="AE413" s="1617"/>
      <c r="AF413" s="1617"/>
      <c r="AG413" s="1617"/>
      <c r="AH413" s="1621"/>
      <c r="AI413" s="1621">
        <f t="shared" si="387"/>
        <v>0</v>
      </c>
      <c r="AJ413" s="1621">
        <f t="shared" si="389"/>
        <v>0</v>
      </c>
      <c r="AK413" s="1448" t="e">
        <f t="shared" ref="AK413:AK416" si="391">AI413/F413</f>
        <v>#DIV/0!</v>
      </c>
      <c r="AL413" s="1431" t="e">
        <f t="shared" ref="AL413:AL476" si="392">U413/G413*100</f>
        <v>#DIV/0!</v>
      </c>
    </row>
    <row r="414" spans="1:40" s="1507" customFormat="1" ht="27.75" hidden="1" customHeight="1">
      <c r="A414" s="1375"/>
      <c r="B414" s="1453" t="s">
        <v>2605</v>
      </c>
      <c r="C414" s="1455"/>
      <c r="D414" s="1455"/>
      <c r="E414" s="1455"/>
      <c r="F414" s="1455"/>
      <c r="G414" s="1614">
        <f t="shared" si="382"/>
        <v>0</v>
      </c>
      <c r="H414" s="1617"/>
      <c r="I414" s="1614">
        <f t="shared" si="383"/>
        <v>0</v>
      </c>
      <c r="J414" s="1617"/>
      <c r="K414" s="1617"/>
      <c r="L414" s="1617"/>
      <c r="M414" s="1617"/>
      <c r="N414" s="1617"/>
      <c r="O414" s="1617"/>
      <c r="P414" s="1617"/>
      <c r="Q414" s="1617"/>
      <c r="R414" s="1617"/>
      <c r="S414" s="1617"/>
      <c r="T414" s="1621"/>
      <c r="U414" s="1614">
        <f t="shared" si="384"/>
        <v>0</v>
      </c>
      <c r="V414" s="1617"/>
      <c r="W414" s="1614">
        <f t="shared" si="385"/>
        <v>0</v>
      </c>
      <c r="X414" s="1617"/>
      <c r="Y414" s="1617"/>
      <c r="Z414" s="1617"/>
      <c r="AA414" s="1617"/>
      <c r="AB414" s="1617"/>
      <c r="AC414" s="1617"/>
      <c r="AD414" s="1617"/>
      <c r="AE414" s="1617"/>
      <c r="AF414" s="1617"/>
      <c r="AG414" s="1617"/>
      <c r="AH414" s="1621"/>
      <c r="AI414" s="1621">
        <f t="shared" si="387"/>
        <v>0</v>
      </c>
      <c r="AJ414" s="1621">
        <f t="shared" si="389"/>
        <v>0</v>
      </c>
      <c r="AK414" s="1448" t="e">
        <f t="shared" si="391"/>
        <v>#DIV/0!</v>
      </c>
      <c r="AL414" s="1431" t="e">
        <f t="shared" si="392"/>
        <v>#DIV/0!</v>
      </c>
    </row>
    <row r="415" spans="1:40" s="1507" customFormat="1" ht="27.75" hidden="1" customHeight="1">
      <c r="A415" s="1375"/>
      <c r="B415" s="1453" t="s">
        <v>2606</v>
      </c>
      <c r="C415" s="1455"/>
      <c r="D415" s="1455"/>
      <c r="E415" s="1455"/>
      <c r="F415" s="1455"/>
      <c r="G415" s="1614">
        <f t="shared" si="382"/>
        <v>0</v>
      </c>
      <c r="H415" s="1617"/>
      <c r="I415" s="1614">
        <f t="shared" si="383"/>
        <v>0</v>
      </c>
      <c r="J415" s="1617"/>
      <c r="K415" s="1617"/>
      <c r="L415" s="1617"/>
      <c r="M415" s="1617"/>
      <c r="N415" s="1617"/>
      <c r="O415" s="1617"/>
      <c r="P415" s="1617"/>
      <c r="Q415" s="1617"/>
      <c r="R415" s="1617"/>
      <c r="S415" s="1617"/>
      <c r="T415" s="1621"/>
      <c r="U415" s="1614">
        <f t="shared" si="384"/>
        <v>0</v>
      </c>
      <c r="V415" s="1617"/>
      <c r="W415" s="1614">
        <f t="shared" si="385"/>
        <v>0</v>
      </c>
      <c r="X415" s="1617"/>
      <c r="Y415" s="1617"/>
      <c r="Z415" s="1617"/>
      <c r="AA415" s="1617"/>
      <c r="AB415" s="1617"/>
      <c r="AC415" s="1617"/>
      <c r="AD415" s="1617"/>
      <c r="AE415" s="1617"/>
      <c r="AF415" s="1617"/>
      <c r="AG415" s="1617"/>
      <c r="AH415" s="1621"/>
      <c r="AI415" s="1621">
        <f t="shared" si="387"/>
        <v>0</v>
      </c>
      <c r="AJ415" s="1621">
        <f t="shared" si="389"/>
        <v>0</v>
      </c>
      <c r="AK415" s="1448" t="e">
        <f t="shared" si="391"/>
        <v>#DIV/0!</v>
      </c>
      <c r="AL415" s="1431" t="e">
        <f t="shared" si="392"/>
        <v>#DIV/0!</v>
      </c>
    </row>
    <row r="416" spans="1:40" s="1507" customFormat="1" ht="27.75" hidden="1" customHeight="1">
      <c r="A416" s="1375"/>
      <c r="B416" s="764" t="s">
        <v>2607</v>
      </c>
      <c r="C416" s="560">
        <f>SUM(C417:C425)</f>
        <v>48</v>
      </c>
      <c r="D416" s="560">
        <f t="shared" ref="D416:AJ416" si="393">SUM(D417:D425)</f>
        <v>48</v>
      </c>
      <c r="E416" s="560">
        <f t="shared" si="393"/>
        <v>0</v>
      </c>
      <c r="F416" s="560">
        <f t="shared" si="393"/>
        <v>41</v>
      </c>
      <c r="G416" s="1617">
        <f t="shared" si="393"/>
        <v>179.10698493999999</v>
      </c>
      <c r="H416" s="1617">
        <f t="shared" si="393"/>
        <v>139.02780000000001</v>
      </c>
      <c r="I416" s="1617">
        <f t="shared" si="393"/>
        <v>7.2496840000000002</v>
      </c>
      <c r="J416" s="1617">
        <f t="shared" si="393"/>
        <v>0</v>
      </c>
      <c r="K416" s="1617">
        <f t="shared" si="393"/>
        <v>0</v>
      </c>
      <c r="L416" s="1617">
        <f t="shared" si="393"/>
        <v>0.67220399999999991</v>
      </c>
      <c r="M416" s="1617">
        <f t="shared" si="393"/>
        <v>0</v>
      </c>
      <c r="N416" s="1617">
        <f t="shared" si="393"/>
        <v>3.65848</v>
      </c>
      <c r="O416" s="1617">
        <f t="shared" si="393"/>
        <v>0</v>
      </c>
      <c r="P416" s="1617">
        <f t="shared" si="393"/>
        <v>0</v>
      </c>
      <c r="Q416" s="1617">
        <f t="shared" si="393"/>
        <v>0</v>
      </c>
      <c r="R416" s="1617">
        <f t="shared" si="393"/>
        <v>0</v>
      </c>
      <c r="S416" s="1617">
        <f t="shared" si="393"/>
        <v>2.919</v>
      </c>
      <c r="T416" s="1617">
        <f t="shared" si="393"/>
        <v>32.829500940000003</v>
      </c>
      <c r="U416" s="1617">
        <f t="shared" si="393"/>
        <v>191.99237954</v>
      </c>
      <c r="V416" s="1617">
        <f t="shared" si="393"/>
        <v>149.02979999999999</v>
      </c>
      <c r="W416" s="1617">
        <f t="shared" si="393"/>
        <v>7.7712440000000012</v>
      </c>
      <c r="X416" s="1617">
        <f t="shared" si="393"/>
        <v>0</v>
      </c>
      <c r="Y416" s="1617">
        <f t="shared" si="393"/>
        <v>0</v>
      </c>
      <c r="Z416" s="1617">
        <f t="shared" si="393"/>
        <v>0.72056399999999998</v>
      </c>
      <c r="AA416" s="1617">
        <f t="shared" si="393"/>
        <v>0</v>
      </c>
      <c r="AB416" s="1617">
        <f t="shared" si="393"/>
        <v>3.9216800000000003</v>
      </c>
      <c r="AC416" s="1617">
        <f t="shared" si="393"/>
        <v>0</v>
      </c>
      <c r="AD416" s="1617">
        <f t="shared" si="393"/>
        <v>0</v>
      </c>
      <c r="AE416" s="1617">
        <f t="shared" si="393"/>
        <v>0</v>
      </c>
      <c r="AF416" s="1617">
        <f t="shared" si="393"/>
        <v>0</v>
      </c>
      <c r="AG416" s="1617">
        <f t="shared" si="393"/>
        <v>3.1290000000000004</v>
      </c>
      <c r="AH416" s="1617">
        <f t="shared" si="393"/>
        <v>35.191335540000004</v>
      </c>
      <c r="AI416" s="1617">
        <f t="shared" si="393"/>
        <v>12.885394600000009</v>
      </c>
      <c r="AJ416" s="1617">
        <f t="shared" si="393"/>
        <v>77.312367600000059</v>
      </c>
      <c r="AK416" s="1448">
        <f t="shared" si="391"/>
        <v>0.31427791707317093</v>
      </c>
      <c r="AL416" s="1431">
        <f t="shared" si="392"/>
        <v>107.19424460431655</v>
      </c>
    </row>
    <row r="417" spans="1:38" s="1507" customFormat="1" ht="27.75" hidden="1" customHeight="1">
      <c r="A417" s="1375"/>
      <c r="B417" s="1376" t="s">
        <v>2608</v>
      </c>
      <c r="C417" s="1455">
        <f>D417+E417</f>
        <v>10</v>
      </c>
      <c r="D417" s="1455">
        <v>10</v>
      </c>
      <c r="E417" s="1455"/>
      <c r="F417" s="1455">
        <v>10</v>
      </c>
      <c r="G417" s="1367">
        <f t="shared" ref="G417:G427" si="394">H417+I417+T417</f>
        <v>42.251273999999995</v>
      </c>
      <c r="H417" s="1577">
        <f>((23.56)*1390)/1000</f>
        <v>32.748399999999997</v>
      </c>
      <c r="I417" s="1367">
        <f t="shared" ref="I417:I423" si="395">SUM(J417:S417)</f>
        <v>1.8069999999999999</v>
      </c>
      <c r="J417" s="1365"/>
      <c r="K417" s="1365"/>
      <c r="L417" s="1365"/>
      <c r="M417" s="1365"/>
      <c r="N417" s="1365"/>
      <c r="O417" s="1365"/>
      <c r="P417" s="1365"/>
      <c r="Q417" s="1365"/>
      <c r="R417" s="1365"/>
      <c r="S417" s="1577">
        <f>((1.2+0.1)*1390)/1000</f>
        <v>1.8069999999999999</v>
      </c>
      <c r="T417" s="1366">
        <f t="shared" ref="T417:T425" si="396">(H417+K417+L417+R417)*23.5%</f>
        <v>7.695873999999999</v>
      </c>
      <c r="U417" s="1367">
        <f t="shared" ref="U417:U427" si="397">V417+W417+AH417</f>
        <v>45.290933999999993</v>
      </c>
      <c r="V417" s="1367">
        <f t="shared" ref="V417:V423" si="398">(H417/1.39)*1.49</f>
        <v>35.104399999999998</v>
      </c>
      <c r="W417" s="1367">
        <f t="shared" ref="W417:W426" si="399">SUM(X417:AG417)</f>
        <v>1.9370000000000001</v>
      </c>
      <c r="X417" s="1367">
        <f t="shared" ref="X417:AG425" si="400">(J417/1.3)*1.39</f>
        <v>0</v>
      </c>
      <c r="Y417" s="1367">
        <f t="shared" si="400"/>
        <v>0</v>
      </c>
      <c r="Z417" s="1367">
        <f t="shared" si="400"/>
        <v>0</v>
      </c>
      <c r="AA417" s="1367">
        <f t="shared" si="400"/>
        <v>0</v>
      </c>
      <c r="AB417" s="1367">
        <f t="shared" si="400"/>
        <v>0</v>
      </c>
      <c r="AC417" s="1367">
        <f t="shared" si="400"/>
        <v>0</v>
      </c>
      <c r="AD417" s="1367">
        <f t="shared" si="400"/>
        <v>0</v>
      </c>
      <c r="AE417" s="1367">
        <f t="shared" si="400"/>
        <v>0</v>
      </c>
      <c r="AF417" s="1367">
        <f t="shared" si="400"/>
        <v>0</v>
      </c>
      <c r="AG417" s="1367">
        <f>(S417/1.39)*1.49</f>
        <v>1.9370000000000001</v>
      </c>
      <c r="AH417" s="1367">
        <f t="shared" ref="AH417:AH425" si="401">(V417+Y417+Z417+AF417)*23.5%</f>
        <v>8.2495339999999988</v>
      </c>
      <c r="AI417" s="1366">
        <f t="shared" ref="AI417:AI427" si="402">U417-G417</f>
        <v>3.0396599999999978</v>
      </c>
      <c r="AJ417" s="1366">
        <f t="shared" si="389"/>
        <v>18.237959999999987</v>
      </c>
      <c r="AK417" s="1463"/>
      <c r="AL417" s="1431">
        <f t="shared" si="392"/>
        <v>107.19424460431655</v>
      </c>
    </row>
    <row r="418" spans="1:38" s="1507" customFormat="1" ht="27.75" hidden="1" customHeight="1">
      <c r="A418" s="1375"/>
      <c r="B418" s="1376" t="s">
        <v>2609</v>
      </c>
      <c r="C418" s="1455">
        <f t="shared" ref="C418:C425" si="403">D418+E418</f>
        <v>8</v>
      </c>
      <c r="D418" s="1455">
        <v>8</v>
      </c>
      <c r="E418" s="1455"/>
      <c r="F418" s="1455">
        <v>8</v>
      </c>
      <c r="G418" s="1367">
        <f t="shared" si="394"/>
        <v>29.007562499999999</v>
      </c>
      <c r="H418" s="1577">
        <f>((((16.25))*1390))/1000</f>
        <v>22.587499999999999</v>
      </c>
      <c r="I418" s="1367">
        <f t="shared" si="395"/>
        <v>1.1120000000000001</v>
      </c>
      <c r="J418" s="1365"/>
      <c r="K418" s="1365"/>
      <c r="L418" s="1365"/>
      <c r="M418" s="1365"/>
      <c r="N418" s="1365"/>
      <c r="O418" s="1365"/>
      <c r="P418" s="1365"/>
      <c r="Q418" s="1365"/>
      <c r="R418" s="1365"/>
      <c r="S418" s="1577">
        <f>((0.6+0.2)*1390)/1000</f>
        <v>1.1120000000000001</v>
      </c>
      <c r="T418" s="1366">
        <f t="shared" si="396"/>
        <v>5.3080624999999992</v>
      </c>
      <c r="U418" s="1367">
        <f t="shared" si="397"/>
        <v>31.094437499999998</v>
      </c>
      <c r="V418" s="1367">
        <f t="shared" si="398"/>
        <v>24.212499999999999</v>
      </c>
      <c r="W418" s="1367">
        <f t="shared" si="399"/>
        <v>1.1920000000000002</v>
      </c>
      <c r="X418" s="1367">
        <f t="shared" si="400"/>
        <v>0</v>
      </c>
      <c r="Y418" s="1367">
        <f t="shared" si="400"/>
        <v>0</v>
      </c>
      <c r="Z418" s="1367">
        <f t="shared" si="400"/>
        <v>0</v>
      </c>
      <c r="AA418" s="1367">
        <f t="shared" si="400"/>
        <v>0</v>
      </c>
      <c r="AB418" s="1367">
        <f t="shared" si="400"/>
        <v>0</v>
      </c>
      <c r="AC418" s="1367">
        <f t="shared" si="400"/>
        <v>0</v>
      </c>
      <c r="AD418" s="1367">
        <f t="shared" si="400"/>
        <v>0</v>
      </c>
      <c r="AE418" s="1367">
        <f t="shared" si="400"/>
        <v>0</v>
      </c>
      <c r="AF418" s="1367">
        <f t="shared" si="400"/>
        <v>0</v>
      </c>
      <c r="AG418" s="1367">
        <f>(S418/1.39)*1.49</f>
        <v>1.1920000000000002</v>
      </c>
      <c r="AH418" s="1367">
        <f t="shared" si="401"/>
        <v>5.6899374999999992</v>
      </c>
      <c r="AI418" s="1366">
        <f t="shared" si="402"/>
        <v>2.0868749999999991</v>
      </c>
      <c r="AJ418" s="1366">
        <f t="shared" si="389"/>
        <v>12.521249999999995</v>
      </c>
      <c r="AK418" s="1463"/>
      <c r="AL418" s="1431">
        <f t="shared" si="392"/>
        <v>107.19424460431655</v>
      </c>
    </row>
    <row r="419" spans="1:38" s="1507" customFormat="1" ht="27.75" hidden="1" customHeight="1">
      <c r="A419" s="1375"/>
      <c r="B419" s="1376" t="s">
        <v>2610</v>
      </c>
      <c r="C419" s="1455">
        <f t="shared" si="403"/>
        <v>8</v>
      </c>
      <c r="D419" s="1455">
        <v>8</v>
      </c>
      <c r="E419" s="1455"/>
      <c r="F419" s="1455">
        <v>8</v>
      </c>
      <c r="G419" s="1367">
        <f t="shared" si="394"/>
        <v>43.43742494</v>
      </c>
      <c r="H419" s="1577">
        <f>(((24.82))*1390)/1000</f>
        <v>34.4998</v>
      </c>
      <c r="I419" s="1367">
        <f t="shared" si="395"/>
        <v>0.67220399999999991</v>
      </c>
      <c r="J419" s="1365"/>
      <c r="K419" s="1365"/>
      <c r="L419" s="1577">
        <f>(((0.4836))*1390)/1000</f>
        <v>0.67220399999999991</v>
      </c>
      <c r="M419" s="1365"/>
      <c r="N419" s="1365"/>
      <c r="O419" s="1365"/>
      <c r="P419" s="1365"/>
      <c r="Q419" s="1365"/>
      <c r="R419" s="1365"/>
      <c r="S419" s="1577">
        <v>0</v>
      </c>
      <c r="T419" s="1366">
        <f t="shared" si="396"/>
        <v>8.2654209400000003</v>
      </c>
      <c r="U419" s="1367">
        <f t="shared" si="397"/>
        <v>46.562419540000008</v>
      </c>
      <c r="V419" s="1367">
        <f t="shared" si="398"/>
        <v>36.981800000000007</v>
      </c>
      <c r="W419" s="1367">
        <f t="shared" si="399"/>
        <v>0.72056399999999998</v>
      </c>
      <c r="X419" s="1367">
        <f t="shared" si="400"/>
        <v>0</v>
      </c>
      <c r="Y419" s="1367">
        <f t="shared" si="400"/>
        <v>0</v>
      </c>
      <c r="Z419" s="1367">
        <f>(L419/1.39)*1.49</f>
        <v>0.72056399999999998</v>
      </c>
      <c r="AA419" s="1367">
        <f t="shared" si="400"/>
        <v>0</v>
      </c>
      <c r="AB419" s="1367">
        <f t="shared" si="400"/>
        <v>0</v>
      </c>
      <c r="AC419" s="1367">
        <f t="shared" si="400"/>
        <v>0</v>
      </c>
      <c r="AD419" s="1367">
        <f t="shared" si="400"/>
        <v>0</v>
      </c>
      <c r="AE419" s="1367">
        <f t="shared" si="400"/>
        <v>0</v>
      </c>
      <c r="AF419" s="1367">
        <f t="shared" si="400"/>
        <v>0</v>
      </c>
      <c r="AG419" s="1367">
        <f t="shared" si="400"/>
        <v>0</v>
      </c>
      <c r="AH419" s="1367">
        <f t="shared" si="401"/>
        <v>8.8600555400000012</v>
      </c>
      <c r="AI419" s="1366">
        <f t="shared" si="402"/>
        <v>3.1249946000000079</v>
      </c>
      <c r="AJ419" s="1366">
        <f>AI419*6</f>
        <v>18.749967600000048</v>
      </c>
      <c r="AK419" s="1463"/>
      <c r="AL419" s="1431">
        <f t="shared" si="392"/>
        <v>107.19424460431657</v>
      </c>
    </row>
    <row r="420" spans="1:38" s="1507" customFormat="1" ht="27.75" hidden="1" customHeight="1">
      <c r="A420" s="1375"/>
      <c r="B420" s="1376" t="s">
        <v>2611</v>
      </c>
      <c r="C420" s="1455">
        <f t="shared" si="403"/>
        <v>7</v>
      </c>
      <c r="D420" s="1455">
        <v>7</v>
      </c>
      <c r="E420" s="1455"/>
      <c r="F420" s="1455">
        <v>4</v>
      </c>
      <c r="G420" s="1367">
        <f t="shared" si="394"/>
        <v>21.715622500000002</v>
      </c>
      <c r="H420" s="1577">
        <f>(((12.65))*1390)/1000</f>
        <v>17.583500000000001</v>
      </c>
      <c r="I420" s="1367">
        <f t="shared" si="395"/>
        <v>0</v>
      </c>
      <c r="J420" s="1365"/>
      <c r="K420" s="1365"/>
      <c r="L420" s="1365"/>
      <c r="M420" s="1365"/>
      <c r="N420" s="1365">
        <f t="shared" ref="N420:O422" si="404">0*1300</f>
        <v>0</v>
      </c>
      <c r="O420" s="1365">
        <f t="shared" si="404"/>
        <v>0</v>
      </c>
      <c r="P420" s="1365"/>
      <c r="Q420" s="1365"/>
      <c r="R420" s="1365"/>
      <c r="S420" s="1577"/>
      <c r="T420" s="1366">
        <f t="shared" si="396"/>
        <v>4.1321225000000004</v>
      </c>
      <c r="U420" s="1367">
        <f t="shared" si="397"/>
        <v>23.277897500000002</v>
      </c>
      <c r="V420" s="1367">
        <f t="shared" si="398"/>
        <v>18.848500000000001</v>
      </c>
      <c r="W420" s="1367">
        <f t="shared" si="399"/>
        <v>0</v>
      </c>
      <c r="X420" s="1367">
        <f t="shared" si="400"/>
        <v>0</v>
      </c>
      <c r="Y420" s="1367">
        <f t="shared" si="400"/>
        <v>0</v>
      </c>
      <c r="Z420" s="1367">
        <f t="shared" si="400"/>
        <v>0</v>
      </c>
      <c r="AA420" s="1367">
        <f t="shared" si="400"/>
        <v>0</v>
      </c>
      <c r="AB420" s="1367">
        <f t="shared" si="400"/>
        <v>0</v>
      </c>
      <c r="AC420" s="1367">
        <f t="shared" si="400"/>
        <v>0</v>
      </c>
      <c r="AD420" s="1367">
        <f t="shared" si="400"/>
        <v>0</v>
      </c>
      <c r="AE420" s="1367">
        <f t="shared" si="400"/>
        <v>0</v>
      </c>
      <c r="AF420" s="1367">
        <f t="shared" si="400"/>
        <v>0</v>
      </c>
      <c r="AG420" s="1367">
        <f t="shared" si="400"/>
        <v>0</v>
      </c>
      <c r="AH420" s="1367">
        <f t="shared" si="401"/>
        <v>4.4293975000000003</v>
      </c>
      <c r="AI420" s="1366">
        <f t="shared" si="402"/>
        <v>1.5622749999999996</v>
      </c>
      <c r="AJ420" s="1366">
        <f t="shared" si="389"/>
        <v>9.3736499999999978</v>
      </c>
      <c r="AK420" s="1463"/>
      <c r="AL420" s="1431">
        <f t="shared" si="392"/>
        <v>107.19424460431655</v>
      </c>
    </row>
    <row r="421" spans="1:38" s="1507" customFormat="1" ht="27.75" hidden="1" customHeight="1">
      <c r="A421" s="1375"/>
      <c r="B421" s="1376" t="s">
        <v>2612</v>
      </c>
      <c r="C421" s="1455">
        <f t="shared" si="403"/>
        <v>3</v>
      </c>
      <c r="D421" s="1455">
        <v>3</v>
      </c>
      <c r="E421" s="1455"/>
      <c r="F421" s="1455">
        <v>2</v>
      </c>
      <c r="G421" s="1367">
        <f t="shared" si="394"/>
        <v>7.021098499999999</v>
      </c>
      <c r="H421" s="1577">
        <f>(((4.09))*1390)/1000</f>
        <v>5.6850999999999994</v>
      </c>
      <c r="I421" s="1367">
        <f t="shared" si="395"/>
        <v>0</v>
      </c>
      <c r="J421" s="1365"/>
      <c r="K421" s="1365"/>
      <c r="L421" s="1365"/>
      <c r="M421" s="1365"/>
      <c r="N421" s="1365">
        <f t="shared" si="404"/>
        <v>0</v>
      </c>
      <c r="O421" s="1365">
        <f t="shared" si="404"/>
        <v>0</v>
      </c>
      <c r="P421" s="1365"/>
      <c r="Q421" s="1365"/>
      <c r="R421" s="1365"/>
      <c r="S421" s="1365"/>
      <c r="T421" s="1366">
        <f t="shared" si="396"/>
        <v>1.3359984999999999</v>
      </c>
      <c r="U421" s="1367">
        <f t="shared" si="397"/>
        <v>7.5262134999999999</v>
      </c>
      <c r="V421" s="1367">
        <f t="shared" si="398"/>
        <v>6.0941000000000001</v>
      </c>
      <c r="W421" s="1367">
        <f t="shared" si="399"/>
        <v>0</v>
      </c>
      <c r="X421" s="1367">
        <f t="shared" si="400"/>
        <v>0</v>
      </c>
      <c r="Y421" s="1367">
        <f t="shared" si="400"/>
        <v>0</v>
      </c>
      <c r="Z421" s="1367">
        <f t="shared" si="400"/>
        <v>0</v>
      </c>
      <c r="AA421" s="1367">
        <f t="shared" si="400"/>
        <v>0</v>
      </c>
      <c r="AB421" s="1367">
        <f t="shared" si="400"/>
        <v>0</v>
      </c>
      <c r="AC421" s="1367">
        <f t="shared" si="400"/>
        <v>0</v>
      </c>
      <c r="AD421" s="1367">
        <f t="shared" si="400"/>
        <v>0</v>
      </c>
      <c r="AE421" s="1367">
        <f t="shared" si="400"/>
        <v>0</v>
      </c>
      <c r="AF421" s="1367">
        <f t="shared" si="400"/>
        <v>0</v>
      </c>
      <c r="AG421" s="1367">
        <f t="shared" si="400"/>
        <v>0</v>
      </c>
      <c r="AH421" s="1367">
        <f t="shared" si="401"/>
        <v>1.4321135</v>
      </c>
      <c r="AI421" s="1366">
        <f t="shared" si="402"/>
        <v>0.50511500000000087</v>
      </c>
      <c r="AJ421" s="1366">
        <f t="shared" si="389"/>
        <v>3.0306900000000052</v>
      </c>
      <c r="AK421" s="1463"/>
      <c r="AL421" s="1431">
        <f t="shared" si="392"/>
        <v>107.19424460431657</v>
      </c>
    </row>
    <row r="422" spans="1:38" s="1507" customFormat="1" ht="27.75" hidden="1" customHeight="1">
      <c r="A422" s="1375"/>
      <c r="B422" s="1376" t="s">
        <v>2613</v>
      </c>
      <c r="C422" s="1455">
        <f t="shared" si="403"/>
        <v>8</v>
      </c>
      <c r="D422" s="1455">
        <v>8</v>
      </c>
      <c r="E422" s="1455"/>
      <c r="F422" s="1455">
        <v>5</v>
      </c>
      <c r="G422" s="1367">
        <f t="shared" si="394"/>
        <v>19.724308499999999</v>
      </c>
      <c r="H422" s="1577">
        <f>(((11.49)*1390))/1000</f>
        <v>15.9711</v>
      </c>
      <c r="I422" s="1367">
        <f t="shared" si="395"/>
        <v>0</v>
      </c>
      <c r="J422" s="1365"/>
      <c r="K422" s="1365"/>
      <c r="L422" s="1365"/>
      <c r="M422" s="1365"/>
      <c r="N422" s="1365">
        <f t="shared" si="404"/>
        <v>0</v>
      </c>
      <c r="O422" s="1365">
        <f t="shared" si="404"/>
        <v>0</v>
      </c>
      <c r="P422" s="1365"/>
      <c r="Q422" s="1365"/>
      <c r="R422" s="1365"/>
      <c r="S422" s="1365"/>
      <c r="T422" s="1366">
        <f t="shared" si="396"/>
        <v>3.7532084999999999</v>
      </c>
      <c r="U422" s="1367">
        <f t="shared" si="397"/>
        <v>21.143323500000001</v>
      </c>
      <c r="V422" s="1367">
        <f t="shared" si="398"/>
        <v>17.120100000000001</v>
      </c>
      <c r="W422" s="1367">
        <f t="shared" si="399"/>
        <v>0</v>
      </c>
      <c r="X422" s="1367">
        <f t="shared" si="400"/>
        <v>0</v>
      </c>
      <c r="Y422" s="1367">
        <f t="shared" si="400"/>
        <v>0</v>
      </c>
      <c r="Z422" s="1367">
        <f t="shared" si="400"/>
        <v>0</v>
      </c>
      <c r="AA422" s="1367">
        <f t="shared" si="400"/>
        <v>0</v>
      </c>
      <c r="AB422" s="1367">
        <f t="shared" si="400"/>
        <v>0</v>
      </c>
      <c r="AC422" s="1367">
        <f t="shared" si="400"/>
        <v>0</v>
      </c>
      <c r="AD422" s="1367">
        <f t="shared" si="400"/>
        <v>0</v>
      </c>
      <c r="AE422" s="1367">
        <f t="shared" si="400"/>
        <v>0</v>
      </c>
      <c r="AF422" s="1367">
        <f t="shared" si="400"/>
        <v>0</v>
      </c>
      <c r="AG422" s="1367">
        <f t="shared" si="400"/>
        <v>0</v>
      </c>
      <c r="AH422" s="1367">
        <f t="shared" si="401"/>
        <v>4.0232235000000003</v>
      </c>
      <c r="AI422" s="1366">
        <f t="shared" si="402"/>
        <v>1.4190150000000017</v>
      </c>
      <c r="AJ422" s="1366">
        <f t="shared" si="389"/>
        <v>8.5140900000000101</v>
      </c>
      <c r="AK422" s="1463"/>
      <c r="AL422" s="1431">
        <f t="shared" si="392"/>
        <v>107.19424460431655</v>
      </c>
    </row>
    <row r="423" spans="1:38" s="1507" customFormat="1" ht="27.75" hidden="1" customHeight="1">
      <c r="A423" s="1375"/>
      <c r="B423" s="1376" t="s">
        <v>2614</v>
      </c>
      <c r="C423" s="1455">
        <f t="shared" si="403"/>
        <v>2</v>
      </c>
      <c r="D423" s="1455">
        <v>2</v>
      </c>
      <c r="E423" s="1455"/>
      <c r="F423" s="1455">
        <v>2</v>
      </c>
      <c r="G423" s="1367">
        <f t="shared" si="394"/>
        <v>10.113083999999999</v>
      </c>
      <c r="H423" s="1577">
        <f>((3.76)*1390)/1000</f>
        <v>5.2263999999999999</v>
      </c>
      <c r="I423" s="1367">
        <f t="shared" si="395"/>
        <v>3.65848</v>
      </c>
      <c r="J423" s="1365"/>
      <c r="K423" s="1365"/>
      <c r="L423" s="1365"/>
      <c r="M423" s="1365"/>
      <c r="N423" s="1577">
        <f>((2.632)*1390)/1000</f>
        <v>3.65848</v>
      </c>
      <c r="O423" s="1365">
        <f>0*1300</f>
        <v>0</v>
      </c>
      <c r="P423" s="1365"/>
      <c r="Q423" s="1365"/>
      <c r="R423" s="1365"/>
      <c r="S423" s="1365"/>
      <c r="T423" s="1366">
        <f t="shared" si="396"/>
        <v>1.2282039999999999</v>
      </c>
      <c r="U423" s="1367">
        <f t="shared" si="397"/>
        <v>10.840644000000001</v>
      </c>
      <c r="V423" s="1367">
        <f t="shared" si="398"/>
        <v>5.6024000000000003</v>
      </c>
      <c r="W423" s="1367">
        <f t="shared" si="399"/>
        <v>3.9216800000000003</v>
      </c>
      <c r="X423" s="1367">
        <f t="shared" si="400"/>
        <v>0</v>
      </c>
      <c r="Y423" s="1367">
        <f t="shared" si="400"/>
        <v>0</v>
      </c>
      <c r="Z423" s="1367">
        <f t="shared" si="400"/>
        <v>0</v>
      </c>
      <c r="AA423" s="1367">
        <f>(M423/1.3)*1.39</f>
        <v>0</v>
      </c>
      <c r="AB423" s="1367">
        <f>(N423/1.39)*1.49</f>
        <v>3.9216800000000003</v>
      </c>
      <c r="AC423" s="1367">
        <f t="shared" si="400"/>
        <v>0</v>
      </c>
      <c r="AD423" s="1367">
        <f t="shared" si="400"/>
        <v>0</v>
      </c>
      <c r="AE423" s="1367">
        <f t="shared" si="400"/>
        <v>0</v>
      </c>
      <c r="AF423" s="1367">
        <f t="shared" si="400"/>
        <v>0</v>
      </c>
      <c r="AG423" s="1367">
        <f t="shared" si="400"/>
        <v>0</v>
      </c>
      <c r="AH423" s="1367">
        <f t="shared" si="401"/>
        <v>1.3165640000000001</v>
      </c>
      <c r="AI423" s="1366">
        <f t="shared" si="402"/>
        <v>0.7275600000000022</v>
      </c>
      <c r="AJ423" s="1366">
        <f t="shared" si="389"/>
        <v>4.3653600000000132</v>
      </c>
      <c r="AK423" s="1463"/>
      <c r="AL423" s="1431">
        <f t="shared" si="392"/>
        <v>107.19424460431657</v>
      </c>
    </row>
    <row r="424" spans="1:38" s="1507" customFormat="1" ht="27.75" hidden="1" customHeight="1">
      <c r="A424" s="1375"/>
      <c r="B424" s="1376" t="s">
        <v>2615</v>
      </c>
      <c r="C424" s="1455">
        <f t="shared" si="403"/>
        <v>0</v>
      </c>
      <c r="D424" s="1455"/>
      <c r="E424" s="1455"/>
      <c r="F424" s="1455"/>
      <c r="G424" s="1367">
        <f t="shared" si="394"/>
        <v>0</v>
      </c>
      <c r="H424" s="1577"/>
      <c r="I424" s="1367"/>
      <c r="J424" s="1365"/>
      <c r="K424" s="1365"/>
      <c r="L424" s="1365"/>
      <c r="M424" s="1365"/>
      <c r="N424" s="1365">
        <f>0*1300</f>
        <v>0</v>
      </c>
      <c r="O424" s="1365">
        <f>0*1300</f>
        <v>0</v>
      </c>
      <c r="P424" s="1365"/>
      <c r="Q424" s="1365"/>
      <c r="R424" s="1365"/>
      <c r="S424" s="1365"/>
      <c r="T424" s="1366">
        <f t="shared" si="396"/>
        <v>0</v>
      </c>
      <c r="U424" s="1367">
        <f t="shared" si="397"/>
        <v>0</v>
      </c>
      <c r="V424" s="1367">
        <f>(H424/1.3)*1.39</f>
        <v>0</v>
      </c>
      <c r="W424" s="1367">
        <f t="shared" si="399"/>
        <v>0</v>
      </c>
      <c r="X424" s="1367">
        <f t="shared" si="400"/>
        <v>0</v>
      </c>
      <c r="Y424" s="1367">
        <f t="shared" si="400"/>
        <v>0</v>
      </c>
      <c r="Z424" s="1367">
        <f t="shared" si="400"/>
        <v>0</v>
      </c>
      <c r="AA424" s="1367">
        <f>(M424/1.3)*1.39</f>
        <v>0</v>
      </c>
      <c r="AB424" s="1367">
        <f>(N424/1.3)*1.39</f>
        <v>0</v>
      </c>
      <c r="AC424" s="1367">
        <f t="shared" si="400"/>
        <v>0</v>
      </c>
      <c r="AD424" s="1367">
        <f t="shared" si="400"/>
        <v>0</v>
      </c>
      <c r="AE424" s="1367">
        <f t="shared" si="400"/>
        <v>0</v>
      </c>
      <c r="AF424" s="1367">
        <f t="shared" si="400"/>
        <v>0</v>
      </c>
      <c r="AG424" s="1367">
        <f t="shared" si="400"/>
        <v>0</v>
      </c>
      <c r="AH424" s="1367">
        <f t="shared" si="401"/>
        <v>0</v>
      </c>
      <c r="AI424" s="1366">
        <f t="shared" si="402"/>
        <v>0</v>
      </c>
      <c r="AJ424" s="1366">
        <f t="shared" si="389"/>
        <v>0</v>
      </c>
      <c r="AK424" s="1463"/>
      <c r="AL424" s="1431" t="e">
        <f t="shared" si="392"/>
        <v>#DIV/0!</v>
      </c>
    </row>
    <row r="425" spans="1:38" s="1507" customFormat="1" ht="27.75" hidden="1" customHeight="1">
      <c r="A425" s="1375"/>
      <c r="B425" s="1376" t="s">
        <v>2616</v>
      </c>
      <c r="C425" s="1455">
        <f t="shared" si="403"/>
        <v>2</v>
      </c>
      <c r="D425" s="1455">
        <v>2</v>
      </c>
      <c r="E425" s="1455"/>
      <c r="F425" s="1455">
        <v>2</v>
      </c>
      <c r="G425" s="1367">
        <f t="shared" si="394"/>
        <v>5.8366100000000003</v>
      </c>
      <c r="H425" s="1577">
        <f>(3.4*1390)/1000</f>
        <v>4.726</v>
      </c>
      <c r="I425" s="1367">
        <f>SUM(J425:S425)</f>
        <v>0</v>
      </c>
      <c r="J425" s="1365"/>
      <c r="K425" s="1365"/>
      <c r="L425" s="1365"/>
      <c r="M425" s="1365"/>
      <c r="N425" s="1365">
        <f>0*1300</f>
        <v>0</v>
      </c>
      <c r="O425" s="1365">
        <f>0*1300</f>
        <v>0</v>
      </c>
      <c r="P425" s="1365"/>
      <c r="Q425" s="1365"/>
      <c r="R425" s="1365"/>
      <c r="S425" s="1365"/>
      <c r="T425" s="1366">
        <f t="shared" si="396"/>
        <v>1.1106099999999999</v>
      </c>
      <c r="U425" s="1367">
        <f t="shared" si="397"/>
        <v>6.2565100000000005</v>
      </c>
      <c r="V425" s="1367">
        <f>(H425/1.39)*1.49</f>
        <v>5.0660000000000007</v>
      </c>
      <c r="W425" s="1367">
        <f t="shared" si="399"/>
        <v>0</v>
      </c>
      <c r="X425" s="1367">
        <f t="shared" si="400"/>
        <v>0</v>
      </c>
      <c r="Y425" s="1367">
        <f t="shared" si="400"/>
        <v>0</v>
      </c>
      <c r="Z425" s="1367">
        <f t="shared" si="400"/>
        <v>0</v>
      </c>
      <c r="AA425" s="1367">
        <f>(M425/1.3)*1.39</f>
        <v>0</v>
      </c>
      <c r="AB425" s="1367">
        <f>(N425/1.3)*1.39</f>
        <v>0</v>
      </c>
      <c r="AC425" s="1367">
        <f t="shared" si="400"/>
        <v>0</v>
      </c>
      <c r="AD425" s="1367">
        <f t="shared" si="400"/>
        <v>0</v>
      </c>
      <c r="AE425" s="1367">
        <f t="shared" si="400"/>
        <v>0</v>
      </c>
      <c r="AF425" s="1367">
        <f t="shared" si="400"/>
        <v>0</v>
      </c>
      <c r="AG425" s="1367">
        <f t="shared" si="400"/>
        <v>0</v>
      </c>
      <c r="AH425" s="1367">
        <f t="shared" si="401"/>
        <v>1.1905100000000002</v>
      </c>
      <c r="AI425" s="1366">
        <f t="shared" si="402"/>
        <v>0.41990000000000016</v>
      </c>
      <c r="AJ425" s="1366">
        <f t="shared" si="389"/>
        <v>2.519400000000001</v>
      </c>
      <c r="AK425" s="1463"/>
      <c r="AL425" s="1431">
        <f t="shared" si="392"/>
        <v>107.19424460431655</v>
      </c>
    </row>
    <row r="426" spans="1:38" s="1507" customFormat="1" ht="27.75" hidden="1" customHeight="1">
      <c r="A426" s="1375"/>
      <c r="B426" s="1453" t="s">
        <v>2898</v>
      </c>
      <c r="C426" s="1455"/>
      <c r="D426" s="1455"/>
      <c r="E426" s="1455"/>
      <c r="F426" s="1455"/>
      <c r="G426" s="1614">
        <f t="shared" si="394"/>
        <v>0</v>
      </c>
      <c r="H426" s="1617"/>
      <c r="I426" s="1614">
        <f>SUM(J426:S426)</f>
        <v>0</v>
      </c>
      <c r="J426" s="1617"/>
      <c r="K426" s="1617"/>
      <c r="L426" s="1617"/>
      <c r="M426" s="1617"/>
      <c r="N426" s="1617"/>
      <c r="O426" s="1617"/>
      <c r="P426" s="1617"/>
      <c r="Q426" s="1617"/>
      <c r="R426" s="1617"/>
      <c r="S426" s="1617"/>
      <c r="T426" s="1621"/>
      <c r="U426" s="1614">
        <f t="shared" si="397"/>
        <v>0</v>
      </c>
      <c r="V426" s="1617"/>
      <c r="W426" s="1614">
        <f t="shared" si="399"/>
        <v>0</v>
      </c>
      <c r="X426" s="1617"/>
      <c r="Y426" s="1617"/>
      <c r="Z426" s="1617"/>
      <c r="AA426" s="1617"/>
      <c r="AB426" s="1617"/>
      <c r="AC426" s="1617"/>
      <c r="AD426" s="1617"/>
      <c r="AE426" s="1617"/>
      <c r="AF426" s="1617"/>
      <c r="AG426" s="1617"/>
      <c r="AH426" s="1621"/>
      <c r="AI426" s="1621">
        <f t="shared" si="402"/>
        <v>0</v>
      </c>
      <c r="AJ426" s="1621">
        <f t="shared" si="389"/>
        <v>0</v>
      </c>
      <c r="AK426" s="1448" t="e">
        <f t="shared" ref="AK426:AK489" si="405">AI426/F426</f>
        <v>#DIV/0!</v>
      </c>
      <c r="AL426" s="1431" t="e">
        <f t="shared" si="392"/>
        <v>#DIV/0!</v>
      </c>
    </row>
    <row r="427" spans="1:38" s="1507" customFormat="1" ht="27.75" hidden="1" customHeight="1">
      <c r="A427" s="1375"/>
      <c r="B427" s="764" t="s">
        <v>2618</v>
      </c>
      <c r="C427" s="1455"/>
      <c r="D427" s="1455"/>
      <c r="E427" s="1455"/>
      <c r="F427" s="1455">
        <v>26</v>
      </c>
      <c r="G427" s="1367">
        <f t="shared" si="394"/>
        <v>106.12324044999998</v>
      </c>
      <c r="H427" s="1577">
        <f>((61.69)*1390)/1000</f>
        <v>85.749099999999984</v>
      </c>
      <c r="I427" s="1367"/>
      <c r="J427" s="1365"/>
      <c r="K427" s="1365"/>
      <c r="L427" s="1577">
        <f>(((0.683))*1390)/1000</f>
        <v>0.94937000000000016</v>
      </c>
      <c r="M427" s="1577">
        <f>(((12.4746))*1390)/1000</f>
        <v>17.339693999999998</v>
      </c>
      <c r="N427" s="1365"/>
      <c r="O427" s="1365"/>
      <c r="P427" s="1365"/>
      <c r="Q427" s="1365"/>
      <c r="R427" s="1365"/>
      <c r="S427" s="1365"/>
      <c r="T427" s="1366">
        <f>(H427+K427+L427+R427)*23.5%</f>
        <v>20.374140449999995</v>
      </c>
      <c r="U427" s="1367">
        <f t="shared" si="397"/>
        <v>113.51885349999998</v>
      </c>
      <c r="V427" s="1367">
        <f>(H427/1.39)*1.49</f>
        <v>91.918099999999981</v>
      </c>
      <c r="W427" s="1367"/>
      <c r="X427" s="1366"/>
      <c r="Y427" s="1367"/>
      <c r="Z427" s="1367"/>
      <c r="AA427" s="1367">
        <f>(M427/1.39)*1.49</f>
        <v>18.587153999999998</v>
      </c>
      <c r="AB427" s="1367"/>
      <c r="AC427" s="1367"/>
      <c r="AD427" s="1367"/>
      <c r="AE427" s="1367"/>
      <c r="AF427" s="1367"/>
      <c r="AG427" s="1367"/>
      <c r="AH427" s="1367">
        <f>(V427+Y427+Z427+AF427)*23.5%</f>
        <v>21.600753499999993</v>
      </c>
      <c r="AI427" s="1621">
        <f t="shared" si="402"/>
        <v>7.3956130499999944</v>
      </c>
      <c r="AJ427" s="1621">
        <f t="shared" si="389"/>
        <v>44.373678299999966</v>
      </c>
      <c r="AK427" s="1448">
        <f t="shared" si="405"/>
        <v>0.28444665576923056</v>
      </c>
      <c r="AL427" s="1431">
        <f t="shared" si="392"/>
        <v>106.96889109175332</v>
      </c>
    </row>
    <row r="428" spans="1:38" s="1507" customFormat="1" ht="27.75" hidden="1" customHeight="1">
      <c r="A428" s="1375"/>
      <c r="B428" s="764" t="s">
        <v>2619</v>
      </c>
      <c r="C428" s="1455">
        <f>C429+C430</f>
        <v>17</v>
      </c>
      <c r="D428" s="1455">
        <f>D429+D430</f>
        <v>17</v>
      </c>
      <c r="E428" s="1455">
        <f t="shared" ref="E428:AJ428" si="406">E429+E430</f>
        <v>0</v>
      </c>
      <c r="F428" s="1455">
        <f t="shared" si="406"/>
        <v>12</v>
      </c>
      <c r="G428" s="1617">
        <f t="shared" si="406"/>
        <v>45.535565999999996</v>
      </c>
      <c r="H428" s="1617">
        <f t="shared" si="406"/>
        <v>36.195599999999999</v>
      </c>
      <c r="I428" s="1617">
        <f t="shared" si="406"/>
        <v>0.83400000000000007</v>
      </c>
      <c r="J428" s="1617">
        <f t="shared" si="406"/>
        <v>0</v>
      </c>
      <c r="K428" s="1617">
        <f t="shared" si="406"/>
        <v>0</v>
      </c>
      <c r="L428" s="1617">
        <f t="shared" si="406"/>
        <v>0</v>
      </c>
      <c r="M428" s="1617">
        <f t="shared" si="406"/>
        <v>0</v>
      </c>
      <c r="N428" s="1617">
        <f t="shared" si="406"/>
        <v>0</v>
      </c>
      <c r="O428" s="1617">
        <f t="shared" si="406"/>
        <v>0</v>
      </c>
      <c r="P428" s="1617">
        <f t="shared" si="406"/>
        <v>0</v>
      </c>
      <c r="Q428" s="1617">
        <f t="shared" si="406"/>
        <v>0</v>
      </c>
      <c r="R428" s="1617">
        <f t="shared" si="406"/>
        <v>0</v>
      </c>
      <c r="S428" s="1617">
        <f t="shared" si="406"/>
        <v>0.83400000000000007</v>
      </c>
      <c r="T428" s="1617">
        <f t="shared" si="406"/>
        <v>8.505965999999999</v>
      </c>
      <c r="U428" s="1617">
        <f t="shared" si="406"/>
        <v>48.811505999999994</v>
      </c>
      <c r="V428" s="1617">
        <f t="shared" si="406"/>
        <v>38.799599999999998</v>
      </c>
      <c r="W428" s="1617">
        <f t="shared" si="406"/>
        <v>0.89400000000000013</v>
      </c>
      <c r="X428" s="1617">
        <f t="shared" si="406"/>
        <v>0</v>
      </c>
      <c r="Y428" s="1617">
        <f t="shared" si="406"/>
        <v>0</v>
      </c>
      <c r="Z428" s="1617">
        <f t="shared" si="406"/>
        <v>0</v>
      </c>
      <c r="AA428" s="1617">
        <f t="shared" si="406"/>
        <v>0</v>
      </c>
      <c r="AB428" s="1617">
        <f t="shared" si="406"/>
        <v>0</v>
      </c>
      <c r="AC428" s="1617">
        <f t="shared" si="406"/>
        <v>0</v>
      </c>
      <c r="AD428" s="1617">
        <f t="shared" si="406"/>
        <v>0</v>
      </c>
      <c r="AE428" s="1617">
        <f t="shared" si="406"/>
        <v>0</v>
      </c>
      <c r="AF428" s="1617">
        <f t="shared" si="406"/>
        <v>0</v>
      </c>
      <c r="AG428" s="1617">
        <f t="shared" si="406"/>
        <v>0.89400000000000013</v>
      </c>
      <c r="AH428" s="1617">
        <f t="shared" si="406"/>
        <v>9.1179059999999978</v>
      </c>
      <c r="AI428" s="1617">
        <f t="shared" si="406"/>
        <v>3.2759400000000021</v>
      </c>
      <c r="AJ428" s="1617">
        <f t="shared" si="406"/>
        <v>19.655640000000012</v>
      </c>
      <c r="AK428" s="1448">
        <f t="shared" si="405"/>
        <v>0.27299500000000015</v>
      </c>
      <c r="AL428" s="1431">
        <f t="shared" si="392"/>
        <v>107.19424460431655</v>
      </c>
    </row>
    <row r="429" spans="1:38" s="1507" customFormat="1" ht="27.75" hidden="1" customHeight="1">
      <c r="A429" s="1375"/>
      <c r="B429" s="764" t="s">
        <v>2620</v>
      </c>
      <c r="C429" s="1455">
        <f>D429+E429</f>
        <v>8</v>
      </c>
      <c r="D429" s="1455">
        <v>8</v>
      </c>
      <c r="E429" s="1455"/>
      <c r="F429" s="1455">
        <v>3</v>
      </c>
      <c r="G429" s="1367">
        <f>H429+I429+T429</f>
        <v>12.603546999999999</v>
      </c>
      <c r="H429" s="1577">
        <f>((7.18)*1390)/1000</f>
        <v>9.9801999999999982</v>
      </c>
      <c r="I429" s="1367">
        <f>SUM(J429:S429)</f>
        <v>0.27800000000000002</v>
      </c>
      <c r="J429" s="1365"/>
      <c r="K429" s="1365"/>
      <c r="L429" s="1365"/>
      <c r="M429" s="1365"/>
      <c r="N429" s="1365"/>
      <c r="O429" s="1365"/>
      <c r="P429" s="1365"/>
      <c r="Q429" s="1365"/>
      <c r="R429" s="1365"/>
      <c r="S429" s="1577">
        <f>((0.2)*1390)/1000</f>
        <v>0.27800000000000002</v>
      </c>
      <c r="T429" s="1366">
        <f>(H429+K429+L429+R429)*23.5%</f>
        <v>2.3453469999999994</v>
      </c>
      <c r="U429" s="1367">
        <f>V429+W429+AH429</f>
        <v>13.510276999999999</v>
      </c>
      <c r="V429" s="1367">
        <f>(H429/1.39)*1.49</f>
        <v>10.698199999999998</v>
      </c>
      <c r="W429" s="1367">
        <f>SUM(X429:AG429)</f>
        <v>0.29800000000000004</v>
      </c>
      <c r="X429" s="1367">
        <f t="shared" ref="X429:AF430" si="407">(J429/1.3)*1.39</f>
        <v>0</v>
      </c>
      <c r="Y429" s="1367">
        <f t="shared" si="407"/>
        <v>0</v>
      </c>
      <c r="Z429" s="1367">
        <f t="shared" si="407"/>
        <v>0</v>
      </c>
      <c r="AA429" s="1367">
        <f t="shared" si="407"/>
        <v>0</v>
      </c>
      <c r="AB429" s="1367">
        <f t="shared" si="407"/>
        <v>0</v>
      </c>
      <c r="AC429" s="1367">
        <f t="shared" si="407"/>
        <v>0</v>
      </c>
      <c r="AD429" s="1367">
        <f t="shared" si="407"/>
        <v>0</v>
      </c>
      <c r="AE429" s="1367">
        <f t="shared" si="407"/>
        <v>0</v>
      </c>
      <c r="AF429" s="1367">
        <f t="shared" si="407"/>
        <v>0</v>
      </c>
      <c r="AG429" s="1367">
        <f>(S429/1.39)*1.49</f>
        <v>0.29800000000000004</v>
      </c>
      <c r="AH429" s="1367">
        <f>(V429+Y429+Z429+AF429)*23.5%</f>
        <v>2.5140769999999995</v>
      </c>
      <c r="AI429" s="1366">
        <f>U429-G429</f>
        <v>0.90672999999999959</v>
      </c>
      <c r="AJ429" s="1366">
        <f>AI429*6</f>
        <v>5.4403799999999976</v>
      </c>
      <c r="AK429" s="1448">
        <f t="shared" si="405"/>
        <v>0.3022433333333332</v>
      </c>
      <c r="AL429" s="1431">
        <f t="shared" si="392"/>
        <v>107.19424460431655</v>
      </c>
    </row>
    <row r="430" spans="1:38" s="1507" customFormat="1" ht="27.75" hidden="1" customHeight="1">
      <c r="A430" s="1375"/>
      <c r="B430" s="764" t="s">
        <v>2621</v>
      </c>
      <c r="C430" s="1455">
        <f t="shared" ref="C430:C439" si="408">D430+E430</f>
        <v>9</v>
      </c>
      <c r="D430" s="1455">
        <v>9</v>
      </c>
      <c r="E430" s="1455"/>
      <c r="F430" s="1455">
        <v>9</v>
      </c>
      <c r="G430" s="1367">
        <f>H430+I430+T430</f>
        <v>32.932018999999997</v>
      </c>
      <c r="H430" s="1577">
        <f>(18.86*1390)/1000</f>
        <v>26.215399999999999</v>
      </c>
      <c r="I430" s="1367">
        <f>SUM(J430:S430)</f>
        <v>0.55600000000000005</v>
      </c>
      <c r="J430" s="1365"/>
      <c r="K430" s="1365"/>
      <c r="L430" s="1365"/>
      <c r="M430" s="1365"/>
      <c r="N430" s="1365"/>
      <c r="O430" s="1365"/>
      <c r="P430" s="1365"/>
      <c r="Q430" s="1365"/>
      <c r="R430" s="1365"/>
      <c r="S430" s="1577">
        <f>((0.4)*1390)/1000</f>
        <v>0.55600000000000005</v>
      </c>
      <c r="T430" s="1366">
        <f>(H430+K430+L430+R430)*23.5%</f>
        <v>6.1606189999999996</v>
      </c>
      <c r="U430" s="1367">
        <f>V430+W430+AH430</f>
        <v>35.301228999999999</v>
      </c>
      <c r="V430" s="1367">
        <f>(H430/1.39)*1.49</f>
        <v>28.101399999999998</v>
      </c>
      <c r="W430" s="1367">
        <f>SUM(X430:AG430)</f>
        <v>0.59600000000000009</v>
      </c>
      <c r="X430" s="1367">
        <f t="shared" si="407"/>
        <v>0</v>
      </c>
      <c r="Y430" s="1367">
        <f t="shared" si="407"/>
        <v>0</v>
      </c>
      <c r="Z430" s="1367">
        <f t="shared" si="407"/>
        <v>0</v>
      </c>
      <c r="AA430" s="1367">
        <f t="shared" si="407"/>
        <v>0</v>
      </c>
      <c r="AB430" s="1367">
        <f t="shared" si="407"/>
        <v>0</v>
      </c>
      <c r="AC430" s="1367">
        <f t="shared" si="407"/>
        <v>0</v>
      </c>
      <c r="AD430" s="1367">
        <f t="shared" si="407"/>
        <v>0</v>
      </c>
      <c r="AE430" s="1367">
        <f t="shared" si="407"/>
        <v>0</v>
      </c>
      <c r="AF430" s="1367">
        <f t="shared" si="407"/>
        <v>0</v>
      </c>
      <c r="AG430" s="1367">
        <f>(S430/1.39)*1.49</f>
        <v>0.59600000000000009</v>
      </c>
      <c r="AH430" s="1367">
        <f>(V430+Y430+Z430+AF430)*23.5%</f>
        <v>6.6038289999999993</v>
      </c>
      <c r="AI430" s="1366">
        <f>U430-G430</f>
        <v>2.3692100000000025</v>
      </c>
      <c r="AJ430" s="1366">
        <f>AI430*6</f>
        <v>14.215260000000015</v>
      </c>
      <c r="AK430" s="1448">
        <f t="shared" si="405"/>
        <v>0.26324555555555584</v>
      </c>
      <c r="AL430" s="1431">
        <f t="shared" si="392"/>
        <v>107.19424460431655</v>
      </c>
    </row>
    <row r="431" spans="1:38" s="1507" customFormat="1" ht="27.75" hidden="1" customHeight="1">
      <c r="A431" s="1375"/>
      <c r="B431" s="764" t="s">
        <v>2622</v>
      </c>
      <c r="C431" s="1455">
        <f t="shared" si="408"/>
        <v>0</v>
      </c>
      <c r="D431" s="1455"/>
      <c r="E431" s="1455"/>
      <c r="F431" s="1455"/>
      <c r="G431" s="1617">
        <f t="shared" ref="G431:AJ431" si="409">G432+G433+G434+G435+G436</f>
        <v>0</v>
      </c>
      <c r="H431" s="1617">
        <f t="shared" si="409"/>
        <v>0</v>
      </c>
      <c r="I431" s="1617"/>
      <c r="J431" s="1617">
        <f t="shared" si="409"/>
        <v>0</v>
      </c>
      <c r="K431" s="1617">
        <f t="shared" si="409"/>
        <v>0</v>
      </c>
      <c r="L431" s="1617">
        <f t="shared" si="409"/>
        <v>0</v>
      </c>
      <c r="M431" s="1617">
        <f t="shared" si="409"/>
        <v>0</v>
      </c>
      <c r="N431" s="1617">
        <f t="shared" si="409"/>
        <v>0</v>
      </c>
      <c r="O431" s="1617">
        <f t="shared" si="409"/>
        <v>0</v>
      </c>
      <c r="P431" s="1617">
        <f t="shared" si="409"/>
        <v>0</v>
      </c>
      <c r="Q431" s="1617">
        <f t="shared" si="409"/>
        <v>0</v>
      </c>
      <c r="R431" s="1617">
        <f t="shared" si="409"/>
        <v>0</v>
      </c>
      <c r="S431" s="1617"/>
      <c r="T431" s="1617">
        <f t="shared" si="409"/>
        <v>0</v>
      </c>
      <c r="U431" s="1617">
        <f t="shared" si="409"/>
        <v>0</v>
      </c>
      <c r="V431" s="1617">
        <f t="shared" si="409"/>
        <v>0</v>
      </c>
      <c r="W431" s="1617">
        <f t="shared" si="409"/>
        <v>0</v>
      </c>
      <c r="X431" s="1617">
        <f t="shared" si="409"/>
        <v>0</v>
      </c>
      <c r="Y431" s="1617">
        <f t="shared" si="409"/>
        <v>0</v>
      </c>
      <c r="Z431" s="1617">
        <f t="shared" si="409"/>
        <v>0</v>
      </c>
      <c r="AA431" s="1617">
        <f t="shared" si="409"/>
        <v>0</v>
      </c>
      <c r="AB431" s="1617">
        <f t="shared" si="409"/>
        <v>0</v>
      </c>
      <c r="AC431" s="1617">
        <f t="shared" si="409"/>
        <v>0</v>
      </c>
      <c r="AD431" s="1617">
        <f t="shared" si="409"/>
        <v>0</v>
      </c>
      <c r="AE431" s="1617">
        <f t="shared" si="409"/>
        <v>0</v>
      </c>
      <c r="AF431" s="1617">
        <f t="shared" si="409"/>
        <v>0</v>
      </c>
      <c r="AG431" s="1617">
        <f t="shared" si="409"/>
        <v>0</v>
      </c>
      <c r="AH431" s="1617">
        <f t="shared" si="409"/>
        <v>0</v>
      </c>
      <c r="AI431" s="1617">
        <f t="shared" si="409"/>
        <v>0</v>
      </c>
      <c r="AJ431" s="1617">
        <f t="shared" si="409"/>
        <v>0</v>
      </c>
      <c r="AK431" s="1448" t="e">
        <f t="shared" si="405"/>
        <v>#DIV/0!</v>
      </c>
      <c r="AL431" s="1431" t="e">
        <f t="shared" si="392"/>
        <v>#DIV/0!</v>
      </c>
    </row>
    <row r="432" spans="1:38" s="1507" customFormat="1" ht="27.75" hidden="1" customHeight="1">
      <c r="A432" s="1375"/>
      <c r="B432" s="764" t="s">
        <v>2899</v>
      </c>
      <c r="C432" s="1455">
        <f t="shared" si="408"/>
        <v>0</v>
      </c>
      <c r="D432" s="1455"/>
      <c r="E432" s="1455"/>
      <c r="F432" s="1455"/>
      <c r="G432" s="1614">
        <f t="shared" ref="G432:G442" si="410">H432+I432+T432</f>
        <v>0</v>
      </c>
      <c r="H432" s="1617"/>
      <c r="I432" s="1614"/>
      <c r="J432" s="1617"/>
      <c r="K432" s="1617"/>
      <c r="L432" s="1617"/>
      <c r="M432" s="1617"/>
      <c r="N432" s="1617"/>
      <c r="O432" s="1617"/>
      <c r="P432" s="1617"/>
      <c r="Q432" s="1617"/>
      <c r="R432" s="1617"/>
      <c r="S432" s="1617"/>
      <c r="T432" s="1621"/>
      <c r="U432" s="1614">
        <f t="shared" ref="U432:U443" si="411">V432+W432+AH432</f>
        <v>0</v>
      </c>
      <c r="V432" s="1617"/>
      <c r="W432" s="1614">
        <f t="shared" ref="W432:W441" si="412">SUM(X432:AG432)</f>
        <v>0</v>
      </c>
      <c r="X432" s="1617"/>
      <c r="Y432" s="1617"/>
      <c r="Z432" s="1617"/>
      <c r="AA432" s="1617"/>
      <c r="AB432" s="1617"/>
      <c r="AC432" s="1617"/>
      <c r="AD432" s="1617"/>
      <c r="AE432" s="1617"/>
      <c r="AF432" s="1617"/>
      <c r="AG432" s="1617"/>
      <c r="AH432" s="1621"/>
      <c r="AI432" s="1621">
        <f t="shared" ref="AI432:AI443" si="413">U432-G432</f>
        <v>0</v>
      </c>
      <c r="AJ432" s="1621">
        <f t="shared" ref="AJ432:AJ442" si="414">AI432*6</f>
        <v>0</v>
      </c>
      <c r="AK432" s="1448" t="e">
        <f t="shared" si="405"/>
        <v>#DIV/0!</v>
      </c>
      <c r="AL432" s="1431" t="e">
        <f t="shared" si="392"/>
        <v>#DIV/0!</v>
      </c>
    </row>
    <row r="433" spans="1:60" s="1507" customFormat="1" ht="27.75" hidden="1" customHeight="1">
      <c r="A433" s="1375"/>
      <c r="B433" s="764" t="s">
        <v>2900</v>
      </c>
      <c r="C433" s="1455">
        <f t="shared" si="408"/>
        <v>0</v>
      </c>
      <c r="D433" s="1455"/>
      <c r="E433" s="1455"/>
      <c r="F433" s="1455"/>
      <c r="G433" s="1614">
        <f t="shared" si="410"/>
        <v>0</v>
      </c>
      <c r="H433" s="1617"/>
      <c r="I433" s="1614"/>
      <c r="J433" s="1617"/>
      <c r="K433" s="1617"/>
      <c r="L433" s="1617"/>
      <c r="M433" s="1617"/>
      <c r="N433" s="1617"/>
      <c r="O433" s="1617"/>
      <c r="P433" s="1617"/>
      <c r="Q433" s="1617"/>
      <c r="R433" s="1617"/>
      <c r="S433" s="1617"/>
      <c r="T433" s="1621"/>
      <c r="U433" s="1614">
        <f t="shared" si="411"/>
        <v>0</v>
      </c>
      <c r="V433" s="1617"/>
      <c r="W433" s="1614">
        <f t="shared" si="412"/>
        <v>0</v>
      </c>
      <c r="X433" s="1617"/>
      <c r="Y433" s="1617"/>
      <c r="Z433" s="1617"/>
      <c r="AA433" s="1617"/>
      <c r="AB433" s="1617"/>
      <c r="AC433" s="1617"/>
      <c r="AD433" s="1617"/>
      <c r="AE433" s="1617"/>
      <c r="AF433" s="1617"/>
      <c r="AG433" s="1617"/>
      <c r="AH433" s="1621"/>
      <c r="AI433" s="1621">
        <f t="shared" si="413"/>
        <v>0</v>
      </c>
      <c r="AJ433" s="1621">
        <f t="shared" si="414"/>
        <v>0</v>
      </c>
      <c r="AK433" s="1448" t="e">
        <f t="shared" si="405"/>
        <v>#DIV/0!</v>
      </c>
      <c r="AL433" s="1431" t="e">
        <f t="shared" si="392"/>
        <v>#DIV/0!</v>
      </c>
    </row>
    <row r="434" spans="1:60" s="1507" customFormat="1" ht="27.75" hidden="1" customHeight="1">
      <c r="A434" s="1375"/>
      <c r="B434" s="764" t="s">
        <v>2901</v>
      </c>
      <c r="C434" s="1455">
        <f t="shared" si="408"/>
        <v>0</v>
      </c>
      <c r="D434" s="1455"/>
      <c r="E434" s="1455"/>
      <c r="F434" s="1455"/>
      <c r="G434" s="1614">
        <f t="shared" si="410"/>
        <v>0</v>
      </c>
      <c r="H434" s="1617"/>
      <c r="I434" s="1614"/>
      <c r="J434" s="1617"/>
      <c r="K434" s="1617"/>
      <c r="L434" s="1617"/>
      <c r="M434" s="1617"/>
      <c r="N434" s="1617"/>
      <c r="O434" s="1617"/>
      <c r="P434" s="1617"/>
      <c r="Q434" s="1617"/>
      <c r="R434" s="1617"/>
      <c r="S434" s="1617"/>
      <c r="T434" s="1621"/>
      <c r="U434" s="1614">
        <f t="shared" si="411"/>
        <v>0</v>
      </c>
      <c r="V434" s="1617"/>
      <c r="W434" s="1614">
        <f t="shared" si="412"/>
        <v>0</v>
      </c>
      <c r="X434" s="1617"/>
      <c r="Y434" s="1617"/>
      <c r="Z434" s="1617"/>
      <c r="AA434" s="1617"/>
      <c r="AB434" s="1617"/>
      <c r="AC434" s="1617"/>
      <c r="AD434" s="1617"/>
      <c r="AE434" s="1617"/>
      <c r="AF434" s="1617"/>
      <c r="AG434" s="1617"/>
      <c r="AH434" s="1621"/>
      <c r="AI434" s="1621">
        <f t="shared" si="413"/>
        <v>0</v>
      </c>
      <c r="AJ434" s="1621">
        <f t="shared" si="414"/>
        <v>0</v>
      </c>
      <c r="AK434" s="1448" t="e">
        <f t="shared" si="405"/>
        <v>#DIV/0!</v>
      </c>
      <c r="AL434" s="1431" t="e">
        <f t="shared" si="392"/>
        <v>#DIV/0!</v>
      </c>
    </row>
    <row r="435" spans="1:60" s="1507" customFormat="1" ht="27.75" hidden="1" customHeight="1">
      <c r="A435" s="1375"/>
      <c r="B435" s="764" t="s">
        <v>2902</v>
      </c>
      <c r="C435" s="1455">
        <f t="shared" si="408"/>
        <v>0</v>
      </c>
      <c r="D435" s="1455"/>
      <c r="E435" s="1455"/>
      <c r="F435" s="1455"/>
      <c r="G435" s="1614">
        <f t="shared" si="410"/>
        <v>0</v>
      </c>
      <c r="H435" s="1617"/>
      <c r="I435" s="1614"/>
      <c r="J435" s="1617"/>
      <c r="K435" s="1617"/>
      <c r="L435" s="1617"/>
      <c r="M435" s="1617"/>
      <c r="N435" s="1617"/>
      <c r="O435" s="1617"/>
      <c r="P435" s="1617"/>
      <c r="Q435" s="1617"/>
      <c r="R435" s="1617"/>
      <c r="S435" s="1617"/>
      <c r="T435" s="1621"/>
      <c r="U435" s="1614">
        <f t="shared" si="411"/>
        <v>0</v>
      </c>
      <c r="V435" s="1617"/>
      <c r="W435" s="1614">
        <f t="shared" si="412"/>
        <v>0</v>
      </c>
      <c r="X435" s="1617"/>
      <c r="Y435" s="1617"/>
      <c r="Z435" s="1617"/>
      <c r="AA435" s="1617"/>
      <c r="AB435" s="1617"/>
      <c r="AC435" s="1617"/>
      <c r="AD435" s="1617"/>
      <c r="AE435" s="1617"/>
      <c r="AF435" s="1617"/>
      <c r="AG435" s="1617"/>
      <c r="AH435" s="1621"/>
      <c r="AI435" s="1621">
        <f t="shared" si="413"/>
        <v>0</v>
      </c>
      <c r="AJ435" s="1621">
        <f t="shared" si="414"/>
        <v>0</v>
      </c>
      <c r="AK435" s="1448" t="e">
        <f t="shared" si="405"/>
        <v>#DIV/0!</v>
      </c>
      <c r="AL435" s="1431" t="e">
        <f t="shared" si="392"/>
        <v>#DIV/0!</v>
      </c>
    </row>
    <row r="436" spans="1:60" s="1507" customFormat="1" ht="27.75" hidden="1" customHeight="1">
      <c r="A436" s="1375"/>
      <c r="B436" s="764" t="s">
        <v>2903</v>
      </c>
      <c r="C436" s="1455">
        <f t="shared" si="408"/>
        <v>0</v>
      </c>
      <c r="D436" s="1455"/>
      <c r="E436" s="1455"/>
      <c r="F436" s="1455"/>
      <c r="G436" s="1614">
        <f t="shared" si="410"/>
        <v>0</v>
      </c>
      <c r="H436" s="1617"/>
      <c r="I436" s="1614"/>
      <c r="J436" s="1617"/>
      <c r="K436" s="1617"/>
      <c r="L436" s="1617"/>
      <c r="M436" s="1617"/>
      <c r="N436" s="1617"/>
      <c r="O436" s="1617"/>
      <c r="P436" s="1617"/>
      <c r="Q436" s="1617"/>
      <c r="R436" s="1617"/>
      <c r="S436" s="1617"/>
      <c r="T436" s="1621"/>
      <c r="U436" s="1614">
        <f t="shared" si="411"/>
        <v>0</v>
      </c>
      <c r="V436" s="1617"/>
      <c r="W436" s="1614">
        <f t="shared" si="412"/>
        <v>0</v>
      </c>
      <c r="X436" s="1617"/>
      <c r="Y436" s="1617"/>
      <c r="Z436" s="1617"/>
      <c r="AA436" s="1617"/>
      <c r="AB436" s="1617"/>
      <c r="AC436" s="1617"/>
      <c r="AD436" s="1617"/>
      <c r="AE436" s="1617"/>
      <c r="AF436" s="1617"/>
      <c r="AG436" s="1617"/>
      <c r="AH436" s="1621"/>
      <c r="AI436" s="1621">
        <f t="shared" si="413"/>
        <v>0</v>
      </c>
      <c r="AJ436" s="1621">
        <f t="shared" si="414"/>
        <v>0</v>
      </c>
      <c r="AK436" s="1448" t="e">
        <f t="shared" si="405"/>
        <v>#DIV/0!</v>
      </c>
      <c r="AL436" s="1431" t="e">
        <f t="shared" si="392"/>
        <v>#DIV/0!</v>
      </c>
    </row>
    <row r="437" spans="1:60" s="1507" customFormat="1" ht="27.75" hidden="1" customHeight="1">
      <c r="A437" s="1375"/>
      <c r="B437" s="1453" t="s">
        <v>2628</v>
      </c>
      <c r="C437" s="1455">
        <f t="shared" si="408"/>
        <v>9</v>
      </c>
      <c r="D437" s="1455">
        <v>9</v>
      </c>
      <c r="E437" s="1455"/>
      <c r="F437" s="1455">
        <v>9</v>
      </c>
      <c r="G437" s="1367">
        <f t="shared" si="410"/>
        <v>43.509919000000004</v>
      </c>
      <c r="H437" s="1577">
        <f>(24.86*1390)/1000</f>
        <v>34.555399999999999</v>
      </c>
      <c r="I437" s="1367">
        <f>SUM(J437:S437)</f>
        <v>0.83399999999999996</v>
      </c>
      <c r="J437" s="1365"/>
      <c r="K437" s="1365"/>
      <c r="L437" s="1365"/>
      <c r="M437" s="1577"/>
      <c r="N437" s="1365"/>
      <c r="O437" s="1365"/>
      <c r="P437" s="1365"/>
      <c r="Q437" s="1365"/>
      <c r="R437" s="1365"/>
      <c r="S437" s="1577">
        <f>((0.6)*1390)/1000</f>
        <v>0.83399999999999996</v>
      </c>
      <c r="T437" s="1366">
        <f t="shared" ref="T437:T443" si="415">(H437+K437+L437+R437)*23.5%</f>
        <v>8.1205189999999998</v>
      </c>
      <c r="U437" s="1367">
        <f t="shared" si="411"/>
        <v>46.640128999999995</v>
      </c>
      <c r="V437" s="1367">
        <f>(H437/1.39)*1.49</f>
        <v>37.041399999999996</v>
      </c>
      <c r="W437" s="1367">
        <f t="shared" si="412"/>
        <v>0.89400000000000002</v>
      </c>
      <c r="X437" s="1367">
        <f t="shared" ref="X437:AF438" si="416">(J437/1.3)*1.39</f>
        <v>0</v>
      </c>
      <c r="Y437" s="1367">
        <f t="shared" si="416"/>
        <v>0</v>
      </c>
      <c r="Z437" s="1367">
        <f t="shared" si="416"/>
        <v>0</v>
      </c>
      <c r="AA437" s="1367">
        <f t="shared" si="416"/>
        <v>0</v>
      </c>
      <c r="AB437" s="1367">
        <f t="shared" si="416"/>
        <v>0</v>
      </c>
      <c r="AC437" s="1367">
        <f t="shared" si="416"/>
        <v>0</v>
      </c>
      <c r="AD437" s="1367">
        <f t="shared" si="416"/>
        <v>0</v>
      </c>
      <c r="AE437" s="1367">
        <f t="shared" si="416"/>
        <v>0</v>
      </c>
      <c r="AF437" s="1367">
        <f t="shared" si="416"/>
        <v>0</v>
      </c>
      <c r="AG437" s="1367">
        <f>(S437/1.39)*1.49</f>
        <v>0.89400000000000002</v>
      </c>
      <c r="AH437" s="1367">
        <f>(V437+Y437+Z437+AF437)*23.5%</f>
        <v>8.7047289999999986</v>
      </c>
      <c r="AI437" s="1366">
        <f t="shared" si="413"/>
        <v>3.1302099999999911</v>
      </c>
      <c r="AJ437" s="1366">
        <f t="shared" si="414"/>
        <v>18.781259999999946</v>
      </c>
      <c r="AK437" s="1448">
        <f t="shared" si="405"/>
        <v>0.34780111111111012</v>
      </c>
      <c r="AL437" s="1431">
        <f t="shared" si="392"/>
        <v>107.19424460431652</v>
      </c>
    </row>
    <row r="438" spans="1:60" s="1507" customFormat="1" ht="27.75" hidden="1" customHeight="1">
      <c r="A438" s="1375"/>
      <c r="B438" s="1453" t="s">
        <v>2629</v>
      </c>
      <c r="C438" s="1455">
        <f t="shared" si="408"/>
        <v>19</v>
      </c>
      <c r="D438" s="1455">
        <v>19</v>
      </c>
      <c r="E438" s="1455"/>
      <c r="F438" s="1455">
        <v>19</v>
      </c>
      <c r="G438" s="1367">
        <f t="shared" si="410"/>
        <v>75.113645500000004</v>
      </c>
      <c r="H438" s="1577">
        <f>((43.27)*1390)/1000</f>
        <v>60.145300000000006</v>
      </c>
      <c r="I438" s="1367">
        <f>SUM(J438:S438)</f>
        <v>0.83420000000000005</v>
      </c>
      <c r="J438" s="1365"/>
      <c r="K438" s="1365"/>
      <c r="L438" s="1365"/>
      <c r="M438" s="1365">
        <f>0*1300</f>
        <v>0</v>
      </c>
      <c r="N438" s="1365"/>
      <c r="O438" s="1365"/>
      <c r="P438" s="1365"/>
      <c r="Q438" s="1365"/>
      <c r="R438" s="1365"/>
      <c r="S438" s="1577">
        <f>(0.2+0.6*1390)/1000</f>
        <v>0.83420000000000005</v>
      </c>
      <c r="T438" s="1366">
        <f t="shared" si="415"/>
        <v>14.134145500000001</v>
      </c>
      <c r="U438" s="1367">
        <f t="shared" si="411"/>
        <v>80.517504888489228</v>
      </c>
      <c r="V438" s="1367">
        <f>(H438/1.39)*1.49</f>
        <v>64.472300000000018</v>
      </c>
      <c r="W438" s="1367">
        <f t="shared" si="412"/>
        <v>0.89421438848920864</v>
      </c>
      <c r="X438" s="1367">
        <f t="shared" si="416"/>
        <v>0</v>
      </c>
      <c r="Y438" s="1367">
        <f t="shared" si="416"/>
        <v>0</v>
      </c>
      <c r="Z438" s="1367">
        <f t="shared" si="416"/>
        <v>0</v>
      </c>
      <c r="AA438" s="1367">
        <f t="shared" si="416"/>
        <v>0</v>
      </c>
      <c r="AB438" s="1367">
        <f t="shared" si="416"/>
        <v>0</v>
      </c>
      <c r="AC438" s="1367">
        <f t="shared" si="416"/>
        <v>0</v>
      </c>
      <c r="AD438" s="1367">
        <f t="shared" si="416"/>
        <v>0</v>
      </c>
      <c r="AE438" s="1367">
        <f t="shared" si="416"/>
        <v>0</v>
      </c>
      <c r="AF438" s="1367">
        <f t="shared" si="416"/>
        <v>0</v>
      </c>
      <c r="AG438" s="1367">
        <f>(S438/1.39)*1.49</f>
        <v>0.89421438848920864</v>
      </c>
      <c r="AH438" s="1367">
        <f>(V438+Y438+Z438+AF438)*23.5%</f>
        <v>15.150990500000004</v>
      </c>
      <c r="AI438" s="1366">
        <f t="shared" si="413"/>
        <v>5.4038593884892236</v>
      </c>
      <c r="AJ438" s="1366">
        <f t="shared" si="414"/>
        <v>32.423156330935342</v>
      </c>
      <c r="AK438" s="1448">
        <f t="shared" si="405"/>
        <v>0.28441365202574859</v>
      </c>
      <c r="AL438" s="1431">
        <f t="shared" si="392"/>
        <v>107.19424460431657</v>
      </c>
    </row>
    <row r="439" spans="1:60" s="1507" customFormat="1" ht="27.75" hidden="1" customHeight="1">
      <c r="A439" s="1375"/>
      <c r="B439" s="1453" t="s">
        <v>2630</v>
      </c>
      <c r="C439" s="1455">
        <f t="shared" si="408"/>
        <v>8</v>
      </c>
      <c r="D439" s="1455">
        <v>8</v>
      </c>
      <c r="E439" s="1455"/>
      <c r="F439" s="1455">
        <v>9</v>
      </c>
      <c r="G439" s="1367">
        <f t="shared" si="410"/>
        <v>42.932165499999996</v>
      </c>
      <c r="H439" s="1577">
        <f>((19.47)*1390)/1000</f>
        <v>27.063299999999998</v>
      </c>
      <c r="I439" s="1367">
        <f>SUM(J439:S439)</f>
        <v>9.5089900000000007</v>
      </c>
      <c r="J439" s="1365"/>
      <c r="K439" s="1365"/>
      <c r="L439" s="1365"/>
      <c r="M439" s="1577">
        <f>((5.841)*1390)/1000</f>
        <v>8.1189900000000002</v>
      </c>
      <c r="N439" s="1365"/>
      <c r="O439" s="1365"/>
      <c r="P439" s="1365"/>
      <c r="Q439" s="1365"/>
      <c r="R439" s="1365"/>
      <c r="S439" s="1577">
        <f>((1)*1390)/1000</f>
        <v>1.39</v>
      </c>
      <c r="T439" s="1366">
        <f t="shared" si="415"/>
        <v>6.3598754999999993</v>
      </c>
      <c r="U439" s="1367">
        <f t="shared" si="411"/>
        <v>46.020810499999996</v>
      </c>
      <c r="V439" s="1367">
        <f>(H439/1.39)*1.49</f>
        <v>29.010299999999997</v>
      </c>
      <c r="W439" s="1367">
        <f t="shared" si="412"/>
        <v>10.19309</v>
      </c>
      <c r="X439" s="1367">
        <f>(J439/1.3)*1.39</f>
        <v>0</v>
      </c>
      <c r="Y439" s="1367">
        <f>(K439/1.3)*1.39</f>
        <v>0</v>
      </c>
      <c r="Z439" s="1367">
        <f>(L439/1.3)*1.39</f>
        <v>0</v>
      </c>
      <c r="AA439" s="1367">
        <f>(M439/1.39)*1.49</f>
        <v>8.7030899999999995</v>
      </c>
      <c r="AB439" s="1367">
        <f>(N439/1.3)*1.39</f>
        <v>0</v>
      </c>
      <c r="AC439" s="1367">
        <f>(O439/1.3)*1.39</f>
        <v>0</v>
      </c>
      <c r="AD439" s="1367">
        <f>(P439/1.3)*1.39</f>
        <v>0</v>
      </c>
      <c r="AE439" s="1367">
        <f>(Q439/1.3)*1.39</f>
        <v>0</v>
      </c>
      <c r="AF439" s="1367">
        <f>(R439/1.3)*1.39</f>
        <v>0</v>
      </c>
      <c r="AG439" s="1367">
        <f>(S439/1.39)*1.49</f>
        <v>1.49</v>
      </c>
      <c r="AH439" s="1367">
        <f>(V439+Y439+Z439+AF439)*23.5%</f>
        <v>6.817420499999999</v>
      </c>
      <c r="AI439" s="1366">
        <f t="shared" si="413"/>
        <v>3.0886449999999996</v>
      </c>
      <c r="AJ439" s="1366">
        <f t="shared" si="414"/>
        <v>18.531869999999998</v>
      </c>
      <c r="AK439" s="1448">
        <f t="shared" si="405"/>
        <v>0.34318277777777773</v>
      </c>
      <c r="AL439" s="1431">
        <f t="shared" si="392"/>
        <v>107.19424460431655</v>
      </c>
    </row>
    <row r="440" spans="1:60" s="1507" customFormat="1" ht="27.75" hidden="1" customHeight="1">
      <c r="A440" s="1375"/>
      <c r="B440" s="1453" t="s">
        <v>2631</v>
      </c>
      <c r="C440" s="1455"/>
      <c r="D440" s="1455"/>
      <c r="E440" s="1455"/>
      <c r="F440" s="1455"/>
      <c r="G440" s="1614">
        <f t="shared" si="410"/>
        <v>0</v>
      </c>
      <c r="H440" s="1617"/>
      <c r="I440" s="1614">
        <f>SUM(J440:S440)</f>
        <v>0</v>
      </c>
      <c r="J440" s="1617"/>
      <c r="K440" s="1617"/>
      <c r="L440" s="1617"/>
      <c r="M440" s="1617"/>
      <c r="N440" s="1617"/>
      <c r="O440" s="1617"/>
      <c r="P440" s="1617"/>
      <c r="Q440" s="1617"/>
      <c r="R440" s="1617"/>
      <c r="S440" s="1617"/>
      <c r="T440" s="1366">
        <f t="shared" si="415"/>
        <v>0</v>
      </c>
      <c r="U440" s="1614">
        <f t="shared" si="411"/>
        <v>0</v>
      </c>
      <c r="V440" s="1617"/>
      <c r="W440" s="1614">
        <f t="shared" si="412"/>
        <v>0</v>
      </c>
      <c r="X440" s="1617"/>
      <c r="Y440" s="1617"/>
      <c r="Z440" s="1617"/>
      <c r="AA440" s="1617"/>
      <c r="AB440" s="1617"/>
      <c r="AC440" s="1617"/>
      <c r="AD440" s="1617"/>
      <c r="AE440" s="1617"/>
      <c r="AF440" s="1617"/>
      <c r="AG440" s="1617"/>
      <c r="AH440" s="1621"/>
      <c r="AI440" s="1621">
        <f t="shared" si="413"/>
        <v>0</v>
      </c>
      <c r="AJ440" s="1621">
        <f t="shared" si="414"/>
        <v>0</v>
      </c>
      <c r="AK440" s="1448" t="e">
        <f t="shared" si="405"/>
        <v>#DIV/0!</v>
      </c>
      <c r="AL440" s="1431" t="e">
        <f t="shared" si="392"/>
        <v>#DIV/0!</v>
      </c>
    </row>
    <row r="441" spans="1:60" s="1431" customFormat="1" ht="27.75" hidden="1" customHeight="1">
      <c r="A441" s="1375"/>
      <c r="B441" s="1374" t="s">
        <v>2904</v>
      </c>
      <c r="C441" s="1455"/>
      <c r="D441" s="1455"/>
      <c r="E441" s="1455"/>
      <c r="F441" s="1455"/>
      <c r="G441" s="1614">
        <f t="shared" si="410"/>
        <v>0</v>
      </c>
      <c r="H441" s="1617"/>
      <c r="I441" s="1614">
        <f>SUM(J441:S441)</f>
        <v>0</v>
      </c>
      <c r="J441" s="1617"/>
      <c r="K441" s="1617"/>
      <c r="L441" s="1617"/>
      <c r="M441" s="1617"/>
      <c r="N441" s="1617"/>
      <c r="O441" s="1617"/>
      <c r="P441" s="1617"/>
      <c r="Q441" s="1617"/>
      <c r="R441" s="1617"/>
      <c r="S441" s="1617"/>
      <c r="T441" s="1366">
        <f t="shared" si="415"/>
        <v>0</v>
      </c>
      <c r="U441" s="1614">
        <f t="shared" si="411"/>
        <v>0</v>
      </c>
      <c r="V441" s="1617"/>
      <c r="W441" s="1614">
        <f t="shared" si="412"/>
        <v>0</v>
      </c>
      <c r="X441" s="1617"/>
      <c r="Y441" s="1617"/>
      <c r="Z441" s="1617"/>
      <c r="AA441" s="1617"/>
      <c r="AB441" s="1617"/>
      <c r="AC441" s="1617"/>
      <c r="AD441" s="1617"/>
      <c r="AE441" s="1617"/>
      <c r="AF441" s="1617"/>
      <c r="AG441" s="1617"/>
      <c r="AH441" s="1621"/>
      <c r="AI441" s="1621">
        <f t="shared" si="413"/>
        <v>0</v>
      </c>
      <c r="AJ441" s="1621">
        <f t="shared" si="414"/>
        <v>0</v>
      </c>
      <c r="AK441" s="1448" t="e">
        <f t="shared" si="405"/>
        <v>#DIV/0!</v>
      </c>
      <c r="AL441" s="1431" t="e">
        <f t="shared" si="392"/>
        <v>#DIV/0!</v>
      </c>
    </row>
    <row r="442" spans="1:60" s="561" customFormat="1" ht="27.75" hidden="1" customHeight="1">
      <c r="A442" s="1375">
        <v>12</v>
      </c>
      <c r="B442" s="1374" t="s">
        <v>2643</v>
      </c>
      <c r="C442" s="1455">
        <f>D442+E442</f>
        <v>0</v>
      </c>
      <c r="D442" s="1455"/>
      <c r="E442" s="1455"/>
      <c r="F442" s="1455"/>
      <c r="G442" s="1614">
        <f t="shared" si="410"/>
        <v>0</v>
      </c>
      <c r="H442" s="1617"/>
      <c r="I442" s="1614"/>
      <c r="J442" s="1617"/>
      <c r="K442" s="1617"/>
      <c r="L442" s="1617"/>
      <c r="M442" s="1617"/>
      <c r="N442" s="1617"/>
      <c r="O442" s="1617"/>
      <c r="P442" s="1617"/>
      <c r="Q442" s="1617"/>
      <c r="R442" s="1617"/>
      <c r="S442" s="1617"/>
      <c r="T442" s="1366">
        <f t="shared" si="415"/>
        <v>0</v>
      </c>
      <c r="U442" s="1614">
        <f t="shared" si="411"/>
        <v>0</v>
      </c>
      <c r="V442" s="1617"/>
      <c r="W442" s="1614"/>
      <c r="X442" s="1617"/>
      <c r="Y442" s="1617"/>
      <c r="Z442" s="1617"/>
      <c r="AA442" s="1617"/>
      <c r="AB442" s="1617"/>
      <c r="AC442" s="1617"/>
      <c r="AD442" s="1617"/>
      <c r="AE442" s="1617"/>
      <c r="AF442" s="1617"/>
      <c r="AG442" s="1617"/>
      <c r="AH442" s="1366">
        <f>(V442+Y442+Z442+AF442)*23.5%</f>
        <v>0</v>
      </c>
      <c r="AI442" s="1621">
        <f t="shared" si="413"/>
        <v>0</v>
      </c>
      <c r="AJ442" s="1621">
        <f t="shared" si="414"/>
        <v>0</v>
      </c>
      <c r="AK442" s="1448" t="e">
        <f t="shared" si="405"/>
        <v>#DIV/0!</v>
      </c>
      <c r="AL442" s="1431" t="e">
        <f t="shared" si="392"/>
        <v>#DIV/0!</v>
      </c>
    </row>
    <row r="443" spans="1:60" s="561" customFormat="1" ht="27.75" hidden="1" customHeight="1">
      <c r="A443" s="1456"/>
      <c r="B443" s="1458" t="s">
        <v>2529</v>
      </c>
      <c r="C443" s="1459"/>
      <c r="D443" s="1459"/>
      <c r="E443" s="1459"/>
      <c r="F443" s="1459"/>
      <c r="G443" s="1628"/>
      <c r="H443" s="1627"/>
      <c r="I443" s="1628"/>
      <c r="J443" s="1627"/>
      <c r="K443" s="1627"/>
      <c r="L443" s="1627"/>
      <c r="M443" s="1627"/>
      <c r="N443" s="1627"/>
      <c r="O443" s="1627"/>
      <c r="P443" s="1627"/>
      <c r="Q443" s="1627"/>
      <c r="R443" s="1627"/>
      <c r="S443" s="1627"/>
      <c r="T443" s="1628">
        <f t="shared" si="415"/>
        <v>0</v>
      </c>
      <c r="U443" s="1711">
        <f t="shared" si="411"/>
        <v>0</v>
      </c>
      <c r="V443" s="1711">
        <f>(H443/1.3)*1.39</f>
        <v>0</v>
      </c>
      <c r="W443" s="1711">
        <f>SUM(X443:AG443)</f>
        <v>0</v>
      </c>
      <c r="X443" s="1711">
        <f t="shared" ref="X443:AG443" si="417">(J443/1.3)*1.39</f>
        <v>0</v>
      </c>
      <c r="Y443" s="1711">
        <f t="shared" si="417"/>
        <v>0</v>
      </c>
      <c r="Z443" s="1711">
        <f t="shared" si="417"/>
        <v>0</v>
      </c>
      <c r="AA443" s="1711">
        <f t="shared" si="417"/>
        <v>0</v>
      </c>
      <c r="AB443" s="1711">
        <f t="shared" si="417"/>
        <v>0</v>
      </c>
      <c r="AC443" s="1711">
        <f t="shared" si="417"/>
        <v>0</v>
      </c>
      <c r="AD443" s="1711">
        <f t="shared" si="417"/>
        <v>0</v>
      </c>
      <c r="AE443" s="1711">
        <f t="shared" si="417"/>
        <v>0</v>
      </c>
      <c r="AF443" s="1711">
        <f t="shared" si="417"/>
        <v>0</v>
      </c>
      <c r="AG443" s="1711">
        <f t="shared" si="417"/>
        <v>0</v>
      </c>
      <c r="AH443" s="1711">
        <f>(V443+Y443+Z443+AF443)*23.5%</f>
        <v>0</v>
      </c>
      <c r="AI443" s="1628">
        <f t="shared" si="413"/>
        <v>0</v>
      </c>
      <c r="AJ443" s="1628">
        <f>AI443*6</f>
        <v>0</v>
      </c>
      <c r="AK443" s="1448" t="e">
        <f t="shared" si="405"/>
        <v>#DIV/0!</v>
      </c>
      <c r="AL443" s="1431" t="e">
        <f t="shared" si="392"/>
        <v>#DIV/0!</v>
      </c>
    </row>
    <row r="444" spans="1:60" s="561" customFormat="1" ht="27.75" hidden="1" customHeight="1">
      <c r="A444" s="1445">
        <v>3</v>
      </c>
      <c r="B444" s="1446" t="s">
        <v>2531</v>
      </c>
      <c r="C444" s="1467">
        <f>C445</f>
        <v>3</v>
      </c>
      <c r="D444" s="1467">
        <f>D445</f>
        <v>2</v>
      </c>
      <c r="E444" s="1467">
        <f>E445</f>
        <v>1</v>
      </c>
      <c r="F444" s="1467">
        <f t="shared" ref="F444:AJ444" si="418">F445</f>
        <v>2</v>
      </c>
      <c r="G444" s="1616">
        <f t="shared" si="418"/>
        <v>11.706441</v>
      </c>
      <c r="H444" s="1616">
        <f t="shared" si="418"/>
        <v>8.3956</v>
      </c>
      <c r="I444" s="1616">
        <f t="shared" si="418"/>
        <v>1.3378749999999999</v>
      </c>
      <c r="J444" s="1616">
        <f t="shared" si="418"/>
        <v>0</v>
      </c>
      <c r="K444" s="1616">
        <f t="shared" si="418"/>
        <v>0</v>
      </c>
      <c r="L444" s="1616">
        <f t="shared" si="418"/>
        <v>0</v>
      </c>
      <c r="M444" s="1616">
        <f t="shared" si="418"/>
        <v>0</v>
      </c>
      <c r="N444" s="1616">
        <f t="shared" si="418"/>
        <v>0</v>
      </c>
      <c r="O444" s="1616">
        <f t="shared" si="418"/>
        <v>0</v>
      </c>
      <c r="P444" s="1616">
        <f t="shared" si="418"/>
        <v>1.3378749999999999</v>
      </c>
      <c r="Q444" s="1616">
        <f t="shared" si="418"/>
        <v>0</v>
      </c>
      <c r="R444" s="1616">
        <f t="shared" si="418"/>
        <v>0</v>
      </c>
      <c r="S444" s="1616">
        <f t="shared" si="418"/>
        <v>0</v>
      </c>
      <c r="T444" s="1616">
        <f t="shared" si="418"/>
        <v>1.972966</v>
      </c>
      <c r="U444" s="1616">
        <f t="shared" si="418"/>
        <v>12.548631</v>
      </c>
      <c r="V444" s="1616">
        <f t="shared" si="418"/>
        <v>8.9996000000000009</v>
      </c>
      <c r="W444" s="1616">
        <f t="shared" si="418"/>
        <v>1.4341250000000001</v>
      </c>
      <c r="X444" s="1616">
        <f t="shared" si="418"/>
        <v>0</v>
      </c>
      <c r="Y444" s="1616">
        <f t="shared" si="418"/>
        <v>0</v>
      </c>
      <c r="Z444" s="1616">
        <f t="shared" si="418"/>
        <v>0</v>
      </c>
      <c r="AA444" s="1616">
        <f t="shared" si="418"/>
        <v>0</v>
      </c>
      <c r="AB444" s="1616">
        <f t="shared" si="418"/>
        <v>0</v>
      </c>
      <c r="AC444" s="1616">
        <f t="shared" si="418"/>
        <v>0</v>
      </c>
      <c r="AD444" s="1616">
        <f t="shared" si="418"/>
        <v>1.4341250000000001</v>
      </c>
      <c r="AE444" s="1616">
        <f t="shared" si="418"/>
        <v>0</v>
      </c>
      <c r="AF444" s="1616">
        <f t="shared" si="418"/>
        <v>0</v>
      </c>
      <c r="AG444" s="1616">
        <f t="shared" si="418"/>
        <v>0</v>
      </c>
      <c r="AH444" s="1616">
        <f t="shared" si="418"/>
        <v>2.114906</v>
      </c>
      <c r="AI444" s="1616">
        <f t="shared" si="418"/>
        <v>0.84219000000000044</v>
      </c>
      <c r="AJ444" s="1616">
        <f t="shared" si="418"/>
        <v>5.0531400000000026</v>
      </c>
      <c r="AK444" s="1448">
        <f t="shared" si="405"/>
        <v>0.42109500000000022</v>
      </c>
      <c r="AL444" s="1431">
        <f t="shared" si="392"/>
        <v>107.19424460431655</v>
      </c>
    </row>
    <row r="445" spans="1:60" s="561" customFormat="1" ht="27.75" hidden="1" customHeight="1">
      <c r="A445" s="1375">
        <v>13</v>
      </c>
      <c r="B445" s="1376" t="s">
        <v>2644</v>
      </c>
      <c r="C445" s="560">
        <f>SUM(C446:C450)</f>
        <v>3</v>
      </c>
      <c r="D445" s="560">
        <f t="shared" ref="D445:AJ445" si="419">SUM(D446:D450)</f>
        <v>2</v>
      </c>
      <c r="E445" s="560">
        <f t="shared" si="419"/>
        <v>1</v>
      </c>
      <c r="F445" s="560">
        <f t="shared" si="419"/>
        <v>2</v>
      </c>
      <c r="G445" s="1617">
        <f t="shared" si="419"/>
        <v>11.706441</v>
      </c>
      <c r="H445" s="1617">
        <f t="shared" si="419"/>
        <v>8.3956</v>
      </c>
      <c r="I445" s="1617">
        <f t="shared" si="419"/>
        <v>1.3378749999999999</v>
      </c>
      <c r="J445" s="1617">
        <f t="shared" si="419"/>
        <v>0</v>
      </c>
      <c r="K445" s="1617">
        <f t="shared" si="419"/>
        <v>0</v>
      </c>
      <c r="L445" s="1617">
        <f t="shared" si="419"/>
        <v>0</v>
      </c>
      <c r="M445" s="1617">
        <f t="shared" si="419"/>
        <v>0</v>
      </c>
      <c r="N445" s="1617">
        <f t="shared" si="419"/>
        <v>0</v>
      </c>
      <c r="O445" s="1617">
        <f t="shared" si="419"/>
        <v>0</v>
      </c>
      <c r="P445" s="1617">
        <f t="shared" si="419"/>
        <v>1.3378749999999999</v>
      </c>
      <c r="Q445" s="1617">
        <f t="shared" si="419"/>
        <v>0</v>
      </c>
      <c r="R445" s="1617">
        <f t="shared" si="419"/>
        <v>0</v>
      </c>
      <c r="S445" s="1617">
        <f t="shared" si="419"/>
        <v>0</v>
      </c>
      <c r="T445" s="1617">
        <f t="shared" si="419"/>
        <v>1.972966</v>
      </c>
      <c r="U445" s="1617">
        <f t="shared" si="419"/>
        <v>12.548631</v>
      </c>
      <c r="V445" s="1617">
        <f t="shared" si="419"/>
        <v>8.9996000000000009</v>
      </c>
      <c r="W445" s="1617">
        <f t="shared" si="419"/>
        <v>1.4341250000000001</v>
      </c>
      <c r="X445" s="1617">
        <f t="shared" si="419"/>
        <v>0</v>
      </c>
      <c r="Y445" s="1617">
        <f t="shared" si="419"/>
        <v>0</v>
      </c>
      <c r="Z445" s="1617">
        <f t="shared" si="419"/>
        <v>0</v>
      </c>
      <c r="AA445" s="1617">
        <f t="shared" si="419"/>
        <v>0</v>
      </c>
      <c r="AB445" s="1617">
        <f t="shared" si="419"/>
        <v>0</v>
      </c>
      <c r="AC445" s="1617">
        <f t="shared" si="419"/>
        <v>0</v>
      </c>
      <c r="AD445" s="1617">
        <f t="shared" si="419"/>
        <v>1.4341250000000001</v>
      </c>
      <c r="AE445" s="1617">
        <f t="shared" si="419"/>
        <v>0</v>
      </c>
      <c r="AF445" s="1617">
        <f t="shared" si="419"/>
        <v>0</v>
      </c>
      <c r="AG445" s="1617">
        <f t="shared" si="419"/>
        <v>0</v>
      </c>
      <c r="AH445" s="1617">
        <f t="shared" si="419"/>
        <v>2.114906</v>
      </c>
      <c r="AI445" s="1617">
        <f t="shared" si="419"/>
        <v>0.84219000000000044</v>
      </c>
      <c r="AJ445" s="1617">
        <f t="shared" si="419"/>
        <v>5.0531400000000026</v>
      </c>
      <c r="AK445" s="1448">
        <f t="shared" si="405"/>
        <v>0.42109500000000022</v>
      </c>
      <c r="AL445" s="1431">
        <f t="shared" si="392"/>
        <v>107.19424460431655</v>
      </c>
    </row>
    <row r="446" spans="1:60" s="561" customFormat="1" ht="27.75" hidden="1" customHeight="1">
      <c r="A446" s="1375"/>
      <c r="B446" s="1453" t="s">
        <v>2645</v>
      </c>
      <c r="C446" s="1455"/>
      <c r="D446" s="1455"/>
      <c r="E446" s="1455"/>
      <c r="F446" s="1455"/>
      <c r="G446" s="1614">
        <f>H446+I446+T446</f>
        <v>0</v>
      </c>
      <c r="H446" s="1617"/>
      <c r="I446" s="1614">
        <f>SUM(J446:S446)</f>
        <v>0</v>
      </c>
      <c r="J446" s="1617"/>
      <c r="K446" s="1617"/>
      <c r="L446" s="1617"/>
      <c r="M446" s="1617"/>
      <c r="N446" s="1617"/>
      <c r="O446" s="1617"/>
      <c r="P446" s="1617"/>
      <c r="Q446" s="1617"/>
      <c r="R446" s="1617"/>
      <c r="S446" s="1617"/>
      <c r="T446" s="1621"/>
      <c r="U446" s="1614">
        <f>V446+W446+AH446</f>
        <v>0</v>
      </c>
      <c r="V446" s="1617"/>
      <c r="W446" s="1614">
        <f>SUM(X446:AG446)</f>
        <v>0</v>
      </c>
      <c r="X446" s="1617"/>
      <c r="Y446" s="1617"/>
      <c r="Z446" s="1617"/>
      <c r="AA446" s="1617"/>
      <c r="AB446" s="1617"/>
      <c r="AC446" s="1617"/>
      <c r="AD446" s="1617"/>
      <c r="AE446" s="1617"/>
      <c r="AF446" s="1617"/>
      <c r="AG446" s="1617"/>
      <c r="AH446" s="1621"/>
      <c r="AI446" s="1621">
        <f>U446-G446</f>
        <v>0</v>
      </c>
      <c r="AJ446" s="1621">
        <f>AI446*6</f>
        <v>0</v>
      </c>
      <c r="AK446" s="1448" t="e">
        <f t="shared" si="405"/>
        <v>#DIV/0!</v>
      </c>
      <c r="AL446" s="1431" t="e">
        <f t="shared" si="392"/>
        <v>#DIV/0!</v>
      </c>
    </row>
    <row r="447" spans="1:60" s="1542" customFormat="1" ht="27.75" hidden="1" customHeight="1">
      <c r="A447" s="1375"/>
      <c r="B447" s="764" t="s">
        <v>2646</v>
      </c>
      <c r="C447" s="1476">
        <f>D447+E447</f>
        <v>1</v>
      </c>
      <c r="D447" s="1476"/>
      <c r="E447" s="1476">
        <v>1</v>
      </c>
      <c r="F447" s="1476">
        <v>1</v>
      </c>
      <c r="G447" s="1637">
        <f>H447+I447+T447</f>
        <v>7.9469775</v>
      </c>
      <c r="H447" s="1638">
        <f>3.85*1.39</f>
        <v>5.3514999999999997</v>
      </c>
      <c r="I447" s="1637">
        <f>SUM(J447:S447)</f>
        <v>1.3378749999999999</v>
      </c>
      <c r="J447" s="1638"/>
      <c r="K447" s="1638"/>
      <c r="L447" s="1638"/>
      <c r="M447" s="1638"/>
      <c r="N447" s="1638"/>
      <c r="O447" s="1638"/>
      <c r="P447" s="1638">
        <f>H447*25%</f>
        <v>1.3378749999999999</v>
      </c>
      <c r="Q447" s="1638"/>
      <c r="R447" s="1638"/>
      <c r="S447" s="1638"/>
      <c r="T447" s="1639">
        <f>(H447+K447+L447)*23.5%</f>
        <v>1.2576025</v>
      </c>
      <c r="U447" s="1637">
        <f>V447+W447+AH447</f>
        <v>8.5187024999999998</v>
      </c>
      <c r="V447" s="1638">
        <f>3.85*1.49</f>
        <v>5.7365000000000004</v>
      </c>
      <c r="W447" s="1637">
        <f>SUM(X447:AG447)</f>
        <v>1.4341250000000001</v>
      </c>
      <c r="X447" s="1638"/>
      <c r="Y447" s="1638"/>
      <c r="Z447" s="1638"/>
      <c r="AA447" s="1638"/>
      <c r="AB447" s="1638"/>
      <c r="AC447" s="1638"/>
      <c r="AD447" s="1638">
        <f>V447*25%</f>
        <v>1.4341250000000001</v>
      </c>
      <c r="AE447" s="1638"/>
      <c r="AF447" s="1638"/>
      <c r="AG447" s="1638"/>
      <c r="AH447" s="1639">
        <f>(V447+Y447+Z447)*23.5%</f>
        <v>1.3480775</v>
      </c>
      <c r="AI447" s="1621">
        <f>U447-G447</f>
        <v>0.57172499999999982</v>
      </c>
      <c r="AJ447" s="1621">
        <f>AI447*6</f>
        <v>3.4303499999999989</v>
      </c>
      <c r="AK447" s="1448">
        <f t="shared" si="405"/>
        <v>0.57172499999999982</v>
      </c>
      <c r="AL447" s="1431">
        <f t="shared" si="392"/>
        <v>107.19424460431655</v>
      </c>
      <c r="AM447" s="561"/>
      <c r="AN447" s="561"/>
      <c r="AO447" s="561"/>
      <c r="AP447" s="561"/>
      <c r="AQ447" s="561"/>
      <c r="AR447" s="561"/>
      <c r="AS447" s="561"/>
      <c r="AT447" s="561"/>
      <c r="AU447" s="561"/>
      <c r="AV447" s="561"/>
      <c r="AW447" s="561"/>
      <c r="AX447" s="561"/>
      <c r="AY447" s="561"/>
      <c r="AZ447" s="561"/>
      <c r="BA447" s="561"/>
      <c r="BB447" s="561"/>
      <c r="BC447" s="561"/>
      <c r="BD447" s="561"/>
      <c r="BE447" s="561"/>
      <c r="BF447" s="561"/>
      <c r="BG447" s="561"/>
      <c r="BH447" s="561"/>
    </row>
    <row r="448" spans="1:60" s="561" customFormat="1" ht="27.75" hidden="1" customHeight="1">
      <c r="A448" s="1375"/>
      <c r="B448" s="764" t="s">
        <v>2649</v>
      </c>
      <c r="C448" s="1455">
        <f>D448+E448</f>
        <v>0</v>
      </c>
      <c r="D448" s="1455"/>
      <c r="E448" s="1455"/>
      <c r="F448" s="1455"/>
      <c r="G448" s="1614">
        <f>H448+I448+T448</f>
        <v>0</v>
      </c>
      <c r="H448" s="1617"/>
      <c r="I448" s="1614">
        <f>SUM(J448:S448)</f>
        <v>0</v>
      </c>
      <c r="J448" s="1617"/>
      <c r="K448" s="1630"/>
      <c r="L448" s="1617"/>
      <c r="M448" s="1617"/>
      <c r="N448" s="1617"/>
      <c r="O448" s="1617"/>
      <c r="P448" s="1617"/>
      <c r="Q448" s="1617"/>
      <c r="R448" s="1617"/>
      <c r="S448" s="1617"/>
      <c r="T448" s="1621">
        <f>(H448+K448+L448)*23.5%</f>
        <v>0</v>
      </c>
      <c r="U448" s="1614">
        <f>V448+W448+AH448</f>
        <v>0</v>
      </c>
      <c r="V448" s="1617"/>
      <c r="W448" s="1614">
        <f>SUM(X448:AG448)</f>
        <v>0</v>
      </c>
      <c r="X448" s="1617"/>
      <c r="Y448" s="1630"/>
      <c r="Z448" s="1617"/>
      <c r="AA448" s="1617"/>
      <c r="AB448" s="1617"/>
      <c r="AC448" s="1617"/>
      <c r="AD448" s="1617"/>
      <c r="AE448" s="1617"/>
      <c r="AF448" s="1617"/>
      <c r="AG448" s="1617"/>
      <c r="AH448" s="1621">
        <f>(V448+Y448+Z448)*23.5%</f>
        <v>0</v>
      </c>
      <c r="AI448" s="1621">
        <f>U448-G448</f>
        <v>0</v>
      </c>
      <c r="AJ448" s="1621">
        <f>AI448*6</f>
        <v>0</v>
      </c>
      <c r="AK448" s="1448" t="e">
        <f t="shared" si="405"/>
        <v>#DIV/0!</v>
      </c>
      <c r="AL448" s="1431" t="e">
        <f t="shared" si="392"/>
        <v>#DIV/0!</v>
      </c>
    </row>
    <row r="449" spans="1:38" s="561" customFormat="1" ht="27.75" hidden="1" customHeight="1">
      <c r="A449" s="1375"/>
      <c r="B449" s="1453" t="s">
        <v>2650</v>
      </c>
      <c r="C449" s="1455">
        <f>D449+E449</f>
        <v>0</v>
      </c>
      <c r="D449" s="1455"/>
      <c r="E449" s="1455"/>
      <c r="F449" s="1455"/>
      <c r="G449" s="1614">
        <f>H449+I449+T449</f>
        <v>0</v>
      </c>
      <c r="H449" s="1617"/>
      <c r="I449" s="1614">
        <f>SUM(J449:S449)</f>
        <v>0</v>
      </c>
      <c r="J449" s="1617"/>
      <c r="K449" s="1617"/>
      <c r="L449" s="1617"/>
      <c r="M449" s="1617"/>
      <c r="N449" s="1617"/>
      <c r="O449" s="1617"/>
      <c r="P449" s="1617"/>
      <c r="Q449" s="1617"/>
      <c r="R449" s="1617"/>
      <c r="S449" s="1617"/>
      <c r="T449" s="1621">
        <f>(H449+K449+L449)*23.5%</f>
        <v>0</v>
      </c>
      <c r="U449" s="1614">
        <f>V449+W449+AH449</f>
        <v>0</v>
      </c>
      <c r="V449" s="1617"/>
      <c r="W449" s="1614">
        <f>SUM(X449:AG449)</f>
        <v>0</v>
      </c>
      <c r="X449" s="1617"/>
      <c r="Y449" s="1617"/>
      <c r="Z449" s="1617"/>
      <c r="AA449" s="1617"/>
      <c r="AB449" s="1617"/>
      <c r="AC449" s="1617"/>
      <c r="AD449" s="1617"/>
      <c r="AE449" s="1617"/>
      <c r="AF449" s="1617"/>
      <c r="AG449" s="1617"/>
      <c r="AH449" s="1621">
        <f>(V449+Y449+Z449)*23.5%</f>
        <v>0</v>
      </c>
      <c r="AI449" s="1621">
        <f>U449-G449</f>
        <v>0</v>
      </c>
      <c r="AJ449" s="1621">
        <f>AI449*6</f>
        <v>0</v>
      </c>
      <c r="AK449" s="1448" t="e">
        <f t="shared" si="405"/>
        <v>#DIV/0!</v>
      </c>
      <c r="AL449" s="1431" t="e">
        <f t="shared" si="392"/>
        <v>#DIV/0!</v>
      </c>
    </row>
    <row r="450" spans="1:38" s="561" customFormat="1" ht="27.75" hidden="1" customHeight="1">
      <c r="A450" s="1375"/>
      <c r="B450" s="764" t="s">
        <v>2651</v>
      </c>
      <c r="C450" s="1476">
        <f>D450+E450</f>
        <v>2</v>
      </c>
      <c r="D450" s="1476">
        <v>2</v>
      </c>
      <c r="E450" s="1476"/>
      <c r="F450" s="1476">
        <v>1</v>
      </c>
      <c r="G450" s="1637">
        <f>H450+I450+T450</f>
        <v>3.7594634999999998</v>
      </c>
      <c r="H450" s="1638">
        <f>(2.19)*1.39</f>
        <v>3.0440999999999998</v>
      </c>
      <c r="I450" s="1637">
        <f>SUM(J450:S450)</f>
        <v>0</v>
      </c>
      <c r="J450" s="1638"/>
      <c r="K450" s="1638"/>
      <c r="L450" s="1638"/>
      <c r="M450" s="1638"/>
      <c r="N450" s="1638"/>
      <c r="O450" s="1638"/>
      <c r="P450" s="1638"/>
      <c r="Q450" s="1638"/>
      <c r="R450" s="1638"/>
      <c r="S450" s="1638"/>
      <c r="T450" s="1639">
        <f>(H450+K450+L450)*23.5%</f>
        <v>0.71536349999999993</v>
      </c>
      <c r="U450" s="1637">
        <f>V450+W450+AH450</f>
        <v>4.0299285000000005</v>
      </c>
      <c r="V450" s="1638">
        <f>2.19*1.49</f>
        <v>3.2631000000000001</v>
      </c>
      <c r="W450" s="1637">
        <f>SUM(X450:AG450)</f>
        <v>0</v>
      </c>
      <c r="X450" s="1638"/>
      <c r="Y450" s="1638"/>
      <c r="Z450" s="1638"/>
      <c r="AA450" s="1638"/>
      <c r="AB450" s="1638"/>
      <c r="AC450" s="1638"/>
      <c r="AD450" s="1638"/>
      <c r="AE450" s="1638"/>
      <c r="AF450" s="1638"/>
      <c r="AG450" s="1638"/>
      <c r="AH450" s="1639">
        <f>(V450+Y450+Z450)*23.5%</f>
        <v>0.76682850000000002</v>
      </c>
      <c r="AI450" s="1621">
        <f>U450-G450</f>
        <v>0.27046500000000062</v>
      </c>
      <c r="AJ450" s="1621">
        <f>AI450*6</f>
        <v>1.6227900000000037</v>
      </c>
      <c r="AK450" s="1448">
        <f t="shared" si="405"/>
        <v>0.27046500000000062</v>
      </c>
      <c r="AL450" s="1431">
        <f t="shared" si="392"/>
        <v>107.19424460431657</v>
      </c>
    </row>
    <row r="451" spans="1:38" s="561" customFormat="1" ht="27.75" hidden="1" customHeight="1">
      <c r="A451" s="1445">
        <v>4</v>
      </c>
      <c r="B451" s="1446" t="s">
        <v>2532</v>
      </c>
      <c r="C451" s="1467">
        <f>C452</f>
        <v>30</v>
      </c>
      <c r="D451" s="1467">
        <f>D452</f>
        <v>30</v>
      </c>
      <c r="E451" s="1467">
        <f>E452</f>
        <v>0</v>
      </c>
      <c r="F451" s="1467">
        <f t="shared" ref="F451:AI451" si="420">F452</f>
        <v>26</v>
      </c>
      <c r="G451" s="1616">
        <f t="shared" si="420"/>
        <v>93.726343359999987</v>
      </c>
      <c r="H451" s="1616">
        <f t="shared" si="420"/>
        <v>75.560399999999987</v>
      </c>
      <c r="I451" s="1616">
        <f t="shared" si="420"/>
        <v>0.331376</v>
      </c>
      <c r="J451" s="1616">
        <f t="shared" si="420"/>
        <v>0</v>
      </c>
      <c r="K451" s="1616">
        <f t="shared" si="420"/>
        <v>0</v>
      </c>
      <c r="L451" s="1616">
        <f t="shared" si="420"/>
        <v>0.331376</v>
      </c>
      <c r="M451" s="1616">
        <f t="shared" si="420"/>
        <v>0</v>
      </c>
      <c r="N451" s="1616">
        <f t="shared" si="420"/>
        <v>0</v>
      </c>
      <c r="O451" s="1616">
        <f t="shared" si="420"/>
        <v>0</v>
      </c>
      <c r="P451" s="1616">
        <f t="shared" si="420"/>
        <v>0</v>
      </c>
      <c r="Q451" s="1616">
        <f t="shared" si="420"/>
        <v>0</v>
      </c>
      <c r="R451" s="1616">
        <f t="shared" si="420"/>
        <v>0</v>
      </c>
      <c r="S451" s="1616">
        <f t="shared" si="420"/>
        <v>0</v>
      </c>
      <c r="T451" s="1616">
        <f t="shared" si="420"/>
        <v>17.834567360000001</v>
      </c>
      <c r="U451" s="1616">
        <f t="shared" si="420"/>
        <v>100.46924576000001</v>
      </c>
      <c r="V451" s="1616">
        <f t="shared" si="420"/>
        <v>80.996399999999994</v>
      </c>
      <c r="W451" s="1616">
        <f t="shared" si="420"/>
        <v>0.35521600000000003</v>
      </c>
      <c r="X451" s="1616">
        <f t="shared" si="420"/>
        <v>0</v>
      </c>
      <c r="Y451" s="1616">
        <f t="shared" si="420"/>
        <v>0</v>
      </c>
      <c r="Z451" s="1616">
        <f t="shared" si="420"/>
        <v>0.35521600000000003</v>
      </c>
      <c r="AA451" s="1616">
        <f t="shared" si="420"/>
        <v>0</v>
      </c>
      <c r="AB451" s="1616">
        <f t="shared" si="420"/>
        <v>0</v>
      </c>
      <c r="AC451" s="1616">
        <f t="shared" si="420"/>
        <v>0</v>
      </c>
      <c r="AD451" s="1616">
        <f t="shared" si="420"/>
        <v>0</v>
      </c>
      <c r="AE451" s="1616">
        <f t="shared" si="420"/>
        <v>0</v>
      </c>
      <c r="AF451" s="1616">
        <f t="shared" si="420"/>
        <v>0</v>
      </c>
      <c r="AG451" s="1616">
        <f t="shared" si="420"/>
        <v>0</v>
      </c>
      <c r="AH451" s="1616">
        <f t="shared" si="420"/>
        <v>19.11762976</v>
      </c>
      <c r="AI451" s="1616">
        <f t="shared" si="420"/>
        <v>6.7429024000000046</v>
      </c>
      <c r="AJ451" s="1616">
        <f>AJ452</f>
        <v>40.457414400000026</v>
      </c>
      <c r="AK451" s="1448">
        <f t="shared" si="405"/>
        <v>0.25934240000000019</v>
      </c>
      <c r="AL451" s="1431">
        <f t="shared" si="392"/>
        <v>107.19424460431657</v>
      </c>
    </row>
    <row r="452" spans="1:38" s="561" customFormat="1" ht="27.75" hidden="1" customHeight="1">
      <c r="A452" s="1375">
        <v>14</v>
      </c>
      <c r="B452" s="1376" t="s">
        <v>2652</v>
      </c>
      <c r="C452" s="560">
        <f>SUM(C453:C458)</f>
        <v>30</v>
      </c>
      <c r="D452" s="560">
        <f t="shared" ref="D452:AJ452" si="421">SUM(D453:D458)</f>
        <v>30</v>
      </c>
      <c r="E452" s="560">
        <f t="shared" si="421"/>
        <v>0</v>
      </c>
      <c r="F452" s="560">
        <f t="shared" si="421"/>
        <v>26</v>
      </c>
      <c r="G452" s="1617">
        <f t="shared" si="421"/>
        <v>93.726343359999987</v>
      </c>
      <c r="H452" s="1617">
        <f t="shared" si="421"/>
        <v>75.560399999999987</v>
      </c>
      <c r="I452" s="1617">
        <f t="shared" si="421"/>
        <v>0.331376</v>
      </c>
      <c r="J452" s="1617">
        <f t="shared" si="421"/>
        <v>0</v>
      </c>
      <c r="K452" s="1617">
        <f t="shared" si="421"/>
        <v>0</v>
      </c>
      <c r="L452" s="1617">
        <f t="shared" si="421"/>
        <v>0.331376</v>
      </c>
      <c r="M452" s="1617">
        <f t="shared" si="421"/>
        <v>0</v>
      </c>
      <c r="N452" s="1617">
        <f t="shared" si="421"/>
        <v>0</v>
      </c>
      <c r="O452" s="1617">
        <f t="shared" si="421"/>
        <v>0</v>
      </c>
      <c r="P452" s="1617">
        <f t="shared" si="421"/>
        <v>0</v>
      </c>
      <c r="Q452" s="1617">
        <f t="shared" si="421"/>
        <v>0</v>
      </c>
      <c r="R452" s="1617">
        <f t="shared" si="421"/>
        <v>0</v>
      </c>
      <c r="S452" s="1617">
        <f t="shared" si="421"/>
        <v>0</v>
      </c>
      <c r="T452" s="1617">
        <f t="shared" si="421"/>
        <v>17.834567360000001</v>
      </c>
      <c r="U452" s="1617">
        <f>SUM(U453:U458)</f>
        <v>100.46924576000001</v>
      </c>
      <c r="V452" s="1617">
        <f t="shared" si="421"/>
        <v>80.996399999999994</v>
      </c>
      <c r="W452" s="1617">
        <f t="shared" si="421"/>
        <v>0.35521600000000003</v>
      </c>
      <c r="X452" s="1617">
        <f t="shared" si="421"/>
        <v>0</v>
      </c>
      <c r="Y452" s="1617">
        <f t="shared" si="421"/>
        <v>0</v>
      </c>
      <c r="Z452" s="1617">
        <f t="shared" si="421"/>
        <v>0.35521600000000003</v>
      </c>
      <c r="AA452" s="1617">
        <f t="shared" si="421"/>
        <v>0</v>
      </c>
      <c r="AB452" s="1617">
        <f t="shared" si="421"/>
        <v>0</v>
      </c>
      <c r="AC452" s="1617">
        <f t="shared" si="421"/>
        <v>0</v>
      </c>
      <c r="AD452" s="1617">
        <f t="shared" si="421"/>
        <v>0</v>
      </c>
      <c r="AE452" s="1617">
        <f t="shared" si="421"/>
        <v>0</v>
      </c>
      <c r="AF452" s="1617">
        <f t="shared" si="421"/>
        <v>0</v>
      </c>
      <c r="AG452" s="1617">
        <f t="shared" si="421"/>
        <v>0</v>
      </c>
      <c r="AH452" s="1617">
        <f t="shared" si="421"/>
        <v>19.11762976</v>
      </c>
      <c r="AI452" s="1617">
        <f t="shared" si="421"/>
        <v>6.7429024000000046</v>
      </c>
      <c r="AJ452" s="1617">
        <f t="shared" si="421"/>
        <v>40.457414400000026</v>
      </c>
      <c r="AK452" s="1448">
        <f t="shared" si="405"/>
        <v>0.25934240000000019</v>
      </c>
      <c r="AL452" s="1431">
        <f t="shared" si="392"/>
        <v>107.19424460431657</v>
      </c>
    </row>
    <row r="453" spans="1:38" s="561" customFormat="1" ht="27.75" hidden="1" customHeight="1">
      <c r="A453" s="1375"/>
      <c r="B453" s="764" t="s">
        <v>2653</v>
      </c>
      <c r="C453" s="1461">
        <v>6</v>
      </c>
      <c r="D453" s="1461">
        <v>6</v>
      </c>
      <c r="E453" s="1461"/>
      <c r="F453" s="1461">
        <v>4</v>
      </c>
      <c r="G453" s="1620">
        <f t="shared" ref="G453:G458" si="422">H453+I453+T453</f>
        <v>20.288056359999999</v>
      </c>
      <c r="H453" s="1624">
        <f>11.58*1.39</f>
        <v>16.0962</v>
      </c>
      <c r="I453" s="1620">
        <f t="shared" ref="I453:I458" si="423">SUM(J453:S453)</f>
        <v>0.331376</v>
      </c>
      <c r="J453" s="1630">
        <v>0</v>
      </c>
      <c r="K453" s="1630"/>
      <c r="L453" s="1624">
        <f>0.2384*1.39</f>
        <v>0.331376</v>
      </c>
      <c r="M453" s="1630"/>
      <c r="N453" s="1624"/>
      <c r="O453" s="1630"/>
      <c r="P453" s="1630"/>
      <c r="Q453" s="1630"/>
      <c r="R453" s="1630"/>
      <c r="S453" s="1630"/>
      <c r="T453" s="1621">
        <f>(H453+K453+L453+R453)*23.5%</f>
        <v>3.8604803599999995</v>
      </c>
      <c r="U453" s="1620">
        <f t="shared" ref="U453:U458" si="424">V453+W453+AH453</f>
        <v>21.747628759999998</v>
      </c>
      <c r="V453" s="1624">
        <f>(H453/1.39)*1.49</f>
        <v>17.254200000000001</v>
      </c>
      <c r="W453" s="1620">
        <f t="shared" ref="W453:W458" si="425">SUM(X453:AG453)</f>
        <v>0.35521600000000003</v>
      </c>
      <c r="X453" s="1706">
        <f t="shared" ref="X453:AG455" si="426">(J453/1.39)*1.49</f>
        <v>0</v>
      </c>
      <c r="Y453" s="1706">
        <f t="shared" si="426"/>
        <v>0</v>
      </c>
      <c r="Z453" s="1624">
        <f t="shared" si="426"/>
        <v>0.35521600000000003</v>
      </c>
      <c r="AA453" s="1706">
        <f t="shared" si="426"/>
        <v>0</v>
      </c>
      <c r="AB453" s="1624">
        <f t="shared" si="426"/>
        <v>0</v>
      </c>
      <c r="AC453" s="1706">
        <f t="shared" si="426"/>
        <v>0</v>
      </c>
      <c r="AD453" s="1706">
        <f t="shared" si="426"/>
        <v>0</v>
      </c>
      <c r="AE453" s="1706">
        <f t="shared" si="426"/>
        <v>0</v>
      </c>
      <c r="AF453" s="1706">
        <f t="shared" si="426"/>
        <v>0</v>
      </c>
      <c r="AG453" s="1706">
        <f t="shared" si="426"/>
        <v>0</v>
      </c>
      <c r="AH453" s="1620">
        <f>(V453+Y453+Z453+AF453)*23.5%</f>
        <v>4.13821276</v>
      </c>
      <c r="AI453" s="1621">
        <f t="shared" ref="AI453:AI458" si="427">U453-G453</f>
        <v>1.459572399999999</v>
      </c>
      <c r="AJ453" s="1621">
        <f t="shared" ref="AJ453:AJ458" si="428">AI453*6</f>
        <v>8.757434399999994</v>
      </c>
      <c r="AK453" s="1448">
        <f t="shared" si="405"/>
        <v>0.36489309999999975</v>
      </c>
      <c r="AL453" s="1431">
        <f t="shared" si="392"/>
        <v>107.19424460431655</v>
      </c>
    </row>
    <row r="454" spans="1:38" s="561" customFormat="1" ht="27.75" hidden="1" customHeight="1">
      <c r="A454" s="1375"/>
      <c r="B454" s="764" t="s">
        <v>2654</v>
      </c>
      <c r="C454" s="1461">
        <v>3</v>
      </c>
      <c r="D454" s="1461">
        <v>3</v>
      </c>
      <c r="E454" s="1461"/>
      <c r="F454" s="1461">
        <v>3</v>
      </c>
      <c r="G454" s="1620">
        <f t="shared" si="422"/>
        <v>5.2186159999999999</v>
      </c>
      <c r="H454" s="1624">
        <f>3.04*1.39</f>
        <v>4.2256</v>
      </c>
      <c r="I454" s="1620">
        <f t="shared" si="423"/>
        <v>0</v>
      </c>
      <c r="J454" s="1630"/>
      <c r="K454" s="1630">
        <f>0*1.39</f>
        <v>0</v>
      </c>
      <c r="L454" s="1624">
        <f>0*1.39</f>
        <v>0</v>
      </c>
      <c r="M454" s="1630"/>
      <c r="N454" s="1624"/>
      <c r="O454" s="1630">
        <f>0*1.39</f>
        <v>0</v>
      </c>
      <c r="P454" s="1630"/>
      <c r="Q454" s="1630"/>
      <c r="R454" s="1630">
        <f>0*1.39</f>
        <v>0</v>
      </c>
      <c r="S454" s="1630">
        <f>0*1.39</f>
        <v>0</v>
      </c>
      <c r="T454" s="1621">
        <f>(H454+K454+L454+R454)*23.5%</f>
        <v>0.9930159999999999</v>
      </c>
      <c r="U454" s="1620">
        <f t="shared" si="424"/>
        <v>5.5940560000000001</v>
      </c>
      <c r="V454" s="1624">
        <f>(H454/1.39)*1.49</f>
        <v>4.5296000000000003</v>
      </c>
      <c r="W454" s="1620">
        <f t="shared" si="425"/>
        <v>0</v>
      </c>
      <c r="X454" s="1706">
        <f t="shared" si="426"/>
        <v>0</v>
      </c>
      <c r="Y454" s="1706">
        <f t="shared" si="426"/>
        <v>0</v>
      </c>
      <c r="Z454" s="1624">
        <f t="shared" si="426"/>
        <v>0</v>
      </c>
      <c r="AA454" s="1706">
        <f t="shared" si="426"/>
        <v>0</v>
      </c>
      <c r="AB454" s="1624">
        <f t="shared" si="426"/>
        <v>0</v>
      </c>
      <c r="AC454" s="1706">
        <f t="shared" si="426"/>
        <v>0</v>
      </c>
      <c r="AD454" s="1706">
        <f t="shared" si="426"/>
        <v>0</v>
      </c>
      <c r="AE454" s="1706">
        <f t="shared" si="426"/>
        <v>0</v>
      </c>
      <c r="AF454" s="1706">
        <f t="shared" si="426"/>
        <v>0</v>
      </c>
      <c r="AG454" s="1706">
        <f t="shared" si="426"/>
        <v>0</v>
      </c>
      <c r="AH454" s="1620">
        <f>(V454+Y454+Z454+AF454)*23.5%</f>
        <v>1.0644560000000001</v>
      </c>
      <c r="AI454" s="1621">
        <f t="shared" si="427"/>
        <v>0.37544000000000022</v>
      </c>
      <c r="AJ454" s="1621">
        <f t="shared" si="428"/>
        <v>2.2526400000000013</v>
      </c>
      <c r="AK454" s="1448">
        <f t="shared" si="405"/>
        <v>0.12514666666666674</v>
      </c>
      <c r="AL454" s="1431">
        <f t="shared" si="392"/>
        <v>107.19424460431655</v>
      </c>
    </row>
    <row r="455" spans="1:38" s="561" customFormat="1" ht="27.75" hidden="1" customHeight="1">
      <c r="A455" s="1375"/>
      <c r="B455" s="764" t="s">
        <v>2655</v>
      </c>
      <c r="C455" s="1461">
        <v>4</v>
      </c>
      <c r="D455" s="1461">
        <v>4</v>
      </c>
      <c r="E455" s="1461"/>
      <c r="F455" s="1461">
        <v>4</v>
      </c>
      <c r="G455" s="1620">
        <f t="shared" si="422"/>
        <v>11.364222999999999</v>
      </c>
      <c r="H455" s="1624">
        <f>6.62*1.39</f>
        <v>9.2017999999999986</v>
      </c>
      <c r="I455" s="1620">
        <f t="shared" si="423"/>
        <v>0</v>
      </c>
      <c r="J455" s="1630"/>
      <c r="K455" s="1630">
        <f t="shared" ref="K455:L455" si="429">0*1.39</f>
        <v>0</v>
      </c>
      <c r="L455" s="1624">
        <f t="shared" si="429"/>
        <v>0</v>
      </c>
      <c r="M455" s="1630"/>
      <c r="N455" s="1624"/>
      <c r="O455" s="1630">
        <f t="shared" ref="O455" si="430">0*1.39</f>
        <v>0</v>
      </c>
      <c r="P455" s="1630"/>
      <c r="Q455" s="1630"/>
      <c r="R455" s="1630">
        <f t="shared" ref="R455:S455" si="431">0*1.39</f>
        <v>0</v>
      </c>
      <c r="S455" s="1630">
        <f t="shared" si="431"/>
        <v>0</v>
      </c>
      <c r="T455" s="1621">
        <f>(H455+K455+L455+R455)*23.5%</f>
        <v>2.1624229999999995</v>
      </c>
      <c r="U455" s="1620">
        <f t="shared" si="424"/>
        <v>12.181792999999999</v>
      </c>
      <c r="V455" s="1624">
        <f>(H455/1.39)*1.49</f>
        <v>9.8637999999999995</v>
      </c>
      <c r="W455" s="1620">
        <f t="shared" si="425"/>
        <v>0</v>
      </c>
      <c r="X455" s="1706">
        <f t="shared" si="426"/>
        <v>0</v>
      </c>
      <c r="Y455" s="1706">
        <f t="shared" si="426"/>
        <v>0</v>
      </c>
      <c r="Z455" s="1624">
        <f t="shared" si="426"/>
        <v>0</v>
      </c>
      <c r="AA455" s="1706">
        <f t="shared" si="426"/>
        <v>0</v>
      </c>
      <c r="AB455" s="1624">
        <f t="shared" si="426"/>
        <v>0</v>
      </c>
      <c r="AC455" s="1706">
        <f t="shared" si="426"/>
        <v>0</v>
      </c>
      <c r="AD455" s="1706">
        <f t="shared" si="426"/>
        <v>0</v>
      </c>
      <c r="AE455" s="1706">
        <f t="shared" si="426"/>
        <v>0</v>
      </c>
      <c r="AF455" s="1706">
        <f t="shared" si="426"/>
        <v>0</v>
      </c>
      <c r="AG455" s="1706">
        <f t="shared" si="426"/>
        <v>0</v>
      </c>
      <c r="AH455" s="1620">
        <f>(V455+Y455+Z455+AF455)*23.5%</f>
        <v>2.3179929999999995</v>
      </c>
      <c r="AI455" s="1621">
        <f t="shared" si="427"/>
        <v>0.81756999999999991</v>
      </c>
      <c r="AJ455" s="1621">
        <f t="shared" si="428"/>
        <v>4.9054199999999994</v>
      </c>
      <c r="AK455" s="1448">
        <f t="shared" si="405"/>
        <v>0.20439249999999998</v>
      </c>
      <c r="AL455" s="1431">
        <f t="shared" si="392"/>
        <v>107.19424460431655</v>
      </c>
    </row>
    <row r="456" spans="1:38" s="561" customFormat="1" ht="27.75" hidden="1" customHeight="1">
      <c r="A456" s="1375"/>
      <c r="B456" s="764" t="s">
        <v>2656</v>
      </c>
      <c r="C456" s="1455"/>
      <c r="D456" s="1455"/>
      <c r="E456" s="1455"/>
      <c r="F456" s="1455"/>
      <c r="G456" s="1614">
        <f t="shared" si="422"/>
        <v>0</v>
      </c>
      <c r="H456" s="1617"/>
      <c r="I456" s="1614">
        <f t="shared" si="423"/>
        <v>0</v>
      </c>
      <c r="J456" s="1617"/>
      <c r="K456" s="1617"/>
      <c r="L456" s="1617"/>
      <c r="M456" s="1617"/>
      <c r="N456" s="1617"/>
      <c r="O456" s="1617"/>
      <c r="P456" s="1617"/>
      <c r="Q456" s="1617"/>
      <c r="R456" s="1617"/>
      <c r="S456" s="1617"/>
      <c r="T456" s="1621"/>
      <c r="U456" s="1614">
        <f t="shared" si="424"/>
        <v>0</v>
      </c>
      <c r="V456" s="1617"/>
      <c r="W456" s="1614">
        <f t="shared" si="425"/>
        <v>0</v>
      </c>
      <c r="X456" s="1617"/>
      <c r="Y456" s="1617"/>
      <c r="Z456" s="1617"/>
      <c r="AA456" s="1617"/>
      <c r="AB456" s="1617"/>
      <c r="AC456" s="1617"/>
      <c r="AD456" s="1617"/>
      <c r="AE456" s="1617"/>
      <c r="AF456" s="1617"/>
      <c r="AG456" s="1617"/>
      <c r="AH456" s="1621"/>
      <c r="AI456" s="1621">
        <f t="shared" si="427"/>
        <v>0</v>
      </c>
      <c r="AJ456" s="1621">
        <f t="shared" si="428"/>
        <v>0</v>
      </c>
      <c r="AK456" s="1448" t="e">
        <f t="shared" si="405"/>
        <v>#DIV/0!</v>
      </c>
      <c r="AL456" s="1431" t="e">
        <f t="shared" si="392"/>
        <v>#DIV/0!</v>
      </c>
    </row>
    <row r="457" spans="1:38" s="561" customFormat="1" ht="27.75" hidden="1" customHeight="1">
      <c r="A457" s="1375"/>
      <c r="B457" s="764" t="s">
        <v>2657</v>
      </c>
      <c r="C457" s="1461">
        <v>12</v>
      </c>
      <c r="D457" s="1461">
        <v>12</v>
      </c>
      <c r="E457" s="1461"/>
      <c r="F457" s="1461">
        <v>10</v>
      </c>
      <c r="G457" s="1620">
        <f t="shared" si="422"/>
        <v>36.770643</v>
      </c>
      <c r="H457" s="1624">
        <f>21.42*1.39</f>
        <v>29.773800000000001</v>
      </c>
      <c r="I457" s="1620">
        <f t="shared" si="423"/>
        <v>0</v>
      </c>
      <c r="J457" s="1630"/>
      <c r="K457" s="1630">
        <f t="shared" ref="K457:L458" si="432">0*1.39</f>
        <v>0</v>
      </c>
      <c r="L457" s="1624">
        <f t="shared" si="432"/>
        <v>0</v>
      </c>
      <c r="M457" s="1630"/>
      <c r="N457" s="1624"/>
      <c r="O457" s="1630">
        <f t="shared" ref="O457:O458" si="433">0*1.39</f>
        <v>0</v>
      </c>
      <c r="P457" s="1630"/>
      <c r="Q457" s="1630"/>
      <c r="R457" s="1630">
        <f t="shared" ref="R457:S458" si="434">0*1.39</f>
        <v>0</v>
      </c>
      <c r="S457" s="1630">
        <f t="shared" si="434"/>
        <v>0</v>
      </c>
      <c r="T457" s="1621">
        <f>(H457+K457+L457+R457)*23.5%</f>
        <v>6.9968430000000001</v>
      </c>
      <c r="U457" s="1620">
        <f t="shared" si="424"/>
        <v>39.416013</v>
      </c>
      <c r="V457" s="1624">
        <f>(H457/1.39)*1.49</f>
        <v>31.915800000000001</v>
      </c>
      <c r="W457" s="1620">
        <f t="shared" si="425"/>
        <v>0</v>
      </c>
      <c r="X457" s="1706"/>
      <c r="Y457" s="1706">
        <f t="shared" ref="Y457:AG458" si="435">(K457/1.39)*1.49</f>
        <v>0</v>
      </c>
      <c r="Z457" s="1624">
        <f t="shared" si="435"/>
        <v>0</v>
      </c>
      <c r="AA457" s="1706">
        <f t="shared" si="435"/>
        <v>0</v>
      </c>
      <c r="AB457" s="1624">
        <f t="shared" si="435"/>
        <v>0</v>
      </c>
      <c r="AC457" s="1706">
        <f t="shared" si="435"/>
        <v>0</v>
      </c>
      <c r="AD457" s="1706">
        <f t="shared" si="435"/>
        <v>0</v>
      </c>
      <c r="AE457" s="1706">
        <f t="shared" si="435"/>
        <v>0</v>
      </c>
      <c r="AF457" s="1706">
        <f t="shared" si="435"/>
        <v>0</v>
      </c>
      <c r="AG457" s="1706">
        <f t="shared" si="435"/>
        <v>0</v>
      </c>
      <c r="AH457" s="1620">
        <f>(V457+Y457+Z457+AF457)*23.5%</f>
        <v>7.5002129999999996</v>
      </c>
      <c r="AI457" s="1621">
        <f t="shared" si="427"/>
        <v>2.6453699999999998</v>
      </c>
      <c r="AJ457" s="1621">
        <f t="shared" si="428"/>
        <v>15.872219999999999</v>
      </c>
      <c r="AK457" s="1448">
        <f t="shared" si="405"/>
        <v>0.26453699999999997</v>
      </c>
      <c r="AL457" s="1431">
        <f t="shared" si="392"/>
        <v>107.19424460431655</v>
      </c>
    </row>
    <row r="458" spans="1:38" s="561" customFormat="1" ht="27.75" hidden="1" customHeight="1">
      <c r="A458" s="1375"/>
      <c r="B458" s="764" t="s">
        <v>2658</v>
      </c>
      <c r="C458" s="1461">
        <v>5</v>
      </c>
      <c r="D458" s="1461">
        <v>5</v>
      </c>
      <c r="E458" s="1461"/>
      <c r="F458" s="1461">
        <v>5</v>
      </c>
      <c r="G458" s="1620">
        <f t="shared" si="422"/>
        <v>20.084804999999996</v>
      </c>
      <c r="H458" s="1624">
        <f>11.7*1.39</f>
        <v>16.262999999999998</v>
      </c>
      <c r="I458" s="1620">
        <f t="shared" si="423"/>
        <v>0</v>
      </c>
      <c r="J458" s="1630"/>
      <c r="K458" s="1630">
        <f t="shared" si="432"/>
        <v>0</v>
      </c>
      <c r="L458" s="1624">
        <f t="shared" si="432"/>
        <v>0</v>
      </c>
      <c r="M458" s="1630"/>
      <c r="N458" s="1624"/>
      <c r="O458" s="1630">
        <f t="shared" si="433"/>
        <v>0</v>
      </c>
      <c r="P458" s="1630"/>
      <c r="Q458" s="1630"/>
      <c r="R458" s="1630">
        <f t="shared" si="434"/>
        <v>0</v>
      </c>
      <c r="S458" s="1630">
        <f t="shared" si="434"/>
        <v>0</v>
      </c>
      <c r="T458" s="1621">
        <f>(H458+K458+L458+R458)*23.5%</f>
        <v>3.8218049999999995</v>
      </c>
      <c r="U458" s="1620">
        <f t="shared" si="424"/>
        <v>21.529755000000002</v>
      </c>
      <c r="V458" s="1624">
        <f>(H458/1.39)*1.49</f>
        <v>17.433</v>
      </c>
      <c r="W458" s="1620">
        <f t="shared" si="425"/>
        <v>0</v>
      </c>
      <c r="X458" s="1706"/>
      <c r="Y458" s="1706">
        <f t="shared" si="435"/>
        <v>0</v>
      </c>
      <c r="Z458" s="1624">
        <f t="shared" si="435"/>
        <v>0</v>
      </c>
      <c r="AA458" s="1706">
        <f t="shared" si="435"/>
        <v>0</v>
      </c>
      <c r="AB458" s="1624">
        <f t="shared" si="435"/>
        <v>0</v>
      </c>
      <c r="AC458" s="1706">
        <f t="shared" si="435"/>
        <v>0</v>
      </c>
      <c r="AD458" s="1706">
        <f t="shared" si="435"/>
        <v>0</v>
      </c>
      <c r="AE458" s="1706">
        <f t="shared" si="435"/>
        <v>0</v>
      </c>
      <c r="AF458" s="1706">
        <f t="shared" si="435"/>
        <v>0</v>
      </c>
      <c r="AG458" s="1706">
        <f t="shared" si="435"/>
        <v>0</v>
      </c>
      <c r="AH458" s="1620">
        <f>(V458+Y458+Z458+AF458)*23.5%</f>
        <v>4.0967549999999999</v>
      </c>
      <c r="AI458" s="1621">
        <f t="shared" si="427"/>
        <v>1.4449500000000057</v>
      </c>
      <c r="AJ458" s="1621">
        <f t="shared" si="428"/>
        <v>8.6697000000000344</v>
      </c>
      <c r="AK458" s="1448">
        <f t="shared" si="405"/>
        <v>0.28899000000000113</v>
      </c>
      <c r="AL458" s="1431">
        <f t="shared" si="392"/>
        <v>107.19424460431657</v>
      </c>
    </row>
    <row r="459" spans="1:38" s="561" customFormat="1" ht="27.75" hidden="1" customHeight="1">
      <c r="A459" s="1445">
        <v>5</v>
      </c>
      <c r="B459" s="1446" t="s">
        <v>2533</v>
      </c>
      <c r="C459" s="1467">
        <f>C460</f>
        <v>5</v>
      </c>
      <c r="D459" s="1467">
        <f>D460</f>
        <v>5</v>
      </c>
      <c r="E459" s="1467">
        <f>E460</f>
        <v>0</v>
      </c>
      <c r="F459" s="1467">
        <f t="shared" ref="F459:AJ459" si="436">F460</f>
        <v>4</v>
      </c>
      <c r="G459" s="1616">
        <f t="shared" si="436"/>
        <v>16.479839999999999</v>
      </c>
      <c r="H459" s="1616">
        <f t="shared" si="436"/>
        <v>13.343999999999999</v>
      </c>
      <c r="I459" s="1616">
        <f t="shared" si="436"/>
        <v>0</v>
      </c>
      <c r="J459" s="1616">
        <f t="shared" si="436"/>
        <v>0</v>
      </c>
      <c r="K459" s="1616">
        <f t="shared" si="436"/>
        <v>0</v>
      </c>
      <c r="L459" s="1616">
        <f t="shared" si="436"/>
        <v>0</v>
      </c>
      <c r="M459" s="1616">
        <f t="shared" si="436"/>
        <v>0</v>
      </c>
      <c r="N459" s="1616">
        <f t="shared" si="436"/>
        <v>0</v>
      </c>
      <c r="O459" s="1616">
        <f t="shared" si="436"/>
        <v>0</v>
      </c>
      <c r="P459" s="1616">
        <f t="shared" si="436"/>
        <v>0</v>
      </c>
      <c r="Q459" s="1616">
        <f t="shared" si="436"/>
        <v>0</v>
      </c>
      <c r="R459" s="1616">
        <f t="shared" si="436"/>
        <v>0</v>
      </c>
      <c r="S459" s="1616">
        <f t="shared" si="436"/>
        <v>0</v>
      </c>
      <c r="T459" s="1616">
        <f t="shared" si="436"/>
        <v>3.1358399999999995</v>
      </c>
      <c r="U459" s="1616">
        <f t="shared" si="436"/>
        <v>17.66544</v>
      </c>
      <c r="V459" s="1616">
        <f t="shared" si="436"/>
        <v>14.304</v>
      </c>
      <c r="W459" s="1616">
        <f t="shared" si="436"/>
        <v>0</v>
      </c>
      <c r="X459" s="1616">
        <f t="shared" si="436"/>
        <v>0</v>
      </c>
      <c r="Y459" s="1616">
        <f t="shared" si="436"/>
        <v>0</v>
      </c>
      <c r="Z459" s="1616">
        <f t="shared" si="436"/>
        <v>0</v>
      </c>
      <c r="AA459" s="1616">
        <f t="shared" si="436"/>
        <v>0</v>
      </c>
      <c r="AB459" s="1616">
        <f t="shared" si="436"/>
        <v>0</v>
      </c>
      <c r="AC459" s="1616">
        <f t="shared" si="436"/>
        <v>0</v>
      </c>
      <c r="AD459" s="1616">
        <f t="shared" si="436"/>
        <v>0</v>
      </c>
      <c r="AE459" s="1616">
        <f t="shared" si="436"/>
        <v>0</v>
      </c>
      <c r="AF459" s="1616">
        <f t="shared" si="436"/>
        <v>0</v>
      </c>
      <c r="AG459" s="1616">
        <f t="shared" si="436"/>
        <v>0</v>
      </c>
      <c r="AH459" s="1616">
        <f t="shared" si="436"/>
        <v>3.36144</v>
      </c>
      <c r="AI459" s="1616">
        <f t="shared" si="436"/>
        <v>1.1856000000000009</v>
      </c>
      <c r="AJ459" s="1616">
        <f t="shared" si="436"/>
        <v>7.1136000000000053</v>
      </c>
      <c r="AK459" s="1448">
        <f t="shared" si="405"/>
        <v>0.29640000000000022</v>
      </c>
      <c r="AL459" s="1431">
        <f t="shared" si="392"/>
        <v>107.19424460431655</v>
      </c>
    </row>
    <row r="460" spans="1:38" s="561" customFormat="1" ht="27.75" hidden="1" customHeight="1">
      <c r="A460" s="1375">
        <v>15</v>
      </c>
      <c r="B460" s="764" t="s">
        <v>2294</v>
      </c>
      <c r="C460" s="1476">
        <f t="shared" ref="C460" si="437">D460+E460</f>
        <v>5</v>
      </c>
      <c r="D460" s="1476">
        <v>5</v>
      </c>
      <c r="E460" s="1476"/>
      <c r="F460" s="1476">
        <v>4</v>
      </c>
      <c r="G460" s="1637">
        <f>H460+I460+T460</f>
        <v>16.479839999999999</v>
      </c>
      <c r="H460" s="1638">
        <f>9.6*1.39</f>
        <v>13.343999999999999</v>
      </c>
      <c r="I460" s="1637">
        <f>SUM(J460:S460)</f>
        <v>0</v>
      </c>
      <c r="J460" s="1638"/>
      <c r="K460" s="1638"/>
      <c r="L460" s="1638"/>
      <c r="M460" s="1638"/>
      <c r="N460" s="1638"/>
      <c r="O460" s="1638"/>
      <c r="P460" s="1638"/>
      <c r="Q460" s="1638"/>
      <c r="R460" s="1638"/>
      <c r="S460" s="1638"/>
      <c r="T460" s="1639">
        <f>(H460+K460+L460)*23.5%</f>
        <v>3.1358399999999995</v>
      </c>
      <c r="U460" s="1637">
        <f>V460+W460+AH460</f>
        <v>17.66544</v>
      </c>
      <c r="V460" s="1638">
        <f>9.6*1.49</f>
        <v>14.304</v>
      </c>
      <c r="W460" s="1637">
        <f>SUM(X460:AG460)</f>
        <v>0</v>
      </c>
      <c r="X460" s="1638"/>
      <c r="Y460" s="1638"/>
      <c r="Z460" s="1638"/>
      <c r="AA460" s="1638"/>
      <c r="AB460" s="1638"/>
      <c r="AC460" s="1638"/>
      <c r="AD460" s="1638"/>
      <c r="AE460" s="1638"/>
      <c r="AF460" s="1638"/>
      <c r="AG460" s="1638"/>
      <c r="AH460" s="1639">
        <f>(V460+Y460+Z460)*23.5%</f>
        <v>3.36144</v>
      </c>
      <c r="AI460" s="1621">
        <f>U460-G460</f>
        <v>1.1856000000000009</v>
      </c>
      <c r="AJ460" s="1621">
        <f>AI460*6</f>
        <v>7.1136000000000053</v>
      </c>
      <c r="AK460" s="1448">
        <f t="shared" si="405"/>
        <v>0.29640000000000022</v>
      </c>
      <c r="AL460" s="1431">
        <f t="shared" si="392"/>
        <v>107.19424460431655</v>
      </c>
    </row>
    <row r="461" spans="1:38" s="561" customFormat="1" ht="27.75" hidden="1" customHeight="1">
      <c r="A461" s="1445">
        <v>6</v>
      </c>
      <c r="B461" s="1446" t="s">
        <v>2534</v>
      </c>
      <c r="C461" s="1467">
        <f>C462</f>
        <v>6</v>
      </c>
      <c r="D461" s="1467">
        <f t="shared" ref="D461:U462" si="438">D462</f>
        <v>6</v>
      </c>
      <c r="E461" s="1467">
        <f t="shared" si="438"/>
        <v>0</v>
      </c>
      <c r="F461" s="1467">
        <f t="shared" si="438"/>
        <v>5</v>
      </c>
      <c r="G461" s="1616">
        <f t="shared" si="438"/>
        <v>19.657310499999998</v>
      </c>
      <c r="H461" s="1616">
        <f t="shared" si="438"/>
        <v>15.804299999999998</v>
      </c>
      <c r="I461" s="1616">
        <f t="shared" si="438"/>
        <v>0.13899999999999998</v>
      </c>
      <c r="J461" s="1616">
        <f t="shared" si="438"/>
        <v>0</v>
      </c>
      <c r="K461" s="1616">
        <f t="shared" si="438"/>
        <v>0</v>
      </c>
      <c r="L461" s="1616">
        <f t="shared" si="438"/>
        <v>0</v>
      </c>
      <c r="M461" s="1616">
        <f t="shared" si="438"/>
        <v>0</v>
      </c>
      <c r="N461" s="1616">
        <f t="shared" si="438"/>
        <v>0</v>
      </c>
      <c r="O461" s="1616">
        <f t="shared" si="438"/>
        <v>0</v>
      </c>
      <c r="P461" s="1616">
        <f t="shared" si="438"/>
        <v>0</v>
      </c>
      <c r="Q461" s="1616">
        <f t="shared" si="438"/>
        <v>0</v>
      </c>
      <c r="R461" s="1616">
        <f t="shared" si="438"/>
        <v>0</v>
      </c>
      <c r="S461" s="1616">
        <f t="shared" si="438"/>
        <v>0.13899999999999998</v>
      </c>
      <c r="T461" s="1616">
        <f t="shared" si="438"/>
        <v>3.7140104999999992</v>
      </c>
      <c r="U461" s="1616">
        <f t="shared" si="438"/>
        <v>21.071505499999997</v>
      </c>
      <c r="V461" s="1644">
        <f>(H461/1.3)*1.39</f>
        <v>16.898443846153842</v>
      </c>
      <c r="W461" s="1644">
        <f>SUM(X461:AG461)</f>
        <v>0.14862307692307689</v>
      </c>
      <c r="X461" s="1644">
        <f t="shared" ref="X461:AG461" si="439">(J461/1.3)*1.39</f>
        <v>0</v>
      </c>
      <c r="Y461" s="1644">
        <f t="shared" si="439"/>
        <v>0</v>
      </c>
      <c r="Z461" s="1644">
        <f t="shared" si="439"/>
        <v>0</v>
      </c>
      <c r="AA461" s="1644">
        <f t="shared" si="439"/>
        <v>0</v>
      </c>
      <c r="AB461" s="1644">
        <f t="shared" si="439"/>
        <v>0</v>
      </c>
      <c r="AC461" s="1644">
        <f t="shared" si="439"/>
        <v>0</v>
      </c>
      <c r="AD461" s="1644">
        <f t="shared" si="439"/>
        <v>0</v>
      </c>
      <c r="AE461" s="1644">
        <f t="shared" si="439"/>
        <v>0</v>
      </c>
      <c r="AF461" s="1644">
        <f t="shared" si="439"/>
        <v>0</v>
      </c>
      <c r="AG461" s="1644">
        <f t="shared" si="439"/>
        <v>0.14862307692307689</v>
      </c>
      <c r="AH461" s="1644">
        <f>(V461+Y461+Z461+AF461)*23.5%</f>
        <v>3.9711343038461528</v>
      </c>
      <c r="AI461" s="1645">
        <f>U461-G461</f>
        <v>1.4141949999999994</v>
      </c>
      <c r="AJ461" s="1645">
        <f>AI461*6</f>
        <v>8.4851699999999965</v>
      </c>
      <c r="AK461" s="1448">
        <f t="shared" si="405"/>
        <v>0.2828389999999999</v>
      </c>
      <c r="AL461" s="1431">
        <f t="shared" si="392"/>
        <v>107.19424460431655</v>
      </c>
    </row>
    <row r="462" spans="1:38" s="561" customFormat="1" ht="27.75" hidden="1" customHeight="1">
      <c r="A462" s="1375">
        <v>16</v>
      </c>
      <c r="B462" s="1376" t="s">
        <v>2652</v>
      </c>
      <c r="C462" s="1455">
        <f>C463</f>
        <v>6</v>
      </c>
      <c r="D462" s="1455">
        <f t="shared" si="438"/>
        <v>6</v>
      </c>
      <c r="E462" s="1455">
        <f t="shared" si="438"/>
        <v>0</v>
      </c>
      <c r="F462" s="1455">
        <f t="shared" si="438"/>
        <v>5</v>
      </c>
      <c r="G462" s="1617">
        <f t="shared" si="438"/>
        <v>19.657310499999998</v>
      </c>
      <c r="H462" s="1617">
        <f t="shared" si="438"/>
        <v>15.804299999999998</v>
      </c>
      <c r="I462" s="1617">
        <f t="shared" si="438"/>
        <v>0.13899999999999998</v>
      </c>
      <c r="J462" s="1617">
        <f t="shared" si="438"/>
        <v>0</v>
      </c>
      <c r="K462" s="1617">
        <f t="shared" si="438"/>
        <v>0</v>
      </c>
      <c r="L462" s="1617">
        <f t="shared" si="438"/>
        <v>0</v>
      </c>
      <c r="M462" s="1617">
        <f t="shared" si="438"/>
        <v>0</v>
      </c>
      <c r="N462" s="1617">
        <f t="shared" si="438"/>
        <v>0</v>
      </c>
      <c r="O462" s="1617">
        <f t="shared" si="438"/>
        <v>0</v>
      </c>
      <c r="P462" s="1617">
        <f t="shared" si="438"/>
        <v>0</v>
      </c>
      <c r="Q462" s="1617">
        <f t="shared" si="438"/>
        <v>0</v>
      </c>
      <c r="R462" s="1617">
        <f t="shared" si="438"/>
        <v>0</v>
      </c>
      <c r="S462" s="1617">
        <f t="shared" si="438"/>
        <v>0.13899999999999998</v>
      </c>
      <c r="T462" s="1617">
        <f t="shared" si="438"/>
        <v>3.7140104999999992</v>
      </c>
      <c r="U462" s="1617">
        <f t="shared" si="438"/>
        <v>21.071505499999997</v>
      </c>
      <c r="V462" s="1617">
        <f t="shared" ref="V462:AJ462" si="440">V463</f>
        <v>16.941299999999998</v>
      </c>
      <c r="W462" s="1617">
        <f t="shared" si="440"/>
        <v>0.14899999999999999</v>
      </c>
      <c r="X462" s="1617">
        <f t="shared" si="440"/>
        <v>0</v>
      </c>
      <c r="Y462" s="1617">
        <f t="shared" si="440"/>
        <v>0</v>
      </c>
      <c r="Z462" s="1617">
        <f t="shared" si="440"/>
        <v>0</v>
      </c>
      <c r="AA462" s="1617">
        <f t="shared" si="440"/>
        <v>0</v>
      </c>
      <c r="AB462" s="1617">
        <f t="shared" si="440"/>
        <v>0</v>
      </c>
      <c r="AC462" s="1617">
        <f t="shared" si="440"/>
        <v>0</v>
      </c>
      <c r="AD462" s="1617">
        <f t="shared" si="440"/>
        <v>0</v>
      </c>
      <c r="AE462" s="1617">
        <f t="shared" si="440"/>
        <v>0</v>
      </c>
      <c r="AF462" s="1617">
        <f t="shared" si="440"/>
        <v>0</v>
      </c>
      <c r="AG462" s="1617">
        <f t="shared" si="440"/>
        <v>0.14899999999999999</v>
      </c>
      <c r="AH462" s="1617">
        <f t="shared" si="440"/>
        <v>3.9812054999999993</v>
      </c>
      <c r="AI462" s="1617">
        <f t="shared" si="440"/>
        <v>1.4141949999999994</v>
      </c>
      <c r="AJ462" s="1617">
        <f t="shared" si="440"/>
        <v>8.4851699999999965</v>
      </c>
      <c r="AK462" s="1448">
        <f t="shared" si="405"/>
        <v>0.2828389999999999</v>
      </c>
      <c r="AL462" s="1431">
        <f t="shared" si="392"/>
        <v>107.19424460431655</v>
      </c>
    </row>
    <row r="463" spans="1:38" s="561" customFormat="1" ht="27.75" hidden="1" customHeight="1">
      <c r="A463" s="1375"/>
      <c r="B463" s="764" t="s">
        <v>2656</v>
      </c>
      <c r="C463" s="1461">
        <v>6</v>
      </c>
      <c r="D463" s="1461">
        <v>6</v>
      </c>
      <c r="E463" s="1461"/>
      <c r="F463" s="1461">
        <v>5</v>
      </c>
      <c r="G463" s="1620">
        <f>H463+I463+T463</f>
        <v>19.657310499999998</v>
      </c>
      <c r="H463" s="1624">
        <f>11.37*1.39</f>
        <v>15.804299999999998</v>
      </c>
      <c r="I463" s="1620">
        <f>SUM(J463:S463)</f>
        <v>0.13899999999999998</v>
      </c>
      <c r="J463" s="1630"/>
      <c r="K463" s="1630">
        <f t="shared" ref="K463:L463" si="441">0*1.39</f>
        <v>0</v>
      </c>
      <c r="L463" s="1624">
        <f t="shared" si="441"/>
        <v>0</v>
      </c>
      <c r="M463" s="1630"/>
      <c r="N463" s="1624"/>
      <c r="O463" s="1630">
        <f t="shared" ref="O463" si="442">0*1.39</f>
        <v>0</v>
      </c>
      <c r="P463" s="1630"/>
      <c r="Q463" s="1630"/>
      <c r="R463" s="1630">
        <f t="shared" ref="R463" si="443">0*1.39</f>
        <v>0</v>
      </c>
      <c r="S463" s="1630">
        <f>0.1*1.39</f>
        <v>0.13899999999999998</v>
      </c>
      <c r="T463" s="1621">
        <f>(H463+K463+L463+R463)*23.5%</f>
        <v>3.7140104999999992</v>
      </c>
      <c r="U463" s="1620">
        <f>V463+W463+AH463</f>
        <v>21.071505499999997</v>
      </c>
      <c r="V463" s="1624">
        <f>(H463/1.39)*1.49</f>
        <v>16.941299999999998</v>
      </c>
      <c r="W463" s="1620">
        <f>SUM(X463:AG463)</f>
        <v>0.14899999999999999</v>
      </c>
      <c r="X463" s="1706"/>
      <c r="Y463" s="1706">
        <f t="shared" ref="Y463:AG463" si="444">(K463/1.39)*1.49</f>
        <v>0</v>
      </c>
      <c r="Z463" s="1624">
        <f t="shared" si="444"/>
        <v>0</v>
      </c>
      <c r="AA463" s="1706">
        <f t="shared" si="444"/>
        <v>0</v>
      </c>
      <c r="AB463" s="1624">
        <f t="shared" si="444"/>
        <v>0</v>
      </c>
      <c r="AC463" s="1706">
        <f t="shared" si="444"/>
        <v>0</v>
      </c>
      <c r="AD463" s="1706">
        <f t="shared" si="444"/>
        <v>0</v>
      </c>
      <c r="AE463" s="1706">
        <f t="shared" si="444"/>
        <v>0</v>
      </c>
      <c r="AF463" s="1706">
        <f t="shared" si="444"/>
        <v>0</v>
      </c>
      <c r="AG463" s="1706">
        <f t="shared" si="444"/>
        <v>0.14899999999999999</v>
      </c>
      <c r="AH463" s="1620">
        <f>(V463+Y463+Z463+AF463)*23.5%</f>
        <v>3.9812054999999993</v>
      </c>
      <c r="AI463" s="1621">
        <f>U463-G463</f>
        <v>1.4141949999999994</v>
      </c>
      <c r="AJ463" s="1621">
        <f>AI463*6</f>
        <v>8.4851699999999965</v>
      </c>
      <c r="AK463" s="1448">
        <f t="shared" si="405"/>
        <v>0.2828389999999999</v>
      </c>
      <c r="AL463" s="1431">
        <f t="shared" si="392"/>
        <v>107.19424460431655</v>
      </c>
    </row>
    <row r="464" spans="1:38" s="561" customFormat="1" ht="27.75" hidden="1" customHeight="1">
      <c r="A464" s="1445">
        <v>7</v>
      </c>
      <c r="B464" s="1446" t="s">
        <v>2535</v>
      </c>
      <c r="C464" s="1467">
        <f>C465</f>
        <v>29</v>
      </c>
      <c r="D464" s="1467">
        <f t="shared" ref="D464:AJ464" si="445">D465</f>
        <v>29</v>
      </c>
      <c r="E464" s="1467">
        <f t="shared" si="445"/>
        <v>0</v>
      </c>
      <c r="F464" s="1467">
        <f t="shared" si="445"/>
        <v>28</v>
      </c>
      <c r="G464" s="1616">
        <f t="shared" si="445"/>
        <v>187.45915780000001</v>
      </c>
      <c r="H464" s="1616">
        <f t="shared" si="445"/>
        <v>83.066400000000002</v>
      </c>
      <c r="I464" s="1616">
        <f t="shared" si="445"/>
        <v>84.482787000000002</v>
      </c>
      <c r="J464" s="1616">
        <f t="shared" si="445"/>
        <v>0</v>
      </c>
      <c r="K464" s="1616">
        <f t="shared" si="445"/>
        <v>0</v>
      </c>
      <c r="L464" s="1616">
        <f t="shared" si="445"/>
        <v>1.6568799999999999</v>
      </c>
      <c r="M464" s="1616">
        <f t="shared" si="445"/>
        <v>25.929870999999999</v>
      </c>
      <c r="N464" s="1616">
        <f t="shared" si="445"/>
        <v>54.227235999999991</v>
      </c>
      <c r="O464" s="1616">
        <f t="shared" si="445"/>
        <v>0</v>
      </c>
      <c r="P464" s="1616">
        <f t="shared" si="445"/>
        <v>0.58379999999999987</v>
      </c>
      <c r="Q464" s="1616">
        <f t="shared" si="445"/>
        <v>0</v>
      </c>
      <c r="R464" s="1616">
        <f t="shared" si="445"/>
        <v>0</v>
      </c>
      <c r="S464" s="1616">
        <f t="shared" si="445"/>
        <v>2.0849999999999995</v>
      </c>
      <c r="T464" s="1616">
        <f t="shared" si="445"/>
        <v>19.909970799999996</v>
      </c>
      <c r="U464" s="1616">
        <f t="shared" si="445"/>
        <v>200.4044930733813</v>
      </c>
      <c r="V464" s="1616">
        <f t="shared" si="445"/>
        <v>89.042399999999986</v>
      </c>
      <c r="W464" s="1616">
        <f t="shared" si="445"/>
        <v>90.019750273381291</v>
      </c>
      <c r="X464" s="1616">
        <f t="shared" si="445"/>
        <v>0</v>
      </c>
      <c r="Y464" s="1616">
        <f t="shared" si="445"/>
        <v>0</v>
      </c>
      <c r="Z464" s="1616">
        <f t="shared" si="445"/>
        <v>1.7760799999999999</v>
      </c>
      <c r="AA464" s="1616">
        <f t="shared" si="445"/>
        <v>27.254394273381298</v>
      </c>
      <c r="AB464" s="1616">
        <f t="shared" si="445"/>
        <v>58.128475999999992</v>
      </c>
      <c r="AC464" s="1616">
        <f t="shared" si="445"/>
        <v>0</v>
      </c>
      <c r="AD464" s="1616">
        <f t="shared" si="445"/>
        <v>0.62579999999999991</v>
      </c>
      <c r="AE464" s="1616">
        <f t="shared" si="445"/>
        <v>0</v>
      </c>
      <c r="AF464" s="1616">
        <f t="shared" si="445"/>
        <v>0</v>
      </c>
      <c r="AG464" s="1616">
        <f t="shared" si="445"/>
        <v>2.2349999999999999</v>
      </c>
      <c r="AH464" s="1616">
        <f t="shared" si="445"/>
        <v>21.342342800000001</v>
      </c>
      <c r="AI464" s="1616">
        <f t="shared" si="445"/>
        <v>12.945335273381284</v>
      </c>
      <c r="AJ464" s="1616">
        <f t="shared" si="445"/>
        <v>77.672011640287707</v>
      </c>
      <c r="AK464" s="1448">
        <f t="shared" si="405"/>
        <v>0.46233340262076011</v>
      </c>
      <c r="AL464" s="1431">
        <f t="shared" si="392"/>
        <v>106.90568304333932</v>
      </c>
    </row>
    <row r="465" spans="1:38" s="561" customFormat="1" ht="27.75" hidden="1" customHeight="1">
      <c r="A465" s="1375">
        <v>17</v>
      </c>
      <c r="B465" s="764" t="s">
        <v>2659</v>
      </c>
      <c r="C465" s="1455">
        <f>SUM(C466:C471)</f>
        <v>29</v>
      </c>
      <c r="D465" s="1455">
        <f t="shared" ref="D465:AI465" si="446">SUM(D466:D471)</f>
        <v>29</v>
      </c>
      <c r="E465" s="1455">
        <f t="shared" si="446"/>
        <v>0</v>
      </c>
      <c r="F465" s="1455">
        <f t="shared" si="446"/>
        <v>28</v>
      </c>
      <c r="G465" s="1617">
        <f t="shared" si="446"/>
        <v>187.45915780000001</v>
      </c>
      <c r="H465" s="1617">
        <f t="shared" si="446"/>
        <v>83.066400000000002</v>
      </c>
      <c r="I465" s="1617">
        <f t="shared" si="446"/>
        <v>84.482787000000002</v>
      </c>
      <c r="J465" s="1617">
        <f t="shared" si="446"/>
        <v>0</v>
      </c>
      <c r="K465" s="1617">
        <f t="shared" si="446"/>
        <v>0</v>
      </c>
      <c r="L465" s="1617">
        <f t="shared" si="446"/>
        <v>1.6568799999999999</v>
      </c>
      <c r="M465" s="1617">
        <f t="shared" si="446"/>
        <v>25.929870999999999</v>
      </c>
      <c r="N465" s="1617">
        <f t="shared" si="446"/>
        <v>54.227235999999991</v>
      </c>
      <c r="O465" s="1617">
        <f t="shared" si="446"/>
        <v>0</v>
      </c>
      <c r="P465" s="1617">
        <f t="shared" si="446"/>
        <v>0.58379999999999987</v>
      </c>
      <c r="Q465" s="1617">
        <f t="shared" si="446"/>
        <v>0</v>
      </c>
      <c r="R465" s="1617">
        <f t="shared" si="446"/>
        <v>0</v>
      </c>
      <c r="S465" s="1617">
        <f t="shared" si="446"/>
        <v>2.0849999999999995</v>
      </c>
      <c r="T465" s="1617">
        <f t="shared" si="446"/>
        <v>19.909970799999996</v>
      </c>
      <c r="U465" s="1617">
        <f t="shared" si="446"/>
        <v>200.4044930733813</v>
      </c>
      <c r="V465" s="1617">
        <f t="shared" si="446"/>
        <v>89.042399999999986</v>
      </c>
      <c r="W465" s="1617">
        <f t="shared" si="446"/>
        <v>90.019750273381291</v>
      </c>
      <c r="X465" s="1617">
        <f t="shared" si="446"/>
        <v>0</v>
      </c>
      <c r="Y465" s="1617">
        <f t="shared" si="446"/>
        <v>0</v>
      </c>
      <c r="Z465" s="1617">
        <f t="shared" si="446"/>
        <v>1.7760799999999999</v>
      </c>
      <c r="AA465" s="1617">
        <f t="shared" si="446"/>
        <v>27.254394273381298</v>
      </c>
      <c r="AB465" s="1617">
        <f t="shared" si="446"/>
        <v>58.128475999999992</v>
      </c>
      <c r="AC465" s="1617">
        <f t="shared" si="446"/>
        <v>0</v>
      </c>
      <c r="AD465" s="1617">
        <f t="shared" si="446"/>
        <v>0.62579999999999991</v>
      </c>
      <c r="AE465" s="1617">
        <f t="shared" si="446"/>
        <v>0</v>
      </c>
      <c r="AF465" s="1617">
        <f t="shared" si="446"/>
        <v>0</v>
      </c>
      <c r="AG465" s="1617">
        <f t="shared" si="446"/>
        <v>2.2349999999999999</v>
      </c>
      <c r="AH465" s="1617">
        <f t="shared" si="446"/>
        <v>21.342342800000001</v>
      </c>
      <c r="AI465" s="1617">
        <f t="shared" si="446"/>
        <v>12.945335273381284</v>
      </c>
      <c r="AJ465" s="1617">
        <f>SUM(AJ466:AJ471)</f>
        <v>77.672011640287707</v>
      </c>
      <c r="AK465" s="1448">
        <f t="shared" si="405"/>
        <v>0.46233340262076011</v>
      </c>
      <c r="AL465" s="1431">
        <f t="shared" si="392"/>
        <v>106.90568304333932</v>
      </c>
    </row>
    <row r="466" spans="1:38" s="561" customFormat="1" ht="27.75" hidden="1" customHeight="1">
      <c r="A466" s="1375"/>
      <c r="B466" s="764" t="s">
        <v>2660</v>
      </c>
      <c r="C466" s="1455"/>
      <c r="D466" s="1455"/>
      <c r="E466" s="1455"/>
      <c r="F466" s="1455"/>
      <c r="G466" s="1614">
        <f t="shared" ref="G466:G471" si="447">H466+I466+T466</f>
        <v>0</v>
      </c>
      <c r="H466" s="1617"/>
      <c r="I466" s="1614">
        <f t="shared" ref="I466:I471" si="448">SUM(J466:S466)</f>
        <v>0</v>
      </c>
      <c r="J466" s="1617"/>
      <c r="K466" s="1617"/>
      <c r="L466" s="1617"/>
      <c r="M466" s="1617"/>
      <c r="N466" s="1617"/>
      <c r="O466" s="1617"/>
      <c r="P466" s="1617"/>
      <c r="Q466" s="1617"/>
      <c r="R466" s="1617"/>
      <c r="S466" s="1617"/>
      <c r="T466" s="1621"/>
      <c r="U466" s="1614">
        <f t="shared" ref="U466:U471" si="449">V466+W466+AH466</f>
        <v>0</v>
      </c>
      <c r="V466" s="1617"/>
      <c r="W466" s="1614">
        <f t="shared" ref="W466:W471" si="450">SUM(X466:AG466)</f>
        <v>0</v>
      </c>
      <c r="X466" s="1617"/>
      <c r="Y466" s="1617"/>
      <c r="Z466" s="1617"/>
      <c r="AA466" s="1617"/>
      <c r="AB466" s="1617"/>
      <c r="AC466" s="1617"/>
      <c r="AD466" s="1617"/>
      <c r="AE466" s="1617"/>
      <c r="AF466" s="1617"/>
      <c r="AG466" s="1617"/>
      <c r="AH466" s="1621"/>
      <c r="AI466" s="1621">
        <f t="shared" ref="AI466:AI471" si="451">U466-G466</f>
        <v>0</v>
      </c>
      <c r="AJ466" s="1621">
        <f t="shared" ref="AJ466:AJ471" si="452">AI466*6</f>
        <v>0</v>
      </c>
      <c r="AK466" s="1448" t="e">
        <f t="shared" si="405"/>
        <v>#DIV/0!</v>
      </c>
      <c r="AL466" s="1431" t="e">
        <f t="shared" si="392"/>
        <v>#DIV/0!</v>
      </c>
    </row>
    <row r="467" spans="1:38" s="561" customFormat="1" ht="27.75" hidden="1" customHeight="1">
      <c r="A467" s="1375"/>
      <c r="B467" s="764" t="s">
        <v>2661</v>
      </c>
      <c r="C467" s="1455"/>
      <c r="D467" s="1455"/>
      <c r="E467" s="1455"/>
      <c r="F467" s="1455"/>
      <c r="G467" s="1614">
        <f t="shared" si="447"/>
        <v>0</v>
      </c>
      <c r="H467" s="1617"/>
      <c r="I467" s="1614">
        <f t="shared" si="448"/>
        <v>0</v>
      </c>
      <c r="J467" s="1617"/>
      <c r="K467" s="1617"/>
      <c r="L467" s="1617"/>
      <c r="M467" s="1617"/>
      <c r="N467" s="1617"/>
      <c r="O467" s="1617"/>
      <c r="P467" s="1617"/>
      <c r="Q467" s="1617"/>
      <c r="R467" s="1617"/>
      <c r="S467" s="1617"/>
      <c r="T467" s="1621">
        <f>(H467+K467+L467)*23.5%</f>
        <v>0</v>
      </c>
      <c r="U467" s="1614">
        <f t="shared" si="449"/>
        <v>0</v>
      </c>
      <c r="V467" s="1617"/>
      <c r="W467" s="1614">
        <f t="shared" si="450"/>
        <v>0</v>
      </c>
      <c r="X467" s="1617"/>
      <c r="Y467" s="1617"/>
      <c r="Z467" s="1617"/>
      <c r="AA467" s="1617"/>
      <c r="AB467" s="1617"/>
      <c r="AC467" s="1617"/>
      <c r="AD467" s="1617"/>
      <c r="AE467" s="1617"/>
      <c r="AF467" s="1617"/>
      <c r="AG467" s="1617"/>
      <c r="AH467" s="1621">
        <f>(V467+Y467+Z467)*23.5%</f>
        <v>0</v>
      </c>
      <c r="AI467" s="1621">
        <f t="shared" si="451"/>
        <v>0</v>
      </c>
      <c r="AJ467" s="1621">
        <f t="shared" si="452"/>
        <v>0</v>
      </c>
      <c r="AK467" s="1448" t="e">
        <f t="shared" si="405"/>
        <v>#DIV/0!</v>
      </c>
      <c r="AL467" s="1431" t="e">
        <f t="shared" si="392"/>
        <v>#DIV/0!</v>
      </c>
    </row>
    <row r="468" spans="1:38" s="561" customFormat="1" ht="27.75" hidden="1" customHeight="1">
      <c r="A468" s="1375"/>
      <c r="B468" s="764" t="s">
        <v>2662</v>
      </c>
      <c r="C468" s="1461">
        <v>15</v>
      </c>
      <c r="D468" s="1461">
        <v>15</v>
      </c>
      <c r="E468" s="1461"/>
      <c r="F468" s="1461">
        <v>15</v>
      </c>
      <c r="G468" s="1620">
        <f t="shared" si="447"/>
        <v>94.759543500000007</v>
      </c>
      <c r="H468" s="1624">
        <f>28.09*1.39</f>
        <v>39.045099999999998</v>
      </c>
      <c r="I468" s="1620">
        <f t="shared" si="448"/>
        <v>46.538844999999995</v>
      </c>
      <c r="J468" s="1630"/>
      <c r="K468" s="1630">
        <f t="shared" ref="K468:L470" si="453">0*1.39</f>
        <v>0</v>
      </c>
      <c r="L468" s="1624">
        <f t="shared" si="453"/>
        <v>0</v>
      </c>
      <c r="M468" s="1630">
        <f>(28.09*1.39*25/100)+7.5</f>
        <v>17.261274999999998</v>
      </c>
      <c r="N468" s="1624">
        <f>28.09*1.39*70/100</f>
        <v>27.331569999999996</v>
      </c>
      <c r="O468" s="1630">
        <f t="shared" ref="O468:O470" si="454">0*1.39</f>
        <v>0</v>
      </c>
      <c r="P468" s="1630"/>
      <c r="Q468" s="1630"/>
      <c r="R468" s="1630">
        <f t="shared" ref="R468:S470" si="455">0*1.39</f>
        <v>0</v>
      </c>
      <c r="S468" s="1630">
        <f>1.4*1.39</f>
        <v>1.9459999999999997</v>
      </c>
      <c r="T468" s="1621">
        <f>(H468+K468+L468+R468)*23.5%</f>
        <v>9.1755984999999995</v>
      </c>
      <c r="U468" s="1620">
        <f t="shared" si="449"/>
        <v>101.03584177338129</v>
      </c>
      <c r="V468" s="1624">
        <f>(H468/1.39)*1.49</f>
        <v>41.854100000000003</v>
      </c>
      <c r="W468" s="1620">
        <f t="shared" si="450"/>
        <v>49.346028273381293</v>
      </c>
      <c r="X468" s="1706"/>
      <c r="Y468" s="1706">
        <f>(K468/1.39)*1.49</f>
        <v>0</v>
      </c>
      <c r="Z468" s="1624">
        <v>0</v>
      </c>
      <c r="AA468" s="1706">
        <f>((9.76/1.39)*1.49)+7.5</f>
        <v>17.962158273381299</v>
      </c>
      <c r="AB468" s="1706">
        <f t="shared" ref="AB468:AG469" si="456">(N468/1.39)*1.49</f>
        <v>29.297869999999996</v>
      </c>
      <c r="AC468" s="1706">
        <f t="shared" si="456"/>
        <v>0</v>
      </c>
      <c r="AD468" s="1706">
        <f t="shared" si="456"/>
        <v>0</v>
      </c>
      <c r="AE468" s="1706">
        <f t="shared" si="456"/>
        <v>0</v>
      </c>
      <c r="AF468" s="1706">
        <f t="shared" si="456"/>
        <v>0</v>
      </c>
      <c r="AG468" s="1706">
        <f t="shared" si="456"/>
        <v>2.0859999999999999</v>
      </c>
      <c r="AH468" s="1620">
        <f>(V468+Y468+Z468+AF468)*23.5%</f>
        <v>9.8357135000000007</v>
      </c>
      <c r="AI468" s="1621">
        <f t="shared" si="451"/>
        <v>6.2762982733812862</v>
      </c>
      <c r="AJ468" s="1621">
        <f t="shared" si="452"/>
        <v>37.657789640287717</v>
      </c>
      <c r="AK468" s="1448">
        <f t="shared" si="405"/>
        <v>0.41841988489208576</v>
      </c>
      <c r="AL468" s="1431">
        <f t="shared" si="392"/>
        <v>106.62339437439489</v>
      </c>
    </row>
    <row r="469" spans="1:38" s="561" customFormat="1" ht="27.75" hidden="1" customHeight="1">
      <c r="A469" s="1375"/>
      <c r="B469" s="764" t="s">
        <v>2663</v>
      </c>
      <c r="C469" s="1461">
        <v>13</v>
      </c>
      <c r="D469" s="1461">
        <v>13</v>
      </c>
      <c r="E469" s="1461"/>
      <c r="F469" s="1461">
        <v>12</v>
      </c>
      <c r="G469" s="1620">
        <f t="shared" si="447"/>
        <v>89.231842300000011</v>
      </c>
      <c r="H469" s="1624">
        <f>29.99*1.39</f>
        <v>41.686099999999996</v>
      </c>
      <c r="I469" s="1620">
        <f t="shared" si="448"/>
        <v>37.360142000000003</v>
      </c>
      <c r="J469" s="1630"/>
      <c r="K469" s="1630">
        <f t="shared" si="453"/>
        <v>0</v>
      </c>
      <c r="L469" s="1624">
        <f>1.192*1.39</f>
        <v>1.6568799999999999</v>
      </c>
      <c r="M469" s="1630">
        <f>6.2364*1.39</f>
        <v>8.6685959999999991</v>
      </c>
      <c r="N469" s="1624">
        <f>19.3494*1.39</f>
        <v>26.895665999999999</v>
      </c>
      <c r="O469" s="1630">
        <f t="shared" si="454"/>
        <v>0</v>
      </c>
      <c r="P469" s="1630"/>
      <c r="Q469" s="1630"/>
      <c r="R469" s="1630">
        <f t="shared" si="455"/>
        <v>0</v>
      </c>
      <c r="S469" s="1630">
        <f>0.1*1.39</f>
        <v>0.13899999999999998</v>
      </c>
      <c r="T469" s="1621">
        <f>(H469+K469+L469+R469)*23.5%</f>
        <v>10.185600299999999</v>
      </c>
      <c r="U469" s="1620">
        <f t="shared" si="449"/>
        <v>95.651399300000008</v>
      </c>
      <c r="V469" s="1624">
        <f>(H469/1.39)*1.49</f>
        <v>44.685099999999998</v>
      </c>
      <c r="W469" s="1620">
        <f t="shared" si="450"/>
        <v>40.047922</v>
      </c>
      <c r="X469" s="1706"/>
      <c r="Y469" s="1706">
        <f>(K469/1.39)*1.49</f>
        <v>0</v>
      </c>
      <c r="Z469" s="1706">
        <f>(L469/1.39)*1.49</f>
        <v>1.7760799999999999</v>
      </c>
      <c r="AA469" s="1706">
        <f>(M469/1.39)*1.49</f>
        <v>9.2922359999999991</v>
      </c>
      <c r="AB469" s="1706">
        <f t="shared" si="456"/>
        <v>28.830606</v>
      </c>
      <c r="AC469" s="1706">
        <f t="shared" si="456"/>
        <v>0</v>
      </c>
      <c r="AD469" s="1706">
        <f t="shared" si="456"/>
        <v>0</v>
      </c>
      <c r="AE469" s="1706">
        <f t="shared" si="456"/>
        <v>0</v>
      </c>
      <c r="AF469" s="1706">
        <f t="shared" si="456"/>
        <v>0</v>
      </c>
      <c r="AG469" s="1706">
        <f t="shared" si="456"/>
        <v>0.14899999999999999</v>
      </c>
      <c r="AH469" s="1620">
        <f>(V469+Y469+Z469+AF469)*23.5%</f>
        <v>10.9183773</v>
      </c>
      <c r="AI469" s="1621">
        <f t="shared" si="451"/>
        <v>6.4195569999999975</v>
      </c>
      <c r="AJ469" s="1621">
        <f t="shared" si="452"/>
        <v>38.517341999999985</v>
      </c>
      <c r="AK469" s="1448">
        <f t="shared" si="405"/>
        <v>0.53496308333333309</v>
      </c>
      <c r="AL469" s="1431">
        <f t="shared" si="392"/>
        <v>107.19424460431655</v>
      </c>
    </row>
    <row r="470" spans="1:38" s="561" customFormat="1" ht="27.75" hidden="1" customHeight="1">
      <c r="A470" s="1375"/>
      <c r="B470" s="764" t="s">
        <v>2664</v>
      </c>
      <c r="C470" s="1461">
        <v>1</v>
      </c>
      <c r="D470" s="1461">
        <v>1</v>
      </c>
      <c r="E470" s="1461"/>
      <c r="F470" s="1461">
        <v>1</v>
      </c>
      <c r="G470" s="1620">
        <f t="shared" si="447"/>
        <v>3.4677719999999992</v>
      </c>
      <c r="H470" s="1624">
        <f>(4.09-2.41)*1.39</f>
        <v>2.3351999999999995</v>
      </c>
      <c r="I470" s="1620">
        <f t="shared" si="448"/>
        <v>0.58379999999999987</v>
      </c>
      <c r="J470" s="1630"/>
      <c r="K470" s="1630">
        <f t="shared" si="453"/>
        <v>0</v>
      </c>
      <c r="L470" s="1624">
        <f t="shared" si="453"/>
        <v>0</v>
      </c>
      <c r="M470" s="1630"/>
      <c r="N470" s="1624"/>
      <c r="O470" s="1630">
        <f t="shared" si="454"/>
        <v>0</v>
      </c>
      <c r="P470" s="1630">
        <f>(H470+K470+L470+0)*25%</f>
        <v>0.58379999999999987</v>
      </c>
      <c r="Q470" s="1630"/>
      <c r="R470" s="1630">
        <f t="shared" si="455"/>
        <v>0</v>
      </c>
      <c r="S470" s="1630">
        <f t="shared" si="455"/>
        <v>0</v>
      </c>
      <c r="T470" s="1621">
        <f>(H470+K470+L470+R470)*23.5%</f>
        <v>0.54877199999999982</v>
      </c>
      <c r="U470" s="1620">
        <f t="shared" si="449"/>
        <v>3.7172519999999993</v>
      </c>
      <c r="V470" s="1624">
        <f>(H470/1.39)*1.49</f>
        <v>2.5031999999999996</v>
      </c>
      <c r="W470" s="1620">
        <f t="shared" si="450"/>
        <v>0.62579999999999991</v>
      </c>
      <c r="X470" s="1706"/>
      <c r="Y470" s="1706">
        <f>(K470/1.39)*1.49</f>
        <v>0</v>
      </c>
      <c r="Z470" s="1624">
        <v>0</v>
      </c>
      <c r="AA470" s="1706">
        <f>(M470/1.39)*1.49</f>
        <v>0</v>
      </c>
      <c r="AB470" s="1624">
        <v>0</v>
      </c>
      <c r="AC470" s="1706">
        <f>(O470/1.39)*1.49</f>
        <v>0</v>
      </c>
      <c r="AD470" s="1706">
        <f>(P470/1.39)*1.49</f>
        <v>0.62579999999999991</v>
      </c>
      <c r="AE470" s="1706">
        <f>(Q470/1.39)*1.49</f>
        <v>0</v>
      </c>
      <c r="AF470" s="1706">
        <f>(R470/1.39)*1.49</f>
        <v>0</v>
      </c>
      <c r="AG470" s="1706">
        <f>(S470/1.39)*1.49</f>
        <v>0</v>
      </c>
      <c r="AH470" s="1620">
        <f>(V470+Y470+Z470+AF470)*23.5%</f>
        <v>0.58825199999999989</v>
      </c>
      <c r="AI470" s="1621">
        <f t="shared" si="451"/>
        <v>0.24948000000000015</v>
      </c>
      <c r="AJ470" s="1621">
        <f t="shared" si="452"/>
        <v>1.4968800000000009</v>
      </c>
      <c r="AK470" s="1448">
        <f t="shared" si="405"/>
        <v>0.24948000000000015</v>
      </c>
      <c r="AL470" s="1431">
        <f t="shared" si="392"/>
        <v>107.19424460431655</v>
      </c>
    </row>
    <row r="471" spans="1:38" s="561" customFormat="1" ht="27.75" hidden="1" customHeight="1">
      <c r="A471" s="1375"/>
      <c r="B471" s="764" t="s">
        <v>2665</v>
      </c>
      <c r="C471" s="1455"/>
      <c r="D471" s="1455"/>
      <c r="E471" s="1455"/>
      <c r="F471" s="1455"/>
      <c r="G471" s="1709">
        <f t="shared" si="447"/>
        <v>0</v>
      </c>
      <c r="H471" s="1617"/>
      <c r="I471" s="1709">
        <f t="shared" si="448"/>
        <v>0</v>
      </c>
      <c r="J471" s="1617"/>
      <c r="K471" s="1617"/>
      <c r="L471" s="1617"/>
      <c r="M471" s="1617"/>
      <c r="N471" s="1617"/>
      <c r="O471" s="1617"/>
      <c r="P471" s="1617"/>
      <c r="Q471" s="1617"/>
      <c r="R471" s="1617"/>
      <c r="S471" s="1617"/>
      <c r="T471" s="1693"/>
      <c r="U471" s="1709">
        <f t="shared" si="449"/>
        <v>0</v>
      </c>
      <c r="V471" s="1617"/>
      <c r="W471" s="1709">
        <f t="shared" si="450"/>
        <v>0</v>
      </c>
      <c r="X471" s="1617"/>
      <c r="Y471" s="1617"/>
      <c r="Z471" s="1617"/>
      <c r="AA471" s="1617"/>
      <c r="AB471" s="1617"/>
      <c r="AC471" s="1617"/>
      <c r="AD471" s="1617"/>
      <c r="AE471" s="1617"/>
      <c r="AF471" s="1617"/>
      <c r="AG471" s="1617"/>
      <c r="AH471" s="1693"/>
      <c r="AI471" s="1710">
        <f t="shared" si="451"/>
        <v>0</v>
      </c>
      <c r="AJ471" s="1710">
        <f t="shared" si="452"/>
        <v>0</v>
      </c>
      <c r="AK471" s="1448" t="e">
        <f t="shared" si="405"/>
        <v>#DIV/0!</v>
      </c>
      <c r="AL471" s="1431" t="e">
        <f t="shared" si="392"/>
        <v>#DIV/0!</v>
      </c>
    </row>
    <row r="472" spans="1:38" s="561" customFormat="1" ht="27.75" hidden="1" customHeight="1">
      <c r="A472" s="1445">
        <v>8</v>
      </c>
      <c r="B472" s="1446" t="s">
        <v>2536</v>
      </c>
      <c r="C472" s="1447">
        <f>SUM(C473,C490:C500)</f>
        <v>48</v>
      </c>
      <c r="D472" s="1447">
        <f t="shared" ref="D472:AJ472" si="457">SUM(D473,D490:D500)</f>
        <v>32</v>
      </c>
      <c r="E472" s="1447">
        <f t="shared" si="457"/>
        <v>16</v>
      </c>
      <c r="F472" s="1447">
        <f t="shared" si="457"/>
        <v>43</v>
      </c>
      <c r="G472" s="1616">
        <f t="shared" si="457"/>
        <v>183.73582949999994</v>
      </c>
      <c r="H472" s="1616">
        <f t="shared" si="457"/>
        <v>136.53969999999998</v>
      </c>
      <c r="I472" s="1616">
        <f t="shared" si="457"/>
        <v>15.109299999999999</v>
      </c>
      <c r="J472" s="1616">
        <f t="shared" si="457"/>
        <v>0</v>
      </c>
      <c r="K472" s="1616">
        <f t="shared" si="457"/>
        <v>0</v>
      </c>
      <c r="L472" s="1616">
        <f t="shared" si="457"/>
        <v>0</v>
      </c>
      <c r="M472" s="1616">
        <f t="shared" si="457"/>
        <v>0</v>
      </c>
      <c r="N472" s="1616">
        <f t="shared" si="457"/>
        <v>0</v>
      </c>
      <c r="O472" s="1616">
        <f t="shared" si="457"/>
        <v>0</v>
      </c>
      <c r="P472" s="1616">
        <f t="shared" si="457"/>
        <v>15.109299999999999</v>
      </c>
      <c r="Q472" s="1616">
        <f t="shared" si="457"/>
        <v>0</v>
      </c>
      <c r="R472" s="1616">
        <f t="shared" si="457"/>
        <v>0</v>
      </c>
      <c r="S472" s="1616">
        <f t="shared" si="457"/>
        <v>0</v>
      </c>
      <c r="T472" s="1616">
        <f t="shared" si="457"/>
        <v>32.086829499999993</v>
      </c>
      <c r="U472" s="1616">
        <f t="shared" si="457"/>
        <v>196.95423450000001</v>
      </c>
      <c r="V472" s="1616">
        <f t="shared" si="457"/>
        <v>146.36270000000002</v>
      </c>
      <c r="W472" s="1616">
        <f t="shared" si="457"/>
        <v>16.196300000000001</v>
      </c>
      <c r="X472" s="1616">
        <f t="shared" si="457"/>
        <v>0</v>
      </c>
      <c r="Y472" s="1616">
        <f t="shared" si="457"/>
        <v>0</v>
      </c>
      <c r="Z472" s="1616">
        <f t="shared" si="457"/>
        <v>0</v>
      </c>
      <c r="AA472" s="1616">
        <f t="shared" si="457"/>
        <v>0</v>
      </c>
      <c r="AB472" s="1616">
        <f t="shared" si="457"/>
        <v>0</v>
      </c>
      <c r="AC472" s="1616">
        <f t="shared" si="457"/>
        <v>0</v>
      </c>
      <c r="AD472" s="1616">
        <f t="shared" si="457"/>
        <v>16.196300000000001</v>
      </c>
      <c r="AE472" s="1616">
        <f t="shared" si="457"/>
        <v>0</v>
      </c>
      <c r="AF472" s="1616">
        <f t="shared" si="457"/>
        <v>0</v>
      </c>
      <c r="AG472" s="1616">
        <f t="shared" si="457"/>
        <v>0</v>
      </c>
      <c r="AH472" s="1616">
        <f t="shared" si="457"/>
        <v>34.395234499999994</v>
      </c>
      <c r="AI472" s="1616">
        <f t="shared" si="457"/>
        <v>13.218405000000018</v>
      </c>
      <c r="AJ472" s="1616">
        <f t="shared" si="457"/>
        <v>79.310430000000096</v>
      </c>
      <c r="AK472" s="1448">
        <f t="shared" si="405"/>
        <v>0.3074047674418609</v>
      </c>
      <c r="AL472" s="1431">
        <f t="shared" si="392"/>
        <v>107.19424460431659</v>
      </c>
    </row>
    <row r="473" spans="1:38" s="561" customFormat="1" ht="27.75" hidden="1" customHeight="1">
      <c r="A473" s="1375">
        <v>18</v>
      </c>
      <c r="B473" s="764" t="s">
        <v>2666</v>
      </c>
      <c r="C473" s="560">
        <f>SUM(C474:C489)</f>
        <v>19</v>
      </c>
      <c r="D473" s="560">
        <f t="shared" ref="D473:AJ473" si="458">SUM(D474:D489)</f>
        <v>3</v>
      </c>
      <c r="E473" s="560">
        <f t="shared" si="458"/>
        <v>16</v>
      </c>
      <c r="F473" s="560">
        <f t="shared" si="458"/>
        <v>19</v>
      </c>
      <c r="G473" s="1617">
        <f t="shared" si="458"/>
        <v>101.57696049999998</v>
      </c>
      <c r="H473" s="1617">
        <f t="shared" si="458"/>
        <v>70.014299999999992</v>
      </c>
      <c r="I473" s="1617">
        <f t="shared" si="458"/>
        <v>15.109299999999999</v>
      </c>
      <c r="J473" s="1617">
        <f t="shared" si="458"/>
        <v>0</v>
      </c>
      <c r="K473" s="1617">
        <f t="shared" si="458"/>
        <v>0</v>
      </c>
      <c r="L473" s="1617">
        <f t="shared" si="458"/>
        <v>0</v>
      </c>
      <c r="M473" s="1617">
        <f t="shared" si="458"/>
        <v>0</v>
      </c>
      <c r="N473" s="1617">
        <f t="shared" si="458"/>
        <v>0</v>
      </c>
      <c r="O473" s="1617">
        <f t="shared" si="458"/>
        <v>0</v>
      </c>
      <c r="P473" s="1617">
        <f t="shared" si="458"/>
        <v>15.109299999999999</v>
      </c>
      <c r="Q473" s="1617">
        <f t="shared" si="458"/>
        <v>0</v>
      </c>
      <c r="R473" s="1617">
        <f t="shared" si="458"/>
        <v>0</v>
      </c>
      <c r="S473" s="1617">
        <f t="shared" si="458"/>
        <v>0</v>
      </c>
      <c r="T473" s="1617">
        <f t="shared" si="458"/>
        <v>16.453360499999999</v>
      </c>
      <c r="U473" s="1617">
        <f t="shared" si="458"/>
        <v>108.88465550000001</v>
      </c>
      <c r="V473" s="1617">
        <f t="shared" si="458"/>
        <v>75.051299999999998</v>
      </c>
      <c r="W473" s="1617">
        <f t="shared" si="458"/>
        <v>16.196300000000001</v>
      </c>
      <c r="X473" s="1617">
        <f t="shared" si="458"/>
        <v>0</v>
      </c>
      <c r="Y473" s="1617">
        <f t="shared" si="458"/>
        <v>0</v>
      </c>
      <c r="Z473" s="1617">
        <f t="shared" si="458"/>
        <v>0</v>
      </c>
      <c r="AA473" s="1617">
        <f t="shared" si="458"/>
        <v>0</v>
      </c>
      <c r="AB473" s="1617">
        <f t="shared" si="458"/>
        <v>0</v>
      </c>
      <c r="AC473" s="1617">
        <f t="shared" si="458"/>
        <v>0</v>
      </c>
      <c r="AD473" s="1617">
        <f t="shared" si="458"/>
        <v>16.196300000000001</v>
      </c>
      <c r="AE473" s="1617">
        <f t="shared" si="458"/>
        <v>0</v>
      </c>
      <c r="AF473" s="1617">
        <f t="shared" si="458"/>
        <v>0</v>
      </c>
      <c r="AG473" s="1617">
        <f t="shared" si="458"/>
        <v>0</v>
      </c>
      <c r="AH473" s="1617">
        <f t="shared" si="458"/>
        <v>17.637055499999999</v>
      </c>
      <c r="AI473" s="1617">
        <f t="shared" si="458"/>
        <v>7.3076950000000149</v>
      </c>
      <c r="AJ473" s="1617">
        <f t="shared" si="458"/>
        <v>43.846170000000093</v>
      </c>
      <c r="AK473" s="1448">
        <f t="shared" si="405"/>
        <v>0.38461552631579027</v>
      </c>
      <c r="AL473" s="1431">
        <f t="shared" si="392"/>
        <v>107.19424460431657</v>
      </c>
    </row>
    <row r="474" spans="1:38" s="561" customFormat="1" ht="27.75" hidden="1" customHeight="1">
      <c r="A474" s="1375"/>
      <c r="B474" s="764" t="s">
        <v>2667</v>
      </c>
      <c r="C474" s="1484">
        <f>+D474+E474</f>
        <v>1</v>
      </c>
      <c r="D474" s="1484">
        <v>1</v>
      </c>
      <c r="E474" s="1484"/>
      <c r="F474" s="1484">
        <v>1</v>
      </c>
      <c r="G474" s="1657">
        <f t="shared" ref="G474:G482" si="459">H474+I474+T474</f>
        <v>1.7166499999999998</v>
      </c>
      <c r="H474" s="1657">
        <f>1*1.39</f>
        <v>1.39</v>
      </c>
      <c r="I474" s="1657"/>
      <c r="J474" s="1657"/>
      <c r="K474" s="1657"/>
      <c r="L474" s="1657"/>
      <c r="M474" s="1657"/>
      <c r="N474" s="1657"/>
      <c r="O474" s="1657"/>
      <c r="P474" s="1658"/>
      <c r="Q474" s="1658"/>
      <c r="R474" s="1657"/>
      <c r="S474" s="1657"/>
      <c r="T474" s="1657">
        <f t="shared" ref="T474:T481" si="460">+H474*0.235</f>
        <v>0.32664999999999994</v>
      </c>
      <c r="U474" s="1657">
        <f t="shared" ref="U474:U482" si="461">V474+W474+AH474</f>
        <v>1.84015</v>
      </c>
      <c r="V474" s="1657">
        <f>1*1.49</f>
        <v>1.49</v>
      </c>
      <c r="W474" s="1657"/>
      <c r="X474" s="1657"/>
      <c r="Y474" s="1657"/>
      <c r="Z474" s="1657"/>
      <c r="AA474" s="1657"/>
      <c r="AB474" s="1657"/>
      <c r="AC474" s="1657"/>
      <c r="AD474" s="1658"/>
      <c r="AE474" s="1658"/>
      <c r="AF474" s="1657"/>
      <c r="AG474" s="1657"/>
      <c r="AH474" s="1657">
        <f t="shared" ref="AH474:AH481" si="462">+V474*0.235</f>
        <v>0.35014999999999996</v>
      </c>
      <c r="AI474" s="1621">
        <f t="shared" ref="AI474:AI500" si="463">U474-G474</f>
        <v>0.12350000000000017</v>
      </c>
      <c r="AJ474" s="1621">
        <f t="shared" ref="AJ474:AJ500" si="464">AI474*6</f>
        <v>0.74100000000000099</v>
      </c>
      <c r="AK474" s="1448">
        <f t="shared" si="405"/>
        <v>0.12350000000000017</v>
      </c>
      <c r="AL474" s="1431">
        <f t="shared" si="392"/>
        <v>107.19424460431655</v>
      </c>
    </row>
    <row r="475" spans="1:38" s="561" customFormat="1" ht="27.75" hidden="1" customHeight="1">
      <c r="A475" s="1375"/>
      <c r="B475" s="764" t="s">
        <v>2668</v>
      </c>
      <c r="C475" s="1455"/>
      <c r="D475" s="1455"/>
      <c r="E475" s="1455"/>
      <c r="F475" s="1455"/>
      <c r="G475" s="1614">
        <f t="shared" si="459"/>
        <v>0</v>
      </c>
      <c r="H475" s="1659"/>
      <c r="I475" s="1614">
        <f t="shared" ref="I475:I482" si="465">SUM(J475:S475)</f>
        <v>0</v>
      </c>
      <c r="J475" s="1617"/>
      <c r="K475" s="1617"/>
      <c r="L475" s="1617"/>
      <c r="M475" s="1617"/>
      <c r="N475" s="1617"/>
      <c r="O475" s="1617"/>
      <c r="P475" s="1617">
        <f t="shared" ref="P475:P480" si="466">+H475*0.25</f>
        <v>0</v>
      </c>
      <c r="Q475" s="1617"/>
      <c r="R475" s="1617"/>
      <c r="S475" s="1617"/>
      <c r="T475" s="1621">
        <f t="shared" si="460"/>
        <v>0</v>
      </c>
      <c r="U475" s="1614">
        <f t="shared" si="461"/>
        <v>0</v>
      </c>
      <c r="V475" s="1659"/>
      <c r="W475" s="1614">
        <f t="shared" ref="W475:W482" si="467">SUM(X475:AG475)</f>
        <v>0</v>
      </c>
      <c r="X475" s="1617"/>
      <c r="Y475" s="1617"/>
      <c r="Z475" s="1617"/>
      <c r="AA475" s="1617"/>
      <c r="AB475" s="1617"/>
      <c r="AC475" s="1617"/>
      <c r="AD475" s="1617"/>
      <c r="AE475" s="1617"/>
      <c r="AF475" s="1617"/>
      <c r="AG475" s="1617"/>
      <c r="AH475" s="1621">
        <f t="shared" si="462"/>
        <v>0</v>
      </c>
      <c r="AI475" s="1621">
        <f t="shared" si="463"/>
        <v>0</v>
      </c>
      <c r="AJ475" s="1621">
        <f t="shared" si="464"/>
        <v>0</v>
      </c>
      <c r="AK475" s="1448" t="e">
        <f t="shared" si="405"/>
        <v>#DIV/0!</v>
      </c>
      <c r="AL475" s="1431" t="e">
        <f t="shared" si="392"/>
        <v>#DIV/0!</v>
      </c>
    </row>
    <row r="476" spans="1:38" s="561" customFormat="1" ht="27.75" hidden="1" customHeight="1">
      <c r="A476" s="1375"/>
      <c r="B476" s="764" t="s">
        <v>2671</v>
      </c>
      <c r="C476" s="1484">
        <f>+D476+E476</f>
        <v>1</v>
      </c>
      <c r="D476" s="1484"/>
      <c r="E476" s="1484">
        <v>1</v>
      </c>
      <c r="F476" s="1484">
        <v>1</v>
      </c>
      <c r="G476" s="1657">
        <f t="shared" si="459"/>
        <v>5.3461484999999982</v>
      </c>
      <c r="H476" s="1657">
        <f>2.59*1.39</f>
        <v>3.6000999999999994</v>
      </c>
      <c r="I476" s="1657">
        <f t="shared" si="465"/>
        <v>0.90002499999999985</v>
      </c>
      <c r="J476" s="1657"/>
      <c r="K476" s="1657"/>
      <c r="L476" s="1657"/>
      <c r="M476" s="1657"/>
      <c r="N476" s="1657"/>
      <c r="O476" s="1657"/>
      <c r="P476" s="1658">
        <f t="shared" si="466"/>
        <v>0.90002499999999985</v>
      </c>
      <c r="Q476" s="1658"/>
      <c r="R476" s="1657"/>
      <c r="S476" s="1657"/>
      <c r="T476" s="1657">
        <f t="shared" si="460"/>
        <v>0.84602349999999982</v>
      </c>
      <c r="U476" s="1657">
        <f t="shared" si="461"/>
        <v>5.7307634999999992</v>
      </c>
      <c r="V476" s="1657">
        <f>2.59*1.49</f>
        <v>3.8590999999999998</v>
      </c>
      <c r="W476" s="1657">
        <f t="shared" si="467"/>
        <v>0.96477499999999994</v>
      </c>
      <c r="X476" s="1657"/>
      <c r="Y476" s="1657"/>
      <c r="Z476" s="1657"/>
      <c r="AA476" s="1657"/>
      <c r="AB476" s="1657"/>
      <c r="AC476" s="1657"/>
      <c r="AD476" s="1658">
        <f>+V476*0.25</f>
        <v>0.96477499999999994</v>
      </c>
      <c r="AE476" s="1658"/>
      <c r="AF476" s="1657"/>
      <c r="AG476" s="1657"/>
      <c r="AH476" s="1657">
        <f t="shared" si="462"/>
        <v>0.90688849999999988</v>
      </c>
      <c r="AI476" s="1657">
        <f t="shared" si="463"/>
        <v>0.38461500000000104</v>
      </c>
      <c r="AJ476" s="1621">
        <f t="shared" si="464"/>
        <v>2.3076900000000062</v>
      </c>
      <c r="AK476" s="1448">
        <f t="shared" si="405"/>
        <v>0.38461500000000104</v>
      </c>
      <c r="AL476" s="1431">
        <f t="shared" si="392"/>
        <v>107.19424460431657</v>
      </c>
    </row>
    <row r="477" spans="1:38" s="561" customFormat="1" ht="27.75" hidden="1" customHeight="1">
      <c r="A477" s="1375"/>
      <c r="B477" s="764" t="s">
        <v>2672</v>
      </c>
      <c r="C477" s="1484">
        <f>+D477+E477</f>
        <v>3</v>
      </c>
      <c r="D477" s="1484"/>
      <c r="E477" s="1484">
        <v>3</v>
      </c>
      <c r="F477" s="1484">
        <v>3</v>
      </c>
      <c r="G477" s="1657">
        <f t="shared" si="459"/>
        <v>13.375691999999997</v>
      </c>
      <c r="H477" s="1657">
        <f>6.48*1.39</f>
        <v>9.0071999999999992</v>
      </c>
      <c r="I477" s="1657">
        <f t="shared" si="465"/>
        <v>2.2517999999999998</v>
      </c>
      <c r="J477" s="1657"/>
      <c r="K477" s="1657"/>
      <c r="L477" s="1657"/>
      <c r="M477" s="1657"/>
      <c r="N477" s="1657"/>
      <c r="O477" s="1657"/>
      <c r="P477" s="1658">
        <f t="shared" si="466"/>
        <v>2.2517999999999998</v>
      </c>
      <c r="Q477" s="1658"/>
      <c r="R477" s="1657"/>
      <c r="S477" s="1657"/>
      <c r="T477" s="1657">
        <f t="shared" si="460"/>
        <v>2.1166919999999996</v>
      </c>
      <c r="U477" s="1657">
        <f t="shared" si="461"/>
        <v>14.337972000000001</v>
      </c>
      <c r="V477" s="1657">
        <f>6.48*1.49</f>
        <v>9.6552000000000007</v>
      </c>
      <c r="W477" s="1657">
        <f t="shared" si="467"/>
        <v>2.4138000000000002</v>
      </c>
      <c r="X477" s="1657"/>
      <c r="Y477" s="1657"/>
      <c r="Z477" s="1657"/>
      <c r="AA477" s="1657"/>
      <c r="AB477" s="1657"/>
      <c r="AC477" s="1657"/>
      <c r="AD477" s="1658">
        <f>+V477*0.25</f>
        <v>2.4138000000000002</v>
      </c>
      <c r="AE477" s="1658"/>
      <c r="AF477" s="1657"/>
      <c r="AG477" s="1657"/>
      <c r="AH477" s="1657">
        <f t="shared" si="462"/>
        <v>2.2689720000000002</v>
      </c>
      <c r="AI477" s="1621">
        <f t="shared" si="463"/>
        <v>0.96228000000000335</v>
      </c>
      <c r="AJ477" s="1621">
        <f t="shared" si="464"/>
        <v>5.7736800000000201</v>
      </c>
      <c r="AK477" s="1448">
        <f t="shared" si="405"/>
        <v>0.3207600000000011</v>
      </c>
      <c r="AL477" s="1431">
        <f t="shared" ref="AL477:AL540" si="468">U477/G477*100</f>
        <v>107.19424460431657</v>
      </c>
    </row>
    <row r="478" spans="1:38" s="561" customFormat="1" ht="27.75" hidden="1" customHeight="1">
      <c r="A478" s="1375"/>
      <c r="B478" s="764" t="s">
        <v>2674</v>
      </c>
      <c r="C478" s="1455"/>
      <c r="D478" s="1455"/>
      <c r="E478" s="1455"/>
      <c r="F478" s="1455"/>
      <c r="G478" s="1614">
        <f t="shared" si="459"/>
        <v>0</v>
      </c>
      <c r="H478" s="1659"/>
      <c r="I478" s="1614">
        <f t="shared" si="465"/>
        <v>0</v>
      </c>
      <c r="J478" s="1617"/>
      <c r="K478" s="1617"/>
      <c r="L478" s="1617"/>
      <c r="M478" s="1617"/>
      <c r="N478" s="1617"/>
      <c r="O478" s="1617"/>
      <c r="P478" s="1617">
        <f t="shared" si="466"/>
        <v>0</v>
      </c>
      <c r="Q478" s="1617"/>
      <c r="R478" s="1617"/>
      <c r="S478" s="1617"/>
      <c r="T478" s="1621">
        <f t="shared" si="460"/>
        <v>0</v>
      </c>
      <c r="U478" s="1614">
        <f t="shared" si="461"/>
        <v>0</v>
      </c>
      <c r="V478" s="1659"/>
      <c r="W478" s="1614">
        <f t="shared" si="467"/>
        <v>0</v>
      </c>
      <c r="X478" s="1617"/>
      <c r="Y478" s="1617"/>
      <c r="Z478" s="1617"/>
      <c r="AA478" s="1617"/>
      <c r="AB478" s="1617"/>
      <c r="AC478" s="1617"/>
      <c r="AD478" s="1617"/>
      <c r="AE478" s="1617"/>
      <c r="AF478" s="1617"/>
      <c r="AG478" s="1617"/>
      <c r="AH478" s="1621">
        <f t="shared" si="462"/>
        <v>0</v>
      </c>
      <c r="AI478" s="1621">
        <f t="shared" si="463"/>
        <v>0</v>
      </c>
      <c r="AJ478" s="1621">
        <f t="shared" si="464"/>
        <v>0</v>
      </c>
      <c r="AK478" s="1448" t="e">
        <f t="shared" si="405"/>
        <v>#DIV/0!</v>
      </c>
      <c r="AL478" s="1431" t="e">
        <f t="shared" si="468"/>
        <v>#DIV/0!</v>
      </c>
    </row>
    <row r="479" spans="1:38" s="561" customFormat="1" ht="27.75" hidden="1" customHeight="1">
      <c r="A479" s="1375"/>
      <c r="B479" s="764" t="s">
        <v>2675</v>
      </c>
      <c r="C479" s="1484">
        <f>+D479+E479</f>
        <v>1</v>
      </c>
      <c r="D479" s="1484"/>
      <c r="E479" s="1484">
        <v>1</v>
      </c>
      <c r="F479" s="1484">
        <v>1</v>
      </c>
      <c r="G479" s="1657">
        <f t="shared" si="459"/>
        <v>5.7176954999999996</v>
      </c>
      <c r="H479" s="1657">
        <f>2.77*1.39</f>
        <v>3.8502999999999998</v>
      </c>
      <c r="I479" s="1657">
        <f t="shared" si="465"/>
        <v>0.96257499999999996</v>
      </c>
      <c r="J479" s="1657"/>
      <c r="K479" s="1657"/>
      <c r="L479" s="1657"/>
      <c r="M479" s="1657"/>
      <c r="N479" s="1657"/>
      <c r="O479" s="1657"/>
      <c r="P479" s="1658">
        <f t="shared" si="466"/>
        <v>0.96257499999999996</v>
      </c>
      <c r="Q479" s="1658"/>
      <c r="R479" s="1657"/>
      <c r="S479" s="1657"/>
      <c r="T479" s="1657">
        <f t="shared" si="460"/>
        <v>0.90482049999999992</v>
      </c>
      <c r="U479" s="1657">
        <f t="shared" si="461"/>
        <v>6.1290404999999994</v>
      </c>
      <c r="V479" s="1657">
        <f>2.77*1.49</f>
        <v>4.1273</v>
      </c>
      <c r="W479" s="1657">
        <f t="shared" si="467"/>
        <v>1.031825</v>
      </c>
      <c r="X479" s="1657"/>
      <c r="Y479" s="1657"/>
      <c r="Z479" s="1657"/>
      <c r="AA479" s="1657"/>
      <c r="AB479" s="1657"/>
      <c r="AC479" s="1657"/>
      <c r="AD479" s="1658">
        <f>+V479*0.25</f>
        <v>1.031825</v>
      </c>
      <c r="AE479" s="1658"/>
      <c r="AF479" s="1657"/>
      <c r="AG479" s="1657"/>
      <c r="AH479" s="1657">
        <f t="shared" si="462"/>
        <v>0.96991549999999993</v>
      </c>
      <c r="AI479" s="1621">
        <f t="shared" si="463"/>
        <v>0.41134499999999985</v>
      </c>
      <c r="AJ479" s="1621">
        <f t="shared" si="464"/>
        <v>2.4680699999999991</v>
      </c>
      <c r="AK479" s="1448">
        <f t="shared" si="405"/>
        <v>0.41134499999999985</v>
      </c>
      <c r="AL479" s="1431">
        <f t="shared" si="468"/>
        <v>107.19424460431655</v>
      </c>
    </row>
    <row r="480" spans="1:38" s="561" customFormat="1" ht="27.75" hidden="1" customHeight="1">
      <c r="A480" s="1375"/>
      <c r="B480" s="764" t="s">
        <v>2678</v>
      </c>
      <c r="C480" s="1484">
        <f>+D480+E480</f>
        <v>1</v>
      </c>
      <c r="D480" s="1484"/>
      <c r="E480" s="1484">
        <v>1</v>
      </c>
      <c r="F480" s="1484">
        <v>1</v>
      </c>
      <c r="G480" s="1657">
        <f t="shared" si="459"/>
        <v>3.096225</v>
      </c>
      <c r="H480" s="1657">
        <f>1.5*1.39</f>
        <v>2.085</v>
      </c>
      <c r="I480" s="1657">
        <f t="shared" si="465"/>
        <v>0.52124999999999999</v>
      </c>
      <c r="J480" s="1657"/>
      <c r="K480" s="1657"/>
      <c r="L480" s="1657"/>
      <c r="M480" s="1657"/>
      <c r="N480" s="1657"/>
      <c r="O480" s="1657"/>
      <c r="P480" s="1658">
        <f t="shared" si="466"/>
        <v>0.52124999999999999</v>
      </c>
      <c r="Q480" s="1658"/>
      <c r="R480" s="1657"/>
      <c r="S480" s="1657"/>
      <c r="T480" s="1657">
        <f t="shared" si="460"/>
        <v>0.48997499999999994</v>
      </c>
      <c r="U480" s="1657">
        <f t="shared" si="461"/>
        <v>3.3189749999999996</v>
      </c>
      <c r="V480" s="1657">
        <f>1.5*1.49</f>
        <v>2.2349999999999999</v>
      </c>
      <c r="W480" s="1657">
        <f t="shared" si="467"/>
        <v>0.55874999999999997</v>
      </c>
      <c r="X480" s="1657"/>
      <c r="Y480" s="1657"/>
      <c r="Z480" s="1657"/>
      <c r="AA480" s="1657"/>
      <c r="AB480" s="1657"/>
      <c r="AC480" s="1657"/>
      <c r="AD480" s="1658">
        <f>+V480*0.25</f>
        <v>0.55874999999999997</v>
      </c>
      <c r="AE480" s="1658"/>
      <c r="AF480" s="1657"/>
      <c r="AG480" s="1657"/>
      <c r="AH480" s="1657">
        <f t="shared" si="462"/>
        <v>0.52522499999999994</v>
      </c>
      <c r="AI480" s="1621">
        <f t="shared" si="463"/>
        <v>0.22274999999999956</v>
      </c>
      <c r="AJ480" s="1621">
        <f t="shared" si="464"/>
        <v>1.3364999999999974</v>
      </c>
      <c r="AK480" s="1448">
        <f t="shared" si="405"/>
        <v>0.22274999999999956</v>
      </c>
      <c r="AL480" s="1431">
        <f t="shared" si="468"/>
        <v>107.19424460431652</v>
      </c>
    </row>
    <row r="481" spans="1:38" s="561" customFormat="1" ht="27.75" hidden="1" customHeight="1">
      <c r="A481" s="1375"/>
      <c r="B481" s="764" t="s">
        <v>2679</v>
      </c>
      <c r="C481" s="1455"/>
      <c r="D481" s="1455"/>
      <c r="E481" s="1455"/>
      <c r="F481" s="1455"/>
      <c r="G481" s="1614">
        <f t="shared" si="459"/>
        <v>0</v>
      </c>
      <c r="H481" s="1659"/>
      <c r="I481" s="1614">
        <f t="shared" si="465"/>
        <v>0</v>
      </c>
      <c r="J481" s="1617"/>
      <c r="K481" s="1617"/>
      <c r="L481" s="1617"/>
      <c r="M481" s="1617"/>
      <c r="N481" s="1659"/>
      <c r="O481" s="1617"/>
      <c r="P481" s="1617"/>
      <c r="Q481" s="1617"/>
      <c r="R481" s="1617"/>
      <c r="S481" s="1617"/>
      <c r="T481" s="1621">
        <f t="shared" si="460"/>
        <v>0</v>
      </c>
      <c r="U481" s="1614">
        <f t="shared" si="461"/>
        <v>0</v>
      </c>
      <c r="V481" s="1659"/>
      <c r="W481" s="1614">
        <f t="shared" si="467"/>
        <v>0</v>
      </c>
      <c r="X481" s="1617"/>
      <c r="Y481" s="1617"/>
      <c r="Z481" s="1617"/>
      <c r="AA481" s="1617"/>
      <c r="AB481" s="1659"/>
      <c r="AC481" s="1617"/>
      <c r="AD481" s="1617"/>
      <c r="AE481" s="1617"/>
      <c r="AF481" s="1617"/>
      <c r="AG481" s="1617"/>
      <c r="AH481" s="1621">
        <f t="shared" si="462"/>
        <v>0</v>
      </c>
      <c r="AI481" s="1621">
        <f t="shared" si="463"/>
        <v>0</v>
      </c>
      <c r="AJ481" s="1621">
        <f t="shared" si="464"/>
        <v>0</v>
      </c>
      <c r="AK481" s="1448" t="e">
        <f t="shared" si="405"/>
        <v>#DIV/0!</v>
      </c>
      <c r="AL481" s="1431" t="e">
        <f t="shared" si="468"/>
        <v>#DIV/0!</v>
      </c>
    </row>
    <row r="482" spans="1:38" s="561" customFormat="1" ht="27.75" hidden="1" customHeight="1">
      <c r="A482" s="1375"/>
      <c r="B482" s="764" t="s">
        <v>2680</v>
      </c>
      <c r="C482" s="1455"/>
      <c r="D482" s="1455"/>
      <c r="E482" s="1455"/>
      <c r="F482" s="1455"/>
      <c r="G482" s="1614">
        <f t="shared" si="459"/>
        <v>0</v>
      </c>
      <c r="H482" s="1617"/>
      <c r="I482" s="1614">
        <f t="shared" si="465"/>
        <v>0</v>
      </c>
      <c r="J482" s="1617"/>
      <c r="K482" s="1617"/>
      <c r="L482" s="1617"/>
      <c r="M482" s="1617"/>
      <c r="N482" s="1617"/>
      <c r="O482" s="1617"/>
      <c r="P482" s="1617"/>
      <c r="Q482" s="1617"/>
      <c r="R482" s="1617"/>
      <c r="S482" s="1617"/>
      <c r="T482" s="1621"/>
      <c r="U482" s="1614">
        <f t="shared" si="461"/>
        <v>0</v>
      </c>
      <c r="V482" s="1617"/>
      <c r="W482" s="1614">
        <f t="shared" si="467"/>
        <v>0</v>
      </c>
      <c r="X482" s="1617"/>
      <c r="Y482" s="1617"/>
      <c r="Z482" s="1617"/>
      <c r="AA482" s="1617"/>
      <c r="AB482" s="1617"/>
      <c r="AC482" s="1617"/>
      <c r="AD482" s="1617"/>
      <c r="AE482" s="1617"/>
      <c r="AF482" s="1617"/>
      <c r="AG482" s="1617"/>
      <c r="AH482" s="1621"/>
      <c r="AI482" s="1621">
        <f t="shared" si="463"/>
        <v>0</v>
      </c>
      <c r="AJ482" s="1621">
        <f t="shared" si="464"/>
        <v>0</v>
      </c>
      <c r="AK482" s="1448" t="e">
        <f t="shared" si="405"/>
        <v>#DIV/0!</v>
      </c>
      <c r="AL482" s="1431" t="e">
        <f t="shared" si="468"/>
        <v>#DIV/0!</v>
      </c>
    </row>
    <row r="483" spans="1:38" s="561" customFormat="1" ht="27.75" hidden="1" customHeight="1">
      <c r="A483" s="1375"/>
      <c r="B483" s="764" t="s">
        <v>2681</v>
      </c>
      <c r="C483" s="1484">
        <f>+D483+E483</f>
        <v>2</v>
      </c>
      <c r="D483" s="1484">
        <v>2</v>
      </c>
      <c r="E483" s="1484"/>
      <c r="F483" s="1484">
        <v>2</v>
      </c>
      <c r="G483" s="1657">
        <f>+H483+I483+T483</f>
        <v>10.111068499999998</v>
      </c>
      <c r="H483" s="1657">
        <f>(3.13+2.76)*1.39</f>
        <v>8.1870999999999992</v>
      </c>
      <c r="I483" s="1657"/>
      <c r="J483" s="1657"/>
      <c r="K483" s="1657"/>
      <c r="L483" s="1657"/>
      <c r="M483" s="1657"/>
      <c r="N483" s="1657"/>
      <c r="O483" s="1657"/>
      <c r="P483" s="1658"/>
      <c r="Q483" s="1658"/>
      <c r="R483" s="1657"/>
      <c r="S483" s="1657"/>
      <c r="T483" s="1657">
        <f>+H483*0.235</f>
        <v>1.9239684999999997</v>
      </c>
      <c r="U483" s="1657">
        <f>+V483+W483+AH483</f>
        <v>10.838483499999999</v>
      </c>
      <c r="V483" s="1657">
        <f>(3.13+2.76)*1.49</f>
        <v>8.7760999999999996</v>
      </c>
      <c r="W483" s="1657"/>
      <c r="X483" s="1657"/>
      <c r="Y483" s="1657"/>
      <c r="Z483" s="1657"/>
      <c r="AA483" s="1657"/>
      <c r="AB483" s="1657"/>
      <c r="AC483" s="1657"/>
      <c r="AD483" s="1658"/>
      <c r="AE483" s="1658"/>
      <c r="AF483" s="1657"/>
      <c r="AG483" s="1657"/>
      <c r="AH483" s="1657">
        <f>+V483*0.235</f>
        <v>2.0623834999999997</v>
      </c>
      <c r="AI483" s="1621">
        <f t="shared" si="463"/>
        <v>0.72741500000000059</v>
      </c>
      <c r="AJ483" s="1621">
        <f t="shared" si="464"/>
        <v>4.3644900000000035</v>
      </c>
      <c r="AK483" s="1448">
        <f t="shared" si="405"/>
        <v>0.36370750000000029</v>
      </c>
      <c r="AL483" s="1431">
        <f t="shared" si="468"/>
        <v>107.19424460431655</v>
      </c>
    </row>
    <row r="484" spans="1:38" s="561" customFormat="1" ht="27.75" hidden="1" customHeight="1">
      <c r="A484" s="1375"/>
      <c r="B484" s="764" t="s">
        <v>2682</v>
      </c>
      <c r="C484" s="1455"/>
      <c r="D484" s="1455"/>
      <c r="E484" s="1455"/>
      <c r="F484" s="1455"/>
      <c r="G484" s="1614">
        <f t="shared" ref="G484:G500" si="469">H484+I484+T484</f>
        <v>0</v>
      </c>
      <c r="H484" s="1617"/>
      <c r="I484" s="1614">
        <f t="shared" ref="I484:I500" si="470">SUM(J484:S484)</f>
        <v>0</v>
      </c>
      <c r="J484" s="1617"/>
      <c r="K484" s="1617"/>
      <c r="L484" s="1617"/>
      <c r="M484" s="1617"/>
      <c r="N484" s="1617"/>
      <c r="O484" s="1617"/>
      <c r="P484" s="1617"/>
      <c r="Q484" s="1617"/>
      <c r="R484" s="1617"/>
      <c r="S484" s="1617"/>
      <c r="T484" s="1621"/>
      <c r="U484" s="1614">
        <f t="shared" ref="U484:U500" si="471">V484+W484+AH484</f>
        <v>0</v>
      </c>
      <c r="V484" s="1617"/>
      <c r="W484" s="1614">
        <f t="shared" ref="W484:W500" si="472">SUM(X484:AG484)</f>
        <v>0</v>
      </c>
      <c r="X484" s="1617"/>
      <c r="Y484" s="1617"/>
      <c r="Z484" s="1617"/>
      <c r="AA484" s="1617"/>
      <c r="AB484" s="1617"/>
      <c r="AC484" s="1617"/>
      <c r="AD484" s="1617"/>
      <c r="AE484" s="1617"/>
      <c r="AF484" s="1617"/>
      <c r="AG484" s="1617"/>
      <c r="AH484" s="1621"/>
      <c r="AI484" s="1621">
        <f t="shared" si="463"/>
        <v>0</v>
      </c>
      <c r="AJ484" s="1621">
        <f t="shared" si="464"/>
        <v>0</v>
      </c>
      <c r="AK484" s="1448" t="e">
        <f t="shared" si="405"/>
        <v>#DIV/0!</v>
      </c>
      <c r="AL484" s="1431" t="e">
        <f t="shared" si="468"/>
        <v>#DIV/0!</v>
      </c>
    </row>
    <row r="485" spans="1:38" s="561" customFormat="1" ht="27.75" hidden="1" customHeight="1">
      <c r="A485" s="1375"/>
      <c r="B485" s="764" t="s">
        <v>2683</v>
      </c>
      <c r="C485" s="1455"/>
      <c r="D485" s="1455"/>
      <c r="E485" s="1455"/>
      <c r="F485" s="1455"/>
      <c r="G485" s="1614">
        <f t="shared" si="469"/>
        <v>0</v>
      </c>
      <c r="H485" s="1659"/>
      <c r="I485" s="1614">
        <f t="shared" si="470"/>
        <v>0</v>
      </c>
      <c r="J485" s="1617"/>
      <c r="K485" s="1617"/>
      <c r="L485" s="1617"/>
      <c r="M485" s="1617"/>
      <c r="N485" s="1617"/>
      <c r="O485" s="1617"/>
      <c r="P485" s="1617"/>
      <c r="Q485" s="1617"/>
      <c r="R485" s="1617"/>
      <c r="S485" s="1617"/>
      <c r="T485" s="1621">
        <f>+H485*0.235</f>
        <v>0</v>
      </c>
      <c r="U485" s="1614">
        <f t="shared" si="471"/>
        <v>0</v>
      </c>
      <c r="V485" s="1659"/>
      <c r="W485" s="1614">
        <f t="shared" si="472"/>
        <v>0</v>
      </c>
      <c r="X485" s="1617"/>
      <c r="Y485" s="1617"/>
      <c r="Z485" s="1617"/>
      <c r="AA485" s="1617"/>
      <c r="AB485" s="1617"/>
      <c r="AC485" s="1617"/>
      <c r="AD485" s="1617"/>
      <c r="AE485" s="1617"/>
      <c r="AF485" s="1617"/>
      <c r="AG485" s="1617"/>
      <c r="AH485" s="1621">
        <f>+V485*0.235</f>
        <v>0</v>
      </c>
      <c r="AI485" s="1621">
        <f t="shared" si="463"/>
        <v>0</v>
      </c>
      <c r="AJ485" s="1621">
        <f t="shared" si="464"/>
        <v>0</v>
      </c>
      <c r="AK485" s="1448" t="e">
        <f t="shared" si="405"/>
        <v>#DIV/0!</v>
      </c>
      <c r="AL485" s="1431" t="e">
        <f t="shared" si="468"/>
        <v>#DIV/0!</v>
      </c>
    </row>
    <row r="486" spans="1:38" s="561" customFormat="1" ht="27.75" hidden="1" customHeight="1">
      <c r="A486" s="1375"/>
      <c r="B486" s="764" t="s">
        <v>2684</v>
      </c>
      <c r="C486" s="1455"/>
      <c r="D486" s="1455"/>
      <c r="E486" s="1455"/>
      <c r="F486" s="1455"/>
      <c r="G486" s="1614">
        <f t="shared" si="469"/>
        <v>0</v>
      </c>
      <c r="H486" s="1617"/>
      <c r="I486" s="1614">
        <f t="shared" si="470"/>
        <v>0</v>
      </c>
      <c r="J486" s="1617"/>
      <c r="K486" s="1617"/>
      <c r="L486" s="1617"/>
      <c r="M486" s="1617"/>
      <c r="N486" s="1617"/>
      <c r="O486" s="1617"/>
      <c r="P486" s="1617"/>
      <c r="Q486" s="1617"/>
      <c r="R486" s="1617"/>
      <c r="S486" s="1617"/>
      <c r="T486" s="1621"/>
      <c r="U486" s="1614">
        <f t="shared" si="471"/>
        <v>0</v>
      </c>
      <c r="V486" s="1617"/>
      <c r="W486" s="1614">
        <f t="shared" si="472"/>
        <v>0</v>
      </c>
      <c r="X486" s="1617"/>
      <c r="Y486" s="1617"/>
      <c r="Z486" s="1617"/>
      <c r="AA486" s="1617"/>
      <c r="AB486" s="1617"/>
      <c r="AC486" s="1617"/>
      <c r="AD486" s="1617"/>
      <c r="AE486" s="1617"/>
      <c r="AF486" s="1617"/>
      <c r="AG486" s="1617"/>
      <c r="AH486" s="1621"/>
      <c r="AI486" s="1621">
        <f t="shared" si="463"/>
        <v>0</v>
      </c>
      <c r="AJ486" s="1621">
        <f t="shared" si="464"/>
        <v>0</v>
      </c>
      <c r="AK486" s="1448" t="e">
        <f t="shared" si="405"/>
        <v>#DIV/0!</v>
      </c>
      <c r="AL486" s="1431" t="e">
        <f t="shared" si="468"/>
        <v>#DIV/0!</v>
      </c>
    </row>
    <row r="487" spans="1:38" s="561" customFormat="1" ht="27.75" hidden="1" customHeight="1">
      <c r="A487" s="1375"/>
      <c r="B487" s="764" t="s">
        <v>2685</v>
      </c>
      <c r="C487" s="1484">
        <f>+D487+E487</f>
        <v>10</v>
      </c>
      <c r="D487" s="1484"/>
      <c r="E487" s="1484">
        <v>10</v>
      </c>
      <c r="F487" s="1484">
        <v>10</v>
      </c>
      <c r="G487" s="1657">
        <f t="shared" si="469"/>
        <v>62.213480999999994</v>
      </c>
      <c r="H487" s="1657">
        <f>30.14*1.39</f>
        <v>41.894599999999997</v>
      </c>
      <c r="I487" s="1657">
        <f t="shared" si="470"/>
        <v>10.473649999999999</v>
      </c>
      <c r="J487" s="1657"/>
      <c r="K487" s="1657"/>
      <c r="L487" s="1657"/>
      <c r="M487" s="1657"/>
      <c r="N487" s="1657"/>
      <c r="O487" s="1657"/>
      <c r="P487" s="1658">
        <f>+H487*0.25</f>
        <v>10.473649999999999</v>
      </c>
      <c r="Q487" s="1658"/>
      <c r="R487" s="1657"/>
      <c r="S487" s="1657"/>
      <c r="T487" s="1657">
        <f>+H487*0.235</f>
        <v>9.8452309999999983</v>
      </c>
      <c r="U487" s="1657">
        <f t="shared" si="471"/>
        <v>66.689271000000005</v>
      </c>
      <c r="V487" s="1657">
        <f>30.14*1.49</f>
        <v>44.9086</v>
      </c>
      <c r="W487" s="1657">
        <f t="shared" si="472"/>
        <v>11.22715</v>
      </c>
      <c r="X487" s="1657"/>
      <c r="Y487" s="1657"/>
      <c r="Z487" s="1657"/>
      <c r="AA487" s="1657"/>
      <c r="AB487" s="1657"/>
      <c r="AC487" s="1657"/>
      <c r="AD487" s="1658">
        <f>+V487*0.25</f>
        <v>11.22715</v>
      </c>
      <c r="AE487" s="1658"/>
      <c r="AF487" s="1657"/>
      <c r="AG487" s="1657"/>
      <c r="AH487" s="1657">
        <f>+V487*0.235</f>
        <v>10.553521</v>
      </c>
      <c r="AI487" s="1621">
        <f t="shared" si="463"/>
        <v>4.4757900000000106</v>
      </c>
      <c r="AJ487" s="1621">
        <f t="shared" si="464"/>
        <v>26.854740000000064</v>
      </c>
      <c r="AK487" s="1448">
        <f t="shared" si="405"/>
        <v>0.44757900000000106</v>
      </c>
      <c r="AL487" s="1431">
        <f t="shared" si="468"/>
        <v>107.19424460431657</v>
      </c>
    </row>
    <row r="488" spans="1:38" s="561" customFormat="1" ht="27.75" hidden="1" customHeight="1">
      <c r="A488" s="1375"/>
      <c r="B488" s="764" t="s">
        <v>2686</v>
      </c>
      <c r="C488" s="1455"/>
      <c r="D488" s="1455"/>
      <c r="E488" s="1455"/>
      <c r="F488" s="1455"/>
      <c r="G488" s="1614">
        <f t="shared" si="469"/>
        <v>0</v>
      </c>
      <c r="H488" s="1617"/>
      <c r="I488" s="1614">
        <f t="shared" si="470"/>
        <v>0</v>
      </c>
      <c r="J488" s="1617"/>
      <c r="K488" s="1617"/>
      <c r="L488" s="1617"/>
      <c r="M488" s="1617"/>
      <c r="N488" s="1617"/>
      <c r="O488" s="1617"/>
      <c r="P488" s="1617"/>
      <c r="Q488" s="1617"/>
      <c r="R488" s="1617"/>
      <c r="S488" s="1617"/>
      <c r="T488" s="1621"/>
      <c r="U488" s="1614">
        <f t="shared" si="471"/>
        <v>0</v>
      </c>
      <c r="V488" s="1617"/>
      <c r="W488" s="1614">
        <f t="shared" si="472"/>
        <v>0</v>
      </c>
      <c r="X488" s="1617"/>
      <c r="Y488" s="1617"/>
      <c r="Z488" s="1617"/>
      <c r="AA488" s="1617"/>
      <c r="AB488" s="1617"/>
      <c r="AC488" s="1617"/>
      <c r="AD488" s="1617"/>
      <c r="AE488" s="1617"/>
      <c r="AF488" s="1617"/>
      <c r="AG488" s="1617"/>
      <c r="AH488" s="1621"/>
      <c r="AI488" s="1621">
        <f t="shared" si="463"/>
        <v>0</v>
      </c>
      <c r="AJ488" s="1621">
        <f t="shared" si="464"/>
        <v>0</v>
      </c>
      <c r="AK488" s="1448" t="e">
        <f t="shared" si="405"/>
        <v>#DIV/0!</v>
      </c>
      <c r="AL488" s="1431" t="e">
        <f t="shared" si="468"/>
        <v>#DIV/0!</v>
      </c>
    </row>
    <row r="489" spans="1:38" s="561" customFormat="1" ht="27.75" hidden="1" customHeight="1">
      <c r="A489" s="1375"/>
      <c r="B489" s="764" t="s">
        <v>2687</v>
      </c>
      <c r="C489" s="1455"/>
      <c r="D489" s="1455"/>
      <c r="E489" s="1455"/>
      <c r="F489" s="1455"/>
      <c r="G489" s="1614">
        <f t="shared" si="469"/>
        <v>0</v>
      </c>
      <c r="H489" s="1617"/>
      <c r="I489" s="1614">
        <f t="shared" si="470"/>
        <v>0</v>
      </c>
      <c r="J489" s="1617"/>
      <c r="K489" s="1617"/>
      <c r="L489" s="1617"/>
      <c r="M489" s="1617"/>
      <c r="N489" s="1617"/>
      <c r="O489" s="1617"/>
      <c r="P489" s="1617"/>
      <c r="Q489" s="1617"/>
      <c r="R489" s="1617"/>
      <c r="S489" s="1617"/>
      <c r="T489" s="1621"/>
      <c r="U489" s="1614">
        <f t="shared" si="471"/>
        <v>0</v>
      </c>
      <c r="V489" s="1617"/>
      <c r="W489" s="1614">
        <f t="shared" si="472"/>
        <v>0</v>
      </c>
      <c r="X489" s="1617"/>
      <c r="Y489" s="1617"/>
      <c r="Z489" s="1617"/>
      <c r="AA489" s="1617"/>
      <c r="AB489" s="1617"/>
      <c r="AC489" s="1617"/>
      <c r="AD489" s="1617"/>
      <c r="AE489" s="1617"/>
      <c r="AF489" s="1617"/>
      <c r="AG489" s="1617"/>
      <c r="AH489" s="1621"/>
      <c r="AI489" s="1621">
        <f t="shared" si="463"/>
        <v>0</v>
      </c>
      <c r="AJ489" s="1621">
        <f t="shared" si="464"/>
        <v>0</v>
      </c>
      <c r="AK489" s="1448" t="e">
        <f t="shared" si="405"/>
        <v>#DIV/0!</v>
      </c>
      <c r="AL489" s="1431" t="e">
        <f t="shared" si="468"/>
        <v>#DIV/0!</v>
      </c>
    </row>
    <row r="490" spans="1:38" s="561" customFormat="1" ht="27.75" hidden="1" customHeight="1">
      <c r="A490" s="1375">
        <v>19</v>
      </c>
      <c r="B490" s="764" t="s">
        <v>2688</v>
      </c>
      <c r="C490" s="1476">
        <f t="shared" ref="C490" si="473">D490+E490</f>
        <v>4</v>
      </c>
      <c r="D490" s="1476">
        <v>4</v>
      </c>
      <c r="E490" s="1476"/>
      <c r="F490" s="1476">
        <v>4</v>
      </c>
      <c r="G490" s="1637">
        <f t="shared" si="469"/>
        <v>18.745818</v>
      </c>
      <c r="H490" s="1638">
        <f>10.92*1.39</f>
        <v>15.178799999999999</v>
      </c>
      <c r="I490" s="1637">
        <f t="shared" si="470"/>
        <v>0</v>
      </c>
      <c r="J490" s="1638"/>
      <c r="K490" s="1638"/>
      <c r="L490" s="1638"/>
      <c r="M490" s="1638"/>
      <c r="N490" s="1638"/>
      <c r="O490" s="1638"/>
      <c r="P490" s="1638"/>
      <c r="Q490" s="1638"/>
      <c r="R490" s="1638"/>
      <c r="S490" s="1638"/>
      <c r="T490" s="1639">
        <f>(H490)*23.5%</f>
        <v>3.5670179999999996</v>
      </c>
      <c r="U490" s="1637">
        <f t="shared" si="471"/>
        <v>20.094438</v>
      </c>
      <c r="V490" s="1638">
        <f>10.92*1.49</f>
        <v>16.270800000000001</v>
      </c>
      <c r="W490" s="1637">
        <f t="shared" si="472"/>
        <v>0</v>
      </c>
      <c r="X490" s="1638"/>
      <c r="Y490" s="1638"/>
      <c r="Z490" s="1638"/>
      <c r="AA490" s="1638"/>
      <c r="AB490" s="1638"/>
      <c r="AC490" s="1638"/>
      <c r="AD490" s="1638"/>
      <c r="AE490" s="1638"/>
      <c r="AF490" s="1638"/>
      <c r="AG490" s="1638"/>
      <c r="AH490" s="1639">
        <f>(V490)*23.5%</f>
        <v>3.8236379999999999</v>
      </c>
      <c r="AI490" s="1621">
        <f t="shared" si="463"/>
        <v>1.3486200000000004</v>
      </c>
      <c r="AJ490" s="1621">
        <f t="shared" si="464"/>
        <v>8.0917200000000022</v>
      </c>
      <c r="AK490" s="1448">
        <f t="shared" ref="AK490:AK553" si="474">AI490/F490</f>
        <v>0.33715500000000009</v>
      </c>
      <c r="AL490" s="1431">
        <f t="shared" si="468"/>
        <v>107.19424460431655</v>
      </c>
    </row>
    <row r="491" spans="1:38" s="561" customFormat="1" ht="27.75" hidden="1" customHeight="1">
      <c r="A491" s="1375">
        <v>20</v>
      </c>
      <c r="B491" s="764" t="s">
        <v>2689</v>
      </c>
      <c r="C491" s="1476">
        <v>1</v>
      </c>
      <c r="D491" s="1476">
        <v>1</v>
      </c>
      <c r="E491" s="1476"/>
      <c r="F491" s="1476">
        <v>1</v>
      </c>
      <c r="G491" s="1637">
        <f t="shared" si="469"/>
        <v>4.1371264999999999</v>
      </c>
      <c r="H491" s="1638">
        <f>2.41*1.39</f>
        <v>3.3498999999999999</v>
      </c>
      <c r="I491" s="1637">
        <f t="shared" si="470"/>
        <v>0</v>
      </c>
      <c r="J491" s="1638"/>
      <c r="K491" s="1638"/>
      <c r="L491" s="1638"/>
      <c r="M491" s="1638"/>
      <c r="N491" s="1638"/>
      <c r="O491" s="1638"/>
      <c r="P491" s="1638"/>
      <c r="Q491" s="1638"/>
      <c r="R491" s="1638"/>
      <c r="S491" s="1638"/>
      <c r="T491" s="1639">
        <f>(H491)*23.5%</f>
        <v>0.78722649999999994</v>
      </c>
      <c r="U491" s="1637">
        <f t="shared" si="471"/>
        <v>4.4347614999999996</v>
      </c>
      <c r="V491" s="1638">
        <f>2.41*1.49</f>
        <v>3.5909</v>
      </c>
      <c r="W491" s="1637">
        <f t="shared" si="472"/>
        <v>0</v>
      </c>
      <c r="X491" s="1638"/>
      <c r="Y491" s="1638"/>
      <c r="Z491" s="1638"/>
      <c r="AA491" s="1638"/>
      <c r="AB491" s="1638"/>
      <c r="AC491" s="1638"/>
      <c r="AD491" s="1638"/>
      <c r="AE491" s="1638"/>
      <c r="AF491" s="1638"/>
      <c r="AG491" s="1638"/>
      <c r="AH491" s="1639">
        <f>(V491)*23.5%</f>
        <v>0.84386149999999993</v>
      </c>
      <c r="AI491" s="1621">
        <f t="shared" si="463"/>
        <v>0.29763499999999965</v>
      </c>
      <c r="AJ491" s="1621">
        <f t="shared" si="464"/>
        <v>1.7858099999999979</v>
      </c>
      <c r="AK491" s="1448">
        <f t="shared" si="474"/>
        <v>0.29763499999999965</v>
      </c>
      <c r="AL491" s="1431">
        <f t="shared" si="468"/>
        <v>107.19424460431655</v>
      </c>
    </row>
    <row r="492" spans="1:38" s="561" customFormat="1" ht="44.25" hidden="1" customHeight="1">
      <c r="A492" s="1375">
        <v>21</v>
      </c>
      <c r="B492" s="764" t="s">
        <v>2690</v>
      </c>
      <c r="C492" s="1455">
        <f>D492+E492</f>
        <v>18</v>
      </c>
      <c r="D492" s="1455">
        <v>18</v>
      </c>
      <c r="E492" s="1455"/>
      <c r="F492" s="1455">
        <v>15</v>
      </c>
      <c r="G492" s="1614">
        <f t="shared" si="469"/>
        <v>48.220698499999997</v>
      </c>
      <c r="H492" s="1617">
        <f>28.09*1.39</f>
        <v>39.045099999999998</v>
      </c>
      <c r="I492" s="1614">
        <f t="shared" si="470"/>
        <v>0</v>
      </c>
      <c r="J492" s="1617"/>
      <c r="K492" s="1617"/>
      <c r="L492" s="1617"/>
      <c r="M492" s="1617"/>
      <c r="N492" s="1617"/>
      <c r="O492" s="1617"/>
      <c r="P492" s="1617"/>
      <c r="Q492" s="1617"/>
      <c r="R492" s="1617"/>
      <c r="S492" s="1617"/>
      <c r="T492" s="1621">
        <f>(H492+K492)*23.5%</f>
        <v>9.1755984999999995</v>
      </c>
      <c r="U492" s="1614">
        <f t="shared" si="471"/>
        <v>51.6898135</v>
      </c>
      <c r="V492" s="1617">
        <f>28.09*1.49</f>
        <v>41.854100000000003</v>
      </c>
      <c r="W492" s="1614">
        <f t="shared" si="472"/>
        <v>0</v>
      </c>
      <c r="X492" s="1617"/>
      <c r="Y492" s="1617"/>
      <c r="Z492" s="1617"/>
      <c r="AA492" s="1617"/>
      <c r="AB492" s="1617"/>
      <c r="AC492" s="1617"/>
      <c r="AD492" s="1617"/>
      <c r="AE492" s="1617"/>
      <c r="AF492" s="1617"/>
      <c r="AG492" s="1617"/>
      <c r="AH492" s="1621">
        <f>(V492+Y492)*23.5%</f>
        <v>9.8357135000000007</v>
      </c>
      <c r="AI492" s="1621">
        <f t="shared" si="463"/>
        <v>3.4691150000000022</v>
      </c>
      <c r="AJ492" s="1621">
        <f t="shared" si="464"/>
        <v>20.814690000000013</v>
      </c>
      <c r="AK492" s="1448">
        <f t="shared" si="474"/>
        <v>0.23127433333333347</v>
      </c>
      <c r="AL492" s="1431">
        <f t="shared" si="468"/>
        <v>107.19424460431655</v>
      </c>
    </row>
    <row r="493" spans="1:38" s="561" customFormat="1" ht="48" hidden="1" customHeight="1">
      <c r="A493" s="1375">
        <v>22</v>
      </c>
      <c r="B493" s="764" t="s">
        <v>2691</v>
      </c>
      <c r="C493" s="1455"/>
      <c r="D493" s="1455"/>
      <c r="E493" s="1455"/>
      <c r="F493" s="1455"/>
      <c r="G493" s="1614">
        <f t="shared" si="469"/>
        <v>0</v>
      </c>
      <c r="H493" s="1617"/>
      <c r="I493" s="1614">
        <f t="shared" si="470"/>
        <v>0</v>
      </c>
      <c r="J493" s="1617"/>
      <c r="K493" s="1617"/>
      <c r="L493" s="1617"/>
      <c r="M493" s="1617"/>
      <c r="N493" s="1617"/>
      <c r="O493" s="1617"/>
      <c r="P493" s="1617"/>
      <c r="Q493" s="1617"/>
      <c r="R493" s="1617"/>
      <c r="S493" s="1617"/>
      <c r="T493" s="1621"/>
      <c r="U493" s="1614">
        <f t="shared" si="471"/>
        <v>0</v>
      </c>
      <c r="V493" s="1617"/>
      <c r="W493" s="1614">
        <f t="shared" si="472"/>
        <v>0</v>
      </c>
      <c r="X493" s="1617"/>
      <c r="Y493" s="1617"/>
      <c r="Z493" s="1617"/>
      <c r="AA493" s="1617"/>
      <c r="AB493" s="1617"/>
      <c r="AC493" s="1617"/>
      <c r="AD493" s="1617"/>
      <c r="AE493" s="1617"/>
      <c r="AF493" s="1617"/>
      <c r="AG493" s="1617"/>
      <c r="AH493" s="1621"/>
      <c r="AI493" s="1621">
        <f t="shared" si="463"/>
        <v>0</v>
      </c>
      <c r="AJ493" s="1621">
        <f t="shared" si="464"/>
        <v>0</v>
      </c>
      <c r="AK493" s="1448" t="e">
        <f t="shared" si="474"/>
        <v>#DIV/0!</v>
      </c>
      <c r="AL493" s="1431" t="e">
        <f t="shared" si="468"/>
        <v>#DIV/0!</v>
      </c>
    </row>
    <row r="494" spans="1:38" s="561" customFormat="1" ht="30.75" hidden="1" customHeight="1">
      <c r="A494" s="1375">
        <v>23</v>
      </c>
      <c r="B494" s="764" t="s">
        <v>2692</v>
      </c>
      <c r="C494" s="1455"/>
      <c r="D494" s="1455"/>
      <c r="E494" s="1455"/>
      <c r="F494" s="1455"/>
      <c r="G494" s="1614">
        <f t="shared" si="469"/>
        <v>0</v>
      </c>
      <c r="H494" s="1617"/>
      <c r="I494" s="1614">
        <f t="shared" si="470"/>
        <v>0</v>
      </c>
      <c r="J494" s="1617"/>
      <c r="K494" s="1617"/>
      <c r="L494" s="1617"/>
      <c r="M494" s="1617"/>
      <c r="N494" s="1617"/>
      <c r="O494" s="1617"/>
      <c r="P494" s="1617"/>
      <c r="Q494" s="1617"/>
      <c r="R494" s="1617"/>
      <c r="S494" s="1617"/>
      <c r="T494" s="1621"/>
      <c r="U494" s="1614">
        <f t="shared" si="471"/>
        <v>0</v>
      </c>
      <c r="V494" s="1617"/>
      <c r="W494" s="1614">
        <f t="shared" si="472"/>
        <v>0</v>
      </c>
      <c r="X494" s="1617"/>
      <c r="Y494" s="1617"/>
      <c r="Z494" s="1617"/>
      <c r="AA494" s="1617"/>
      <c r="AB494" s="1617"/>
      <c r="AC494" s="1617"/>
      <c r="AD494" s="1617"/>
      <c r="AE494" s="1617"/>
      <c r="AF494" s="1617"/>
      <c r="AG494" s="1617"/>
      <c r="AH494" s="1621"/>
      <c r="AI494" s="1621">
        <f t="shared" si="463"/>
        <v>0</v>
      </c>
      <c r="AJ494" s="1621">
        <f t="shared" si="464"/>
        <v>0</v>
      </c>
      <c r="AK494" s="1448" t="e">
        <f t="shared" si="474"/>
        <v>#DIV/0!</v>
      </c>
      <c r="AL494" s="1431" t="e">
        <f t="shared" si="468"/>
        <v>#DIV/0!</v>
      </c>
    </row>
    <row r="495" spans="1:38" s="561" customFormat="1" ht="47.25" hidden="1">
      <c r="A495" s="1375">
        <v>24</v>
      </c>
      <c r="B495" s="764" t="s">
        <v>2693</v>
      </c>
      <c r="C495" s="1455">
        <f>D495+E495</f>
        <v>2</v>
      </c>
      <c r="D495" s="1455">
        <v>2</v>
      </c>
      <c r="E495" s="1455"/>
      <c r="F495" s="1455">
        <v>2</v>
      </c>
      <c r="G495" s="1614">
        <f t="shared" si="469"/>
        <v>6.4546039999999989</v>
      </c>
      <c r="H495" s="1617">
        <f>3.76*1.39</f>
        <v>5.226399999999999</v>
      </c>
      <c r="I495" s="1614">
        <f t="shared" si="470"/>
        <v>0</v>
      </c>
      <c r="J495" s="1617"/>
      <c r="K495" s="1617"/>
      <c r="L495" s="1617"/>
      <c r="M495" s="1617"/>
      <c r="N495" s="1617"/>
      <c r="O495" s="1617"/>
      <c r="P495" s="1617"/>
      <c r="Q495" s="1617"/>
      <c r="R495" s="1617"/>
      <c r="S495" s="1617"/>
      <c r="T495" s="1621">
        <f>(H495+K495)*23.5%</f>
        <v>1.2282039999999996</v>
      </c>
      <c r="U495" s="1614">
        <f t="shared" si="471"/>
        <v>6.918963999999999</v>
      </c>
      <c r="V495" s="1617">
        <f>3.76*1.49</f>
        <v>5.6023999999999994</v>
      </c>
      <c r="W495" s="1614">
        <f t="shared" si="472"/>
        <v>0</v>
      </c>
      <c r="X495" s="1617"/>
      <c r="Y495" s="1617"/>
      <c r="Z495" s="1617"/>
      <c r="AA495" s="1617"/>
      <c r="AB495" s="1617"/>
      <c r="AC495" s="1617"/>
      <c r="AD495" s="1617"/>
      <c r="AE495" s="1617"/>
      <c r="AF495" s="1617"/>
      <c r="AG495" s="1617"/>
      <c r="AH495" s="1621">
        <f>(V495+Y495)*23.5%</f>
        <v>1.3165639999999998</v>
      </c>
      <c r="AI495" s="1621">
        <f t="shared" si="463"/>
        <v>0.46436000000000011</v>
      </c>
      <c r="AJ495" s="1621">
        <f t="shared" si="464"/>
        <v>2.7861600000000006</v>
      </c>
      <c r="AK495" s="1448">
        <f t="shared" si="474"/>
        <v>0.23218000000000005</v>
      </c>
      <c r="AL495" s="1431">
        <f t="shared" si="468"/>
        <v>107.19424460431655</v>
      </c>
    </row>
    <row r="496" spans="1:38" s="561" customFormat="1" ht="27.75" hidden="1" customHeight="1">
      <c r="A496" s="1375">
        <v>25</v>
      </c>
      <c r="B496" s="764" t="s">
        <v>2694</v>
      </c>
      <c r="C496" s="1455">
        <f>D496+E496</f>
        <v>0</v>
      </c>
      <c r="D496" s="1455"/>
      <c r="E496" s="1455"/>
      <c r="F496" s="1455"/>
      <c r="G496" s="1614">
        <f t="shared" si="469"/>
        <v>0</v>
      </c>
      <c r="H496" s="1617"/>
      <c r="I496" s="1614">
        <f t="shared" si="470"/>
        <v>0</v>
      </c>
      <c r="J496" s="1617"/>
      <c r="K496" s="1617"/>
      <c r="L496" s="1617"/>
      <c r="M496" s="1617"/>
      <c r="N496" s="1617"/>
      <c r="O496" s="1617"/>
      <c r="P496" s="1617">
        <v>0</v>
      </c>
      <c r="Q496" s="1617"/>
      <c r="R496" s="1617"/>
      <c r="S496" s="1617"/>
      <c r="T496" s="1621">
        <f>(H496)*23.5%</f>
        <v>0</v>
      </c>
      <c r="U496" s="1614">
        <f t="shared" si="471"/>
        <v>0</v>
      </c>
      <c r="V496" s="1617"/>
      <c r="W496" s="1614">
        <f t="shared" si="472"/>
        <v>0</v>
      </c>
      <c r="X496" s="1617"/>
      <c r="Y496" s="1617"/>
      <c r="Z496" s="1617"/>
      <c r="AA496" s="1617"/>
      <c r="AB496" s="1617"/>
      <c r="AC496" s="1617"/>
      <c r="AD496" s="1617"/>
      <c r="AE496" s="1617"/>
      <c r="AF496" s="1617"/>
      <c r="AG496" s="1617"/>
      <c r="AH496" s="1621">
        <f>(V496)*23.5%</f>
        <v>0</v>
      </c>
      <c r="AI496" s="1621">
        <f t="shared" si="463"/>
        <v>0</v>
      </c>
      <c r="AJ496" s="1621">
        <f t="shared" si="464"/>
        <v>0</v>
      </c>
      <c r="AK496" s="1448" t="e">
        <f t="shared" si="474"/>
        <v>#DIV/0!</v>
      </c>
      <c r="AL496" s="1431" t="e">
        <f t="shared" si="468"/>
        <v>#DIV/0!</v>
      </c>
    </row>
    <row r="497" spans="1:38" s="561" customFormat="1" ht="27.75" hidden="1" customHeight="1">
      <c r="A497" s="1375">
        <v>26</v>
      </c>
      <c r="B497" s="764" t="s">
        <v>2695</v>
      </c>
      <c r="C497" s="1455"/>
      <c r="D497" s="1455"/>
      <c r="E497" s="1455"/>
      <c r="F497" s="1455"/>
      <c r="G497" s="1614">
        <f t="shared" si="469"/>
        <v>0</v>
      </c>
      <c r="H497" s="1617"/>
      <c r="I497" s="1614">
        <f t="shared" si="470"/>
        <v>0</v>
      </c>
      <c r="J497" s="1617"/>
      <c r="K497" s="1617"/>
      <c r="L497" s="1617"/>
      <c r="M497" s="1617"/>
      <c r="N497" s="1617"/>
      <c r="O497" s="1617"/>
      <c r="P497" s="1617"/>
      <c r="Q497" s="1617"/>
      <c r="R497" s="1617"/>
      <c r="S497" s="1617"/>
      <c r="T497" s="1621"/>
      <c r="U497" s="1614">
        <f t="shared" si="471"/>
        <v>0</v>
      </c>
      <c r="V497" s="1617"/>
      <c r="W497" s="1614">
        <f t="shared" si="472"/>
        <v>0</v>
      </c>
      <c r="X497" s="1617"/>
      <c r="Y497" s="1617"/>
      <c r="Z497" s="1617"/>
      <c r="AA497" s="1617"/>
      <c r="AB497" s="1617"/>
      <c r="AC497" s="1617"/>
      <c r="AD497" s="1617"/>
      <c r="AE497" s="1617"/>
      <c r="AF497" s="1617"/>
      <c r="AG497" s="1617"/>
      <c r="AH497" s="1621"/>
      <c r="AI497" s="1621">
        <f t="shared" si="463"/>
        <v>0</v>
      </c>
      <c r="AJ497" s="1621">
        <f t="shared" si="464"/>
        <v>0</v>
      </c>
      <c r="AK497" s="1448" t="e">
        <f t="shared" si="474"/>
        <v>#DIV/0!</v>
      </c>
      <c r="AL497" s="1431" t="e">
        <f t="shared" si="468"/>
        <v>#DIV/0!</v>
      </c>
    </row>
    <row r="498" spans="1:38" s="561" customFormat="1" ht="27.75" hidden="1" customHeight="1">
      <c r="A498" s="1375">
        <v>27</v>
      </c>
      <c r="B498" s="1490" t="s">
        <v>2696</v>
      </c>
      <c r="C498" s="1461">
        <v>1</v>
      </c>
      <c r="D498" s="1461">
        <v>1</v>
      </c>
      <c r="E498" s="1461"/>
      <c r="F498" s="1461">
        <v>1</v>
      </c>
      <c r="G498" s="1620">
        <f t="shared" si="469"/>
        <v>2.883972</v>
      </c>
      <c r="H498" s="1624">
        <f>1.68*1.39</f>
        <v>2.3351999999999999</v>
      </c>
      <c r="I498" s="1620">
        <f t="shared" si="470"/>
        <v>0</v>
      </c>
      <c r="J498" s="1630"/>
      <c r="K498" s="1630">
        <f t="shared" ref="K498:L498" si="475">0*1.39</f>
        <v>0</v>
      </c>
      <c r="L498" s="1624">
        <f t="shared" si="475"/>
        <v>0</v>
      </c>
      <c r="M498" s="1630"/>
      <c r="N498" s="1624"/>
      <c r="O498" s="1630">
        <f t="shared" ref="O498" si="476">0*1.39</f>
        <v>0</v>
      </c>
      <c r="P498" s="1630"/>
      <c r="Q498" s="1630"/>
      <c r="R498" s="1630">
        <f t="shared" ref="R498:S498" si="477">0*1.39</f>
        <v>0</v>
      </c>
      <c r="S498" s="1630">
        <f t="shared" si="477"/>
        <v>0</v>
      </c>
      <c r="T498" s="1621">
        <f>(H498+K498+L498+R498)*23.5%</f>
        <v>0.54877199999999993</v>
      </c>
      <c r="U498" s="1620">
        <f t="shared" si="471"/>
        <v>3.0914520000000003</v>
      </c>
      <c r="V498" s="1624">
        <f>(H498/1.39)*1.49</f>
        <v>2.5032000000000001</v>
      </c>
      <c r="W498" s="1620">
        <f t="shared" si="472"/>
        <v>0</v>
      </c>
      <c r="X498" s="1706"/>
      <c r="Y498" s="1706">
        <f t="shared" ref="Y498:AG498" si="478">(K498/1.39)*1.49</f>
        <v>0</v>
      </c>
      <c r="Z498" s="1624">
        <f t="shared" si="478"/>
        <v>0</v>
      </c>
      <c r="AA498" s="1706">
        <f t="shared" si="478"/>
        <v>0</v>
      </c>
      <c r="AB498" s="1624">
        <f t="shared" si="478"/>
        <v>0</v>
      </c>
      <c r="AC498" s="1706">
        <f t="shared" si="478"/>
        <v>0</v>
      </c>
      <c r="AD498" s="1706">
        <f t="shared" si="478"/>
        <v>0</v>
      </c>
      <c r="AE498" s="1706">
        <f t="shared" si="478"/>
        <v>0</v>
      </c>
      <c r="AF498" s="1706">
        <f t="shared" si="478"/>
        <v>0</v>
      </c>
      <c r="AG498" s="1706">
        <f t="shared" si="478"/>
        <v>0</v>
      </c>
      <c r="AH498" s="1620">
        <f>(V498+Y498+Z498+AF498)*23.5%</f>
        <v>0.588252</v>
      </c>
      <c r="AI498" s="1664">
        <f t="shared" si="463"/>
        <v>0.20748000000000033</v>
      </c>
      <c r="AJ498" s="1621">
        <f t="shared" si="464"/>
        <v>1.244880000000002</v>
      </c>
      <c r="AK498" s="1448">
        <f t="shared" si="474"/>
        <v>0.20748000000000033</v>
      </c>
      <c r="AL498" s="1431">
        <f t="shared" si="468"/>
        <v>107.19424460431657</v>
      </c>
    </row>
    <row r="499" spans="1:38" s="561" customFormat="1" ht="38.25" hidden="1" customHeight="1">
      <c r="A499" s="1375">
        <v>28</v>
      </c>
      <c r="B499" s="764" t="s">
        <v>2697</v>
      </c>
      <c r="C499" s="1476">
        <f t="shared" ref="C499" si="479">D499+E499</f>
        <v>3</v>
      </c>
      <c r="D499" s="1476">
        <v>3</v>
      </c>
      <c r="E499" s="1476"/>
      <c r="F499" s="1476">
        <v>1</v>
      </c>
      <c r="G499" s="1637">
        <f t="shared" si="469"/>
        <v>1.7166499999999998</v>
      </c>
      <c r="H499" s="1638">
        <f>1*1.39</f>
        <v>1.39</v>
      </c>
      <c r="I499" s="1637">
        <f t="shared" si="470"/>
        <v>0</v>
      </c>
      <c r="J499" s="1638"/>
      <c r="K499" s="1638"/>
      <c r="L499" s="1638"/>
      <c r="M499" s="1638"/>
      <c r="N499" s="1638"/>
      <c r="O499" s="1638"/>
      <c r="P499" s="1638"/>
      <c r="Q499" s="1638"/>
      <c r="R499" s="1638"/>
      <c r="S499" s="1638"/>
      <c r="T499" s="1639">
        <f>(H499)*23.5%</f>
        <v>0.32664999999999994</v>
      </c>
      <c r="U499" s="1637">
        <f t="shared" si="471"/>
        <v>1.84015</v>
      </c>
      <c r="V499" s="1638">
        <f>1*1.49</f>
        <v>1.49</v>
      </c>
      <c r="W499" s="1637">
        <f t="shared" si="472"/>
        <v>0</v>
      </c>
      <c r="X499" s="1638"/>
      <c r="Y499" s="1638"/>
      <c r="Z499" s="1638"/>
      <c r="AA499" s="1638"/>
      <c r="AB499" s="1638"/>
      <c r="AC499" s="1638"/>
      <c r="AD499" s="1638"/>
      <c r="AE499" s="1638"/>
      <c r="AF499" s="1638"/>
      <c r="AG499" s="1638"/>
      <c r="AH499" s="1639">
        <f>(V499)*23.5%</f>
        <v>0.35014999999999996</v>
      </c>
      <c r="AI499" s="1621">
        <f t="shared" si="463"/>
        <v>0.12350000000000017</v>
      </c>
      <c r="AJ499" s="1621">
        <f t="shared" si="464"/>
        <v>0.74100000000000099</v>
      </c>
      <c r="AK499" s="1448">
        <f t="shared" si="474"/>
        <v>0.12350000000000017</v>
      </c>
      <c r="AL499" s="1431">
        <f t="shared" si="468"/>
        <v>107.19424460431655</v>
      </c>
    </row>
    <row r="500" spans="1:38" s="561" customFormat="1" ht="27.75" hidden="1" customHeight="1">
      <c r="A500" s="1375">
        <v>29</v>
      </c>
      <c r="B500" s="764" t="s">
        <v>2698</v>
      </c>
      <c r="C500" s="1455"/>
      <c r="D500" s="1455"/>
      <c r="E500" s="1455"/>
      <c r="F500" s="1455"/>
      <c r="G500" s="1709">
        <f t="shared" si="469"/>
        <v>0</v>
      </c>
      <c r="H500" s="1617"/>
      <c r="I500" s="1709">
        <f t="shared" si="470"/>
        <v>0</v>
      </c>
      <c r="J500" s="1617"/>
      <c r="K500" s="1617"/>
      <c r="L500" s="1617"/>
      <c r="M500" s="1617"/>
      <c r="N500" s="1617"/>
      <c r="O500" s="1617"/>
      <c r="P500" s="1617"/>
      <c r="Q500" s="1617"/>
      <c r="R500" s="1617"/>
      <c r="S500" s="1617"/>
      <c r="T500" s="1693"/>
      <c r="U500" s="1709">
        <f t="shared" si="471"/>
        <v>0</v>
      </c>
      <c r="V500" s="1617"/>
      <c r="W500" s="1709">
        <f t="shared" si="472"/>
        <v>0</v>
      </c>
      <c r="X500" s="1617"/>
      <c r="Y500" s="1617"/>
      <c r="Z500" s="1617"/>
      <c r="AA500" s="1617"/>
      <c r="AB500" s="1617"/>
      <c r="AC500" s="1617"/>
      <c r="AD500" s="1617"/>
      <c r="AE500" s="1617"/>
      <c r="AF500" s="1617"/>
      <c r="AG500" s="1617"/>
      <c r="AH500" s="1693"/>
      <c r="AI500" s="1710">
        <f t="shared" si="463"/>
        <v>0</v>
      </c>
      <c r="AJ500" s="1710">
        <f t="shared" si="464"/>
        <v>0</v>
      </c>
      <c r="AK500" s="1448" t="e">
        <f t="shared" si="474"/>
        <v>#DIV/0!</v>
      </c>
      <c r="AL500" s="1431" t="e">
        <f t="shared" si="468"/>
        <v>#DIV/0!</v>
      </c>
    </row>
    <row r="501" spans="1:38" s="561" customFormat="1" ht="27.75" hidden="1" customHeight="1">
      <c r="A501" s="1445">
        <v>9</v>
      </c>
      <c r="B501" s="1446" t="s">
        <v>2537</v>
      </c>
      <c r="C501" s="1447">
        <f>C502</f>
        <v>4</v>
      </c>
      <c r="D501" s="1447">
        <f t="shared" ref="D501:AJ501" si="480">D502</f>
        <v>0</v>
      </c>
      <c r="E501" s="1447">
        <f t="shared" si="480"/>
        <v>4</v>
      </c>
      <c r="F501" s="1447">
        <f t="shared" si="480"/>
        <v>4</v>
      </c>
      <c r="G501" s="1616">
        <f t="shared" si="480"/>
        <v>15.561953499999998</v>
      </c>
      <c r="H501" s="1616">
        <f t="shared" si="480"/>
        <v>12.218099999999998</v>
      </c>
      <c r="I501" s="1616">
        <f t="shared" si="480"/>
        <v>0.47260000000000002</v>
      </c>
      <c r="J501" s="1616">
        <f t="shared" si="480"/>
        <v>0</v>
      </c>
      <c r="K501" s="1616">
        <f t="shared" si="480"/>
        <v>0</v>
      </c>
      <c r="L501" s="1616">
        <f t="shared" si="480"/>
        <v>0</v>
      </c>
      <c r="M501" s="1616">
        <f t="shared" si="480"/>
        <v>0</v>
      </c>
      <c r="N501" s="1616">
        <f t="shared" si="480"/>
        <v>0</v>
      </c>
      <c r="O501" s="1616">
        <f t="shared" si="480"/>
        <v>0</v>
      </c>
      <c r="P501" s="1616">
        <f t="shared" si="480"/>
        <v>0.47260000000000002</v>
      </c>
      <c r="Q501" s="1616">
        <f t="shared" si="480"/>
        <v>0</v>
      </c>
      <c r="R501" s="1616">
        <f t="shared" si="480"/>
        <v>0</v>
      </c>
      <c r="S501" s="1616">
        <f t="shared" si="480"/>
        <v>0</v>
      </c>
      <c r="T501" s="1616">
        <f t="shared" si="480"/>
        <v>2.8712534999999995</v>
      </c>
      <c r="U501" s="1616">
        <f t="shared" si="480"/>
        <v>16.681518499999999</v>
      </c>
      <c r="V501" s="1616">
        <f t="shared" si="480"/>
        <v>13.097099999999999</v>
      </c>
      <c r="W501" s="1616">
        <f t="shared" si="480"/>
        <v>0.50660000000000005</v>
      </c>
      <c r="X501" s="1616">
        <f t="shared" si="480"/>
        <v>0</v>
      </c>
      <c r="Y501" s="1616">
        <f t="shared" si="480"/>
        <v>0</v>
      </c>
      <c r="Z501" s="1616">
        <f t="shared" si="480"/>
        <v>0</v>
      </c>
      <c r="AA501" s="1616">
        <f t="shared" si="480"/>
        <v>0</v>
      </c>
      <c r="AB501" s="1616">
        <f t="shared" si="480"/>
        <v>0</v>
      </c>
      <c r="AC501" s="1616">
        <f t="shared" si="480"/>
        <v>0</v>
      </c>
      <c r="AD501" s="1616">
        <f t="shared" si="480"/>
        <v>0.50660000000000005</v>
      </c>
      <c r="AE501" s="1616">
        <f t="shared" si="480"/>
        <v>0</v>
      </c>
      <c r="AF501" s="1616">
        <f t="shared" si="480"/>
        <v>0</v>
      </c>
      <c r="AG501" s="1616">
        <f t="shared" si="480"/>
        <v>0</v>
      </c>
      <c r="AH501" s="1616">
        <f t="shared" si="480"/>
        <v>3.0778184999999998</v>
      </c>
      <c r="AI501" s="1616">
        <f t="shared" si="480"/>
        <v>1.1195650000000024</v>
      </c>
      <c r="AJ501" s="1616">
        <f t="shared" si="480"/>
        <v>6.7173900000000142</v>
      </c>
      <c r="AK501" s="1448">
        <f t="shared" si="474"/>
        <v>0.27989125000000059</v>
      </c>
      <c r="AL501" s="1431">
        <f t="shared" si="468"/>
        <v>107.19424460431655</v>
      </c>
    </row>
    <row r="502" spans="1:38" s="561" customFormat="1" ht="27.75" hidden="1" customHeight="1">
      <c r="A502" s="1375">
        <v>30</v>
      </c>
      <c r="B502" s="764" t="s">
        <v>2699</v>
      </c>
      <c r="C502" s="560">
        <f>SUM(C503:C506)</f>
        <v>4</v>
      </c>
      <c r="D502" s="560">
        <f t="shared" ref="D502:AJ502" si="481">SUM(D503:D506)</f>
        <v>0</v>
      </c>
      <c r="E502" s="560">
        <f t="shared" si="481"/>
        <v>4</v>
      </c>
      <c r="F502" s="560">
        <f t="shared" si="481"/>
        <v>4</v>
      </c>
      <c r="G502" s="1617">
        <f t="shared" si="481"/>
        <v>15.561953499999998</v>
      </c>
      <c r="H502" s="1617">
        <f t="shared" si="481"/>
        <v>12.218099999999998</v>
      </c>
      <c r="I502" s="1617">
        <f t="shared" si="481"/>
        <v>0.47260000000000002</v>
      </c>
      <c r="J502" s="1617">
        <f t="shared" si="481"/>
        <v>0</v>
      </c>
      <c r="K502" s="1617">
        <f t="shared" si="481"/>
        <v>0</v>
      </c>
      <c r="L502" s="1617">
        <f t="shared" si="481"/>
        <v>0</v>
      </c>
      <c r="M502" s="1617">
        <f t="shared" si="481"/>
        <v>0</v>
      </c>
      <c r="N502" s="1617">
        <f t="shared" si="481"/>
        <v>0</v>
      </c>
      <c r="O502" s="1617">
        <f t="shared" si="481"/>
        <v>0</v>
      </c>
      <c r="P502" s="1617">
        <f t="shared" si="481"/>
        <v>0.47260000000000002</v>
      </c>
      <c r="Q502" s="1617">
        <f t="shared" si="481"/>
        <v>0</v>
      </c>
      <c r="R502" s="1617">
        <f t="shared" si="481"/>
        <v>0</v>
      </c>
      <c r="S502" s="1617">
        <f t="shared" si="481"/>
        <v>0</v>
      </c>
      <c r="T502" s="1617">
        <f t="shared" si="481"/>
        <v>2.8712534999999995</v>
      </c>
      <c r="U502" s="1617">
        <f t="shared" si="481"/>
        <v>16.681518499999999</v>
      </c>
      <c r="V502" s="1617">
        <f t="shared" si="481"/>
        <v>13.097099999999999</v>
      </c>
      <c r="W502" s="1617">
        <f t="shared" si="481"/>
        <v>0.50660000000000005</v>
      </c>
      <c r="X502" s="1617">
        <f t="shared" si="481"/>
        <v>0</v>
      </c>
      <c r="Y502" s="1617">
        <f t="shared" si="481"/>
        <v>0</v>
      </c>
      <c r="Z502" s="1617">
        <f t="shared" si="481"/>
        <v>0</v>
      </c>
      <c r="AA502" s="1617">
        <f t="shared" si="481"/>
        <v>0</v>
      </c>
      <c r="AB502" s="1617">
        <f t="shared" si="481"/>
        <v>0</v>
      </c>
      <c r="AC502" s="1617">
        <f t="shared" si="481"/>
        <v>0</v>
      </c>
      <c r="AD502" s="1617">
        <f t="shared" si="481"/>
        <v>0.50660000000000005</v>
      </c>
      <c r="AE502" s="1617">
        <f t="shared" si="481"/>
        <v>0</v>
      </c>
      <c r="AF502" s="1617">
        <f t="shared" si="481"/>
        <v>0</v>
      </c>
      <c r="AG502" s="1617">
        <f t="shared" si="481"/>
        <v>0</v>
      </c>
      <c r="AH502" s="1617">
        <f t="shared" si="481"/>
        <v>3.0778184999999998</v>
      </c>
      <c r="AI502" s="1617">
        <f t="shared" si="481"/>
        <v>1.1195650000000024</v>
      </c>
      <c r="AJ502" s="1617">
        <f t="shared" si="481"/>
        <v>6.7173900000000142</v>
      </c>
      <c r="AK502" s="1448">
        <f t="shared" si="474"/>
        <v>0.27989125000000059</v>
      </c>
      <c r="AL502" s="1431">
        <f t="shared" si="468"/>
        <v>107.19424460431655</v>
      </c>
    </row>
    <row r="503" spans="1:38" s="561" customFormat="1" ht="27.75" hidden="1" customHeight="1">
      <c r="A503" s="1375"/>
      <c r="B503" s="764" t="s">
        <v>2700</v>
      </c>
      <c r="C503" s="1543">
        <f>D503+E503</f>
        <v>1</v>
      </c>
      <c r="D503" s="1543"/>
      <c r="E503" s="1543">
        <v>1</v>
      </c>
      <c r="F503" s="1543">
        <v>1</v>
      </c>
      <c r="G503" s="1712">
        <f>H503+I503+T503</f>
        <v>2.8072439999999999</v>
      </c>
      <c r="H503" s="1713">
        <f>1.36*1.39</f>
        <v>1.8904000000000001</v>
      </c>
      <c r="I503" s="1712">
        <f>SUM(K503:S503)</f>
        <v>0.47260000000000002</v>
      </c>
      <c r="J503" s="1712"/>
      <c r="K503" s="1713"/>
      <c r="L503" s="1713">
        <v>0</v>
      </c>
      <c r="M503" s="1713">
        <v>0</v>
      </c>
      <c r="N503" s="1713">
        <v>0</v>
      </c>
      <c r="O503" s="1713">
        <v>0</v>
      </c>
      <c r="P503" s="1713">
        <f>(H503+K503+L503+R503)*25%</f>
        <v>0.47260000000000002</v>
      </c>
      <c r="Q503" s="1713">
        <v>0</v>
      </c>
      <c r="R503" s="1713">
        <v>0</v>
      </c>
      <c r="S503" s="1713"/>
      <c r="T503" s="1713">
        <f>(H503+K503+L503+R503)*23.5%</f>
        <v>0.44424399999999997</v>
      </c>
      <c r="U503" s="1712">
        <f>V503+W503+AH503</f>
        <v>3.0092040000000004</v>
      </c>
      <c r="V503" s="1713">
        <f>1.36*1.49</f>
        <v>2.0264000000000002</v>
      </c>
      <c r="W503" s="1712">
        <f>SUM(Y503:AG503)</f>
        <v>0.50660000000000005</v>
      </c>
      <c r="X503" s="1712"/>
      <c r="Y503" s="1713"/>
      <c r="Z503" s="1713">
        <v>0</v>
      </c>
      <c r="AA503" s="1713">
        <v>0</v>
      </c>
      <c r="AB503" s="1713">
        <v>0</v>
      </c>
      <c r="AC503" s="1713">
        <v>0</v>
      </c>
      <c r="AD503" s="1713">
        <f>(V503+Y503+Z503+AF503)*25%</f>
        <v>0.50660000000000005</v>
      </c>
      <c r="AE503" s="1713">
        <v>0</v>
      </c>
      <c r="AF503" s="1713">
        <v>0</v>
      </c>
      <c r="AG503" s="1713"/>
      <c r="AH503" s="1713">
        <f>(V503+Y503+Z503+AF503)*23.5%</f>
        <v>0.47620400000000002</v>
      </c>
      <c r="AI503" s="1621">
        <f>U503-G503</f>
        <v>0.20196000000000058</v>
      </c>
      <c r="AJ503" s="1621">
        <f>AI503*6</f>
        <v>1.2117600000000035</v>
      </c>
      <c r="AK503" s="1463">
        <f t="shared" si="474"/>
        <v>0.20196000000000058</v>
      </c>
      <c r="AL503" s="1431">
        <f t="shared" si="468"/>
        <v>107.19424460431657</v>
      </c>
    </row>
    <row r="504" spans="1:38" s="561" customFormat="1" ht="27.75" hidden="1" customHeight="1">
      <c r="A504" s="1375"/>
      <c r="B504" s="764" t="s">
        <v>2701</v>
      </c>
      <c r="C504" s="1544">
        <f t="shared" ref="C504:C506" si="482">D504+E504</f>
        <v>0</v>
      </c>
      <c r="D504" s="1544"/>
      <c r="E504" s="1544"/>
      <c r="F504" s="1544"/>
      <c r="G504" s="1676">
        <f>H504+I504+T504</f>
        <v>0</v>
      </c>
      <c r="H504" s="1677"/>
      <c r="I504" s="1676">
        <f>SUM(K504:S504)</f>
        <v>0</v>
      </c>
      <c r="J504" s="1676"/>
      <c r="K504" s="1677"/>
      <c r="L504" s="1677">
        <v>0</v>
      </c>
      <c r="M504" s="1677">
        <v>0</v>
      </c>
      <c r="N504" s="1677">
        <v>0</v>
      </c>
      <c r="O504" s="1677">
        <v>0</v>
      </c>
      <c r="P504" s="1677">
        <f>(H504+K504+L504+R504)*25%</f>
        <v>0</v>
      </c>
      <c r="Q504" s="1677">
        <v>0</v>
      </c>
      <c r="R504" s="1677">
        <v>0</v>
      </c>
      <c r="S504" s="1677"/>
      <c r="T504" s="1677">
        <f>(H504+K504+L504+R504)*23.5%</f>
        <v>0</v>
      </c>
      <c r="U504" s="1676">
        <f>V504+W504+AH504</f>
        <v>0</v>
      </c>
      <c r="V504" s="1676">
        <f>(H504*1.39)/1.3</f>
        <v>0</v>
      </c>
      <c r="W504" s="1676">
        <f>SUM(X504:AG504)</f>
        <v>0</v>
      </c>
      <c r="X504" s="1677">
        <v>0</v>
      </c>
      <c r="Y504" s="1677"/>
      <c r="Z504" s="1677"/>
      <c r="AA504" s="1677">
        <v>0</v>
      </c>
      <c r="AB504" s="1677">
        <v>0</v>
      </c>
      <c r="AC504" s="1677">
        <v>0</v>
      </c>
      <c r="AD504" s="1676">
        <f>(P504*1.39)/1.3</f>
        <v>0</v>
      </c>
      <c r="AE504" s="1677">
        <v>0</v>
      </c>
      <c r="AF504" s="1677">
        <v>0</v>
      </c>
      <c r="AG504" s="1677"/>
      <c r="AH504" s="1677">
        <f>(V504+Y504+Z504+AF504)*23.5%</f>
        <v>0</v>
      </c>
      <c r="AI504" s="1621">
        <f>U504-G504</f>
        <v>0</v>
      </c>
      <c r="AJ504" s="1621">
        <f>AI504*6</f>
        <v>0</v>
      </c>
      <c r="AK504" s="1463" t="e">
        <f t="shared" si="474"/>
        <v>#DIV/0!</v>
      </c>
      <c r="AL504" s="1431" t="e">
        <f t="shared" si="468"/>
        <v>#DIV/0!</v>
      </c>
    </row>
    <row r="505" spans="1:38" s="561" customFormat="1" ht="27.75" hidden="1" customHeight="1">
      <c r="A505" s="1375"/>
      <c r="B505" s="764" t="s">
        <v>2702</v>
      </c>
      <c r="C505" s="1544">
        <f t="shared" si="482"/>
        <v>0</v>
      </c>
      <c r="D505" s="1545"/>
      <c r="E505" s="1545"/>
      <c r="F505" s="1545"/>
      <c r="G505" s="1614">
        <f>H505+I505+T505</f>
        <v>0</v>
      </c>
      <c r="H505" s="1617"/>
      <c r="I505" s="1614">
        <f>SUM(J505:S505)</f>
        <v>0</v>
      </c>
      <c r="J505" s="1617"/>
      <c r="K505" s="1617"/>
      <c r="L505" s="1617"/>
      <c r="M505" s="1617"/>
      <c r="N505" s="1617"/>
      <c r="O505" s="1617"/>
      <c r="P505" s="1617"/>
      <c r="Q505" s="1617"/>
      <c r="R505" s="1617"/>
      <c r="S505" s="1617"/>
      <c r="T505" s="1621"/>
      <c r="U505" s="1614">
        <f>V505+W505+AH505</f>
        <v>0</v>
      </c>
      <c r="V505" s="1617"/>
      <c r="W505" s="1614">
        <f>SUM(X505:AG505)</f>
        <v>0</v>
      </c>
      <c r="X505" s="1617"/>
      <c r="Y505" s="1617"/>
      <c r="Z505" s="1617"/>
      <c r="AA505" s="1617"/>
      <c r="AB505" s="1617"/>
      <c r="AC505" s="1617"/>
      <c r="AD505" s="1617"/>
      <c r="AE505" s="1617"/>
      <c r="AF505" s="1617"/>
      <c r="AG505" s="1617"/>
      <c r="AH505" s="1621"/>
      <c r="AI505" s="1621">
        <f>U505-G505</f>
        <v>0</v>
      </c>
      <c r="AJ505" s="1621">
        <f>AI505*6</f>
        <v>0</v>
      </c>
      <c r="AK505" s="1463" t="e">
        <f t="shared" si="474"/>
        <v>#DIV/0!</v>
      </c>
      <c r="AL505" s="1431" t="e">
        <f t="shared" si="468"/>
        <v>#DIV/0!</v>
      </c>
    </row>
    <row r="506" spans="1:38" s="561" customFormat="1" ht="27.75" hidden="1" customHeight="1">
      <c r="A506" s="1375"/>
      <c r="B506" s="764" t="s">
        <v>2703</v>
      </c>
      <c r="C506" s="1544">
        <f t="shared" si="482"/>
        <v>3</v>
      </c>
      <c r="D506" s="1546"/>
      <c r="E506" s="1476">
        <v>3</v>
      </c>
      <c r="F506" s="1476">
        <v>3</v>
      </c>
      <c r="G506" s="1714">
        <f>H506+I506+T506</f>
        <v>12.754709499999997</v>
      </c>
      <c r="H506" s="1715">
        <f>7.43*1.39</f>
        <v>10.327699999999998</v>
      </c>
      <c r="I506" s="1714">
        <f>SUM(J506:S506)</f>
        <v>0</v>
      </c>
      <c r="J506" s="1715"/>
      <c r="K506" s="1715"/>
      <c r="L506" s="1715"/>
      <c r="M506" s="1715"/>
      <c r="N506" s="1715"/>
      <c r="O506" s="1715"/>
      <c r="P506" s="1715"/>
      <c r="Q506" s="1715"/>
      <c r="R506" s="1715"/>
      <c r="S506" s="1715"/>
      <c r="T506" s="1716">
        <f>(H506+K506+L506+R506)*23.5%</f>
        <v>2.4270094999999996</v>
      </c>
      <c r="U506" s="1714">
        <f>V506+W506+AH506</f>
        <v>13.672314499999999</v>
      </c>
      <c r="V506" s="1714">
        <f>(H506/1.39)*1.49</f>
        <v>11.070699999999999</v>
      </c>
      <c r="W506" s="1714">
        <f>SUM(X506:AG506)</f>
        <v>0</v>
      </c>
      <c r="X506" s="1714">
        <f t="shared" ref="X506:AG506" si="483">(J506/1.39)*1.49</f>
        <v>0</v>
      </c>
      <c r="Y506" s="1714">
        <f t="shared" si="483"/>
        <v>0</v>
      </c>
      <c r="Z506" s="1714">
        <f t="shared" si="483"/>
        <v>0</v>
      </c>
      <c r="AA506" s="1714">
        <f t="shared" si="483"/>
        <v>0</v>
      </c>
      <c r="AB506" s="1714">
        <f t="shared" si="483"/>
        <v>0</v>
      </c>
      <c r="AC506" s="1714">
        <f t="shared" si="483"/>
        <v>0</v>
      </c>
      <c r="AD506" s="1714">
        <f t="shared" si="483"/>
        <v>0</v>
      </c>
      <c r="AE506" s="1714">
        <f t="shared" si="483"/>
        <v>0</v>
      </c>
      <c r="AF506" s="1714">
        <f t="shared" si="483"/>
        <v>0</v>
      </c>
      <c r="AG506" s="1714">
        <f t="shared" si="483"/>
        <v>0</v>
      </c>
      <c r="AH506" s="1714">
        <f>(V506+Y506+Z506+AF506)*23.5%</f>
        <v>2.6016144999999997</v>
      </c>
      <c r="AI506" s="1621">
        <f>U506-G506</f>
        <v>0.91760500000000178</v>
      </c>
      <c r="AJ506" s="1621">
        <f>AI506*6</f>
        <v>5.5056300000000107</v>
      </c>
      <c r="AK506" s="1463">
        <f t="shared" si="474"/>
        <v>0.30586833333333391</v>
      </c>
      <c r="AL506" s="1431">
        <f t="shared" si="468"/>
        <v>107.19424460431657</v>
      </c>
    </row>
    <row r="507" spans="1:38" s="561" customFormat="1" ht="27.75" hidden="1" customHeight="1">
      <c r="A507" s="1445">
        <v>10</v>
      </c>
      <c r="B507" s="1446" t="s">
        <v>2704</v>
      </c>
      <c r="C507" s="1547">
        <f t="shared" ref="C507:AJ507" si="484">C508+C543+C555+C563</f>
        <v>115</v>
      </c>
      <c r="D507" s="1547">
        <f t="shared" si="484"/>
        <v>24</v>
      </c>
      <c r="E507" s="1547">
        <f t="shared" si="484"/>
        <v>91</v>
      </c>
      <c r="F507" s="1547">
        <f t="shared" si="484"/>
        <v>100</v>
      </c>
      <c r="G507" s="1645">
        <f t="shared" si="484"/>
        <v>538.75491901999987</v>
      </c>
      <c r="H507" s="1645">
        <f t="shared" si="484"/>
        <v>352.19819999999993</v>
      </c>
      <c r="I507" s="1645">
        <f t="shared" si="484"/>
        <v>103.50961499999998</v>
      </c>
      <c r="J507" s="1645">
        <f t="shared" si="484"/>
        <v>0</v>
      </c>
      <c r="K507" s="1645">
        <f t="shared" si="484"/>
        <v>0</v>
      </c>
      <c r="L507" s="1645">
        <f t="shared" si="484"/>
        <v>1.193732</v>
      </c>
      <c r="M507" s="1645">
        <f t="shared" si="484"/>
        <v>0</v>
      </c>
      <c r="N507" s="1645">
        <f t="shared" si="484"/>
        <v>0</v>
      </c>
      <c r="O507" s="1645">
        <f t="shared" si="484"/>
        <v>0</v>
      </c>
      <c r="P507" s="1645">
        <f t="shared" si="484"/>
        <v>80.096732999999986</v>
      </c>
      <c r="Q507" s="1645">
        <f t="shared" si="484"/>
        <v>21.663149999999998</v>
      </c>
      <c r="R507" s="1645">
        <f t="shared" si="484"/>
        <v>0</v>
      </c>
      <c r="S507" s="1645">
        <f t="shared" si="484"/>
        <v>0.55599999999999994</v>
      </c>
      <c r="T507" s="1645">
        <f t="shared" si="484"/>
        <v>83.04710402000002</v>
      </c>
      <c r="U507" s="1645">
        <f t="shared" si="484"/>
        <v>577.51426571208629</v>
      </c>
      <c r="V507" s="1645">
        <f t="shared" si="484"/>
        <v>377.53620000000006</v>
      </c>
      <c r="W507" s="1645">
        <f t="shared" si="484"/>
        <v>110.95634989208634</v>
      </c>
      <c r="X507" s="1645">
        <f t="shared" si="484"/>
        <v>0</v>
      </c>
      <c r="Y507" s="1645">
        <f t="shared" si="484"/>
        <v>0</v>
      </c>
      <c r="Z507" s="1645">
        <f t="shared" si="484"/>
        <v>1.2796120000000002</v>
      </c>
      <c r="AA507" s="1645">
        <f t="shared" si="484"/>
        <v>0</v>
      </c>
      <c r="AB507" s="1645">
        <f t="shared" si="484"/>
        <v>0</v>
      </c>
      <c r="AC507" s="1645">
        <f t="shared" si="484"/>
        <v>0</v>
      </c>
      <c r="AD507" s="1645">
        <f t="shared" si="484"/>
        <v>85.859087892086336</v>
      </c>
      <c r="AE507" s="1645">
        <f t="shared" si="484"/>
        <v>23.22165</v>
      </c>
      <c r="AF507" s="1645">
        <f t="shared" si="484"/>
        <v>0</v>
      </c>
      <c r="AG507" s="1645">
        <f t="shared" si="484"/>
        <v>0.59599999999999997</v>
      </c>
      <c r="AH507" s="1645">
        <f t="shared" si="484"/>
        <v>89.021715819999997</v>
      </c>
      <c r="AI507" s="1645">
        <f t="shared" si="484"/>
        <v>38.759346692086339</v>
      </c>
      <c r="AJ507" s="1645">
        <f t="shared" si="484"/>
        <v>232.55608015251804</v>
      </c>
      <c r="AK507" s="1448">
        <f t="shared" si="474"/>
        <v>0.38759346692086338</v>
      </c>
      <c r="AL507" s="1431">
        <f t="shared" si="468"/>
        <v>107.19424460431657</v>
      </c>
    </row>
    <row r="508" spans="1:38" s="561" customFormat="1" ht="27.75" hidden="1" customHeight="1">
      <c r="A508" s="1499"/>
      <c r="B508" s="1500" t="s">
        <v>2538</v>
      </c>
      <c r="C508" s="1501">
        <f t="shared" ref="C508:AJ508" si="485">SUM(C509,C512:C514,C521:C524,C527:C528,C531,C534:C542)</f>
        <v>90</v>
      </c>
      <c r="D508" s="1501">
        <f t="shared" si="485"/>
        <v>18</v>
      </c>
      <c r="E508" s="1501">
        <f t="shared" si="485"/>
        <v>72</v>
      </c>
      <c r="F508" s="1501">
        <f t="shared" si="485"/>
        <v>76</v>
      </c>
      <c r="G508" s="1678">
        <f t="shared" si="485"/>
        <v>374.45518151999988</v>
      </c>
      <c r="H508" s="1678">
        <f t="shared" si="485"/>
        <v>251.77069999999992</v>
      </c>
      <c r="I508" s="1678">
        <f t="shared" si="485"/>
        <v>63.237839999999991</v>
      </c>
      <c r="J508" s="1678">
        <f t="shared" si="485"/>
        <v>0</v>
      </c>
      <c r="K508" s="1678">
        <f t="shared" si="485"/>
        <v>0</v>
      </c>
      <c r="L508" s="1678">
        <f t="shared" si="485"/>
        <v>1.193732</v>
      </c>
      <c r="M508" s="1678">
        <f t="shared" si="485"/>
        <v>0</v>
      </c>
      <c r="N508" s="1678">
        <f t="shared" si="485"/>
        <v>0</v>
      </c>
      <c r="O508" s="1678">
        <f t="shared" si="485"/>
        <v>0</v>
      </c>
      <c r="P508" s="1678">
        <f t="shared" si="485"/>
        <v>62.044107999999994</v>
      </c>
      <c r="Q508" s="1678">
        <f t="shared" si="485"/>
        <v>0</v>
      </c>
      <c r="R508" s="1678">
        <f t="shared" si="485"/>
        <v>0</v>
      </c>
      <c r="S508" s="1678">
        <f t="shared" si="485"/>
        <v>0</v>
      </c>
      <c r="T508" s="1678">
        <f t="shared" si="485"/>
        <v>59.446641520000014</v>
      </c>
      <c r="U508" s="1678">
        <f t="shared" si="485"/>
        <v>401.39440321208639</v>
      </c>
      <c r="V508" s="1678">
        <f t="shared" si="485"/>
        <v>269.88370000000003</v>
      </c>
      <c r="W508" s="1678">
        <f t="shared" si="485"/>
        <v>67.787324892086332</v>
      </c>
      <c r="X508" s="1678">
        <f t="shared" si="485"/>
        <v>0</v>
      </c>
      <c r="Y508" s="1678">
        <f t="shared" si="485"/>
        <v>0</v>
      </c>
      <c r="Z508" s="1678">
        <f t="shared" si="485"/>
        <v>1.2796120000000002</v>
      </c>
      <c r="AA508" s="1678">
        <f t="shared" si="485"/>
        <v>0</v>
      </c>
      <c r="AB508" s="1678">
        <f t="shared" si="485"/>
        <v>0</v>
      </c>
      <c r="AC508" s="1678">
        <f t="shared" si="485"/>
        <v>0</v>
      </c>
      <c r="AD508" s="1678">
        <f t="shared" si="485"/>
        <v>66.507712892086332</v>
      </c>
      <c r="AE508" s="1678">
        <f t="shared" si="485"/>
        <v>0</v>
      </c>
      <c r="AF508" s="1678">
        <f t="shared" si="485"/>
        <v>0</v>
      </c>
      <c r="AG508" s="1678">
        <f t="shared" si="485"/>
        <v>0</v>
      </c>
      <c r="AH508" s="1678">
        <f t="shared" si="485"/>
        <v>63.723378320000009</v>
      </c>
      <c r="AI508" s="1678">
        <f t="shared" si="485"/>
        <v>26.939221692086328</v>
      </c>
      <c r="AJ508" s="1678">
        <f t="shared" si="485"/>
        <v>161.63533015251795</v>
      </c>
      <c r="AK508" s="1448">
        <f t="shared" si="474"/>
        <v>0.35446344331692536</v>
      </c>
      <c r="AL508" s="1431">
        <f t="shared" si="468"/>
        <v>107.19424460431659</v>
      </c>
    </row>
    <row r="509" spans="1:38" s="561" customFormat="1" ht="27.75" hidden="1" customHeight="1">
      <c r="A509" s="1499">
        <v>31</v>
      </c>
      <c r="B509" s="1453" t="s">
        <v>2705</v>
      </c>
      <c r="C509" s="1494">
        <f>SUM(C510:C511)</f>
        <v>39</v>
      </c>
      <c r="D509" s="1494">
        <f t="shared" ref="D509:AJ509" si="486">SUM(D510:D511)</f>
        <v>0</v>
      </c>
      <c r="E509" s="1494">
        <f t="shared" si="486"/>
        <v>39</v>
      </c>
      <c r="F509" s="1494">
        <f t="shared" si="486"/>
        <v>36</v>
      </c>
      <c r="G509" s="1674">
        <f t="shared" si="486"/>
        <v>208.25250632999999</v>
      </c>
      <c r="H509" s="1674">
        <f t="shared" si="486"/>
        <v>139.33359999999999</v>
      </c>
      <c r="I509" s="1674">
        <f t="shared" si="486"/>
        <v>35.963122499999997</v>
      </c>
      <c r="J509" s="1674">
        <f t="shared" si="486"/>
        <v>0</v>
      </c>
      <c r="K509" s="1674">
        <f t="shared" si="486"/>
        <v>0</v>
      </c>
      <c r="L509" s="1674">
        <f t="shared" si="486"/>
        <v>0.90377799999999997</v>
      </c>
      <c r="M509" s="1674">
        <f t="shared" si="486"/>
        <v>0</v>
      </c>
      <c r="N509" s="1674">
        <f t="shared" si="486"/>
        <v>0</v>
      </c>
      <c r="O509" s="1674">
        <f t="shared" si="486"/>
        <v>0</v>
      </c>
      <c r="P509" s="1674">
        <f t="shared" si="486"/>
        <v>35.059344499999995</v>
      </c>
      <c r="Q509" s="1674">
        <f t="shared" si="486"/>
        <v>0</v>
      </c>
      <c r="R509" s="1674">
        <f t="shared" si="486"/>
        <v>0</v>
      </c>
      <c r="S509" s="1674">
        <f t="shared" si="486"/>
        <v>0</v>
      </c>
      <c r="T509" s="1674">
        <f t="shared" si="486"/>
        <v>32.955783829999994</v>
      </c>
      <c r="U509" s="1674">
        <f t="shared" si="486"/>
        <v>223.23470103</v>
      </c>
      <c r="V509" s="1674">
        <f t="shared" si="486"/>
        <v>149.35759999999999</v>
      </c>
      <c r="W509" s="1674">
        <f t="shared" si="486"/>
        <v>38.550397499999995</v>
      </c>
      <c r="X509" s="1674">
        <f t="shared" si="486"/>
        <v>0</v>
      </c>
      <c r="Y509" s="1674">
        <f t="shared" si="486"/>
        <v>0</v>
      </c>
      <c r="Z509" s="1674">
        <f t="shared" si="486"/>
        <v>0.96879800000000005</v>
      </c>
      <c r="AA509" s="1674">
        <f t="shared" si="486"/>
        <v>0</v>
      </c>
      <c r="AB509" s="1674">
        <f t="shared" si="486"/>
        <v>0</v>
      </c>
      <c r="AC509" s="1674">
        <f t="shared" si="486"/>
        <v>0</v>
      </c>
      <c r="AD509" s="1674">
        <f t="shared" si="486"/>
        <v>37.581599499999996</v>
      </c>
      <c r="AE509" s="1674">
        <f t="shared" si="486"/>
        <v>0</v>
      </c>
      <c r="AF509" s="1674">
        <f t="shared" si="486"/>
        <v>0</v>
      </c>
      <c r="AG509" s="1674">
        <f t="shared" si="486"/>
        <v>0</v>
      </c>
      <c r="AH509" s="1674">
        <f t="shared" si="486"/>
        <v>35.326703529999996</v>
      </c>
      <c r="AI509" s="1674">
        <f t="shared" si="486"/>
        <v>14.98219469999999</v>
      </c>
      <c r="AJ509" s="1674">
        <f t="shared" si="486"/>
        <v>89.893168199999934</v>
      </c>
      <c r="AK509" s="1448">
        <f t="shared" si="474"/>
        <v>0.41617207499999975</v>
      </c>
      <c r="AL509" s="1431">
        <f t="shared" si="468"/>
        <v>107.19424460431655</v>
      </c>
    </row>
    <row r="510" spans="1:38" s="561" customFormat="1" ht="27.75" hidden="1" customHeight="1">
      <c r="A510" s="1499"/>
      <c r="B510" s="764" t="s">
        <v>2706</v>
      </c>
      <c r="C510" s="1455">
        <f>D510+E510</f>
        <v>36</v>
      </c>
      <c r="D510" s="1455"/>
      <c r="E510" s="1455">
        <v>36</v>
      </c>
      <c r="F510" s="1455">
        <v>34</v>
      </c>
      <c r="G510" s="1614">
        <f>H510+I510+T510</f>
        <v>201.97749032999999</v>
      </c>
      <c r="H510" s="1617">
        <f>(70.19+27.01)*1.39</f>
        <v>135.108</v>
      </c>
      <c r="I510" s="1614">
        <f>SUM(J510:S510)</f>
        <v>34.906722500000001</v>
      </c>
      <c r="J510" s="1617"/>
      <c r="K510" s="1617"/>
      <c r="L510" s="1617">
        <f>(0.3224+0.3278)*1.39</f>
        <v>0.90377799999999997</v>
      </c>
      <c r="M510" s="1617"/>
      <c r="N510" s="1617"/>
      <c r="O510" s="1617"/>
      <c r="P510" s="1617">
        <f>(17.6281+6.83445)*1.39</f>
        <v>34.002944499999998</v>
      </c>
      <c r="Q510" s="1617"/>
      <c r="R510" s="1617"/>
      <c r="S510" s="1617"/>
      <c r="T510" s="1621">
        <f>(H510+L510)*23.5%</f>
        <v>31.962767829999997</v>
      </c>
      <c r="U510" s="1614">
        <f>V510+W510+AH510</f>
        <v>216.50824502999998</v>
      </c>
      <c r="V510" s="1617">
        <f>(70.19+27.01)*1.49</f>
        <v>144.828</v>
      </c>
      <c r="W510" s="1614">
        <f>SUM(X510:AG510)</f>
        <v>37.417997499999998</v>
      </c>
      <c r="X510" s="1617"/>
      <c r="Y510" s="1617"/>
      <c r="Z510" s="1617">
        <f>(0.3224+0.3278)*1.49</f>
        <v>0.96879800000000005</v>
      </c>
      <c r="AA510" s="1617"/>
      <c r="AB510" s="1617"/>
      <c r="AC510" s="1617"/>
      <c r="AD510" s="1617">
        <f>(17.6281+6.83445)*1.49</f>
        <v>36.449199499999999</v>
      </c>
      <c r="AE510" s="1617"/>
      <c r="AF510" s="1617"/>
      <c r="AG510" s="1617"/>
      <c r="AH510" s="1621">
        <f>(V510+Z510)*23.5%</f>
        <v>34.262247529999996</v>
      </c>
      <c r="AI510" s="1621">
        <f>U510-G510</f>
        <v>14.530754699999989</v>
      </c>
      <c r="AJ510" s="1621">
        <f>AI510*6</f>
        <v>87.184528199999932</v>
      </c>
      <c r="AK510" s="1448">
        <f t="shared" si="474"/>
        <v>0.42737513823529377</v>
      </c>
      <c r="AL510" s="1431">
        <f t="shared" si="468"/>
        <v>107.19424460431655</v>
      </c>
    </row>
    <row r="511" spans="1:38" s="561" customFormat="1" ht="27.75" hidden="1" customHeight="1">
      <c r="A511" s="1499"/>
      <c r="B511" s="764" t="s">
        <v>2718</v>
      </c>
      <c r="C511" s="1455">
        <f>D511+E511</f>
        <v>3</v>
      </c>
      <c r="D511" s="1455"/>
      <c r="E511" s="1455">
        <v>3</v>
      </c>
      <c r="F511" s="1455">
        <v>2</v>
      </c>
      <c r="G511" s="1614">
        <f>H511+I511+T511</f>
        <v>6.2750159999999999</v>
      </c>
      <c r="H511" s="1617">
        <f>3.04*1.39</f>
        <v>4.2256</v>
      </c>
      <c r="I511" s="1614">
        <f>SUM(J511:S511)</f>
        <v>1.0564</v>
      </c>
      <c r="J511" s="1617"/>
      <c r="K511" s="1617"/>
      <c r="L511" s="1617"/>
      <c r="M511" s="1617"/>
      <c r="N511" s="1617"/>
      <c r="O511" s="1617"/>
      <c r="P511" s="1617">
        <f>0.76*1.39</f>
        <v>1.0564</v>
      </c>
      <c r="Q511" s="1617"/>
      <c r="R511" s="1617"/>
      <c r="S511" s="1617"/>
      <c r="T511" s="1621">
        <f>(H511)*23.5%</f>
        <v>0.9930159999999999</v>
      </c>
      <c r="U511" s="1614">
        <f>V511+W511+AH511</f>
        <v>6.7264560000000007</v>
      </c>
      <c r="V511" s="1617">
        <f>3.04*1.49</f>
        <v>4.5296000000000003</v>
      </c>
      <c r="W511" s="1614">
        <f>SUM(X511:AG511)</f>
        <v>1.1324000000000001</v>
      </c>
      <c r="X511" s="1617"/>
      <c r="Y511" s="1617"/>
      <c r="Z511" s="1617"/>
      <c r="AA511" s="1617"/>
      <c r="AB511" s="1617"/>
      <c r="AC511" s="1617"/>
      <c r="AD511" s="1617">
        <f>0.76*1.49</f>
        <v>1.1324000000000001</v>
      </c>
      <c r="AE511" s="1617"/>
      <c r="AF511" s="1617"/>
      <c r="AG511" s="1617"/>
      <c r="AH511" s="1621">
        <f>(V511)*23.5%</f>
        <v>1.0644560000000001</v>
      </c>
      <c r="AI511" s="1621">
        <f>U511-G511</f>
        <v>0.45144000000000073</v>
      </c>
      <c r="AJ511" s="1621">
        <f>AI511*6</f>
        <v>2.7086400000000044</v>
      </c>
      <c r="AK511" s="1448">
        <f t="shared" si="474"/>
        <v>0.22572000000000036</v>
      </c>
      <c r="AL511" s="1431">
        <f t="shared" si="468"/>
        <v>107.19424460431657</v>
      </c>
    </row>
    <row r="512" spans="1:38" s="561" customFormat="1" ht="27.75" hidden="1" customHeight="1">
      <c r="A512" s="1499">
        <v>32</v>
      </c>
      <c r="B512" s="764" t="s">
        <v>2711</v>
      </c>
      <c r="C512" s="1455">
        <f>D512+E512</f>
        <v>2</v>
      </c>
      <c r="D512" s="1455"/>
      <c r="E512" s="1455">
        <v>2</v>
      </c>
      <c r="F512" s="1455">
        <v>2</v>
      </c>
      <c r="G512" s="1614">
        <f>H512+I512+T512</f>
        <v>8.9584109999999981</v>
      </c>
      <c r="H512" s="1617">
        <f>4.34*1.39</f>
        <v>6.0325999999999995</v>
      </c>
      <c r="I512" s="1614">
        <f>SUM(J512:S512)</f>
        <v>1.5081499999999999</v>
      </c>
      <c r="J512" s="1617"/>
      <c r="K512" s="1617"/>
      <c r="L512" s="1617"/>
      <c r="M512" s="1617"/>
      <c r="N512" s="1617"/>
      <c r="O512" s="1617"/>
      <c r="P512" s="1617">
        <f>1.085*1.39</f>
        <v>1.5081499999999999</v>
      </c>
      <c r="Q512" s="1617"/>
      <c r="R512" s="1617"/>
      <c r="S512" s="1617"/>
      <c r="T512" s="1621">
        <f>(H512)*23.5%</f>
        <v>1.4176609999999998</v>
      </c>
      <c r="U512" s="1614">
        <f>V512+W512+AH512</f>
        <v>9.6029009999999992</v>
      </c>
      <c r="V512" s="1617">
        <f>4.34*1.49</f>
        <v>6.4665999999999997</v>
      </c>
      <c r="W512" s="1614">
        <f>SUM(X512:AG512)</f>
        <v>1.6166499999999999</v>
      </c>
      <c r="X512" s="1617"/>
      <c r="Y512" s="1617"/>
      <c r="Z512" s="1617"/>
      <c r="AA512" s="1617"/>
      <c r="AB512" s="1617"/>
      <c r="AC512" s="1617"/>
      <c r="AD512" s="1617">
        <f>1.085*1.49</f>
        <v>1.6166499999999999</v>
      </c>
      <c r="AE512" s="1617"/>
      <c r="AF512" s="1617"/>
      <c r="AG512" s="1617"/>
      <c r="AH512" s="1621">
        <f>(V512)*23.5%</f>
        <v>1.5196509999999999</v>
      </c>
      <c r="AI512" s="1621">
        <f>U512-G512</f>
        <v>0.64449000000000112</v>
      </c>
      <c r="AJ512" s="1621">
        <f>AI512*6</f>
        <v>3.8669400000000067</v>
      </c>
      <c r="AK512" s="1448">
        <f t="shared" si="474"/>
        <v>0.32224500000000056</v>
      </c>
      <c r="AL512" s="1431">
        <f t="shared" si="468"/>
        <v>107.19424460431657</v>
      </c>
    </row>
    <row r="513" spans="1:38" s="561" customFormat="1" ht="27.75" hidden="1" customHeight="1">
      <c r="A513" s="1499">
        <v>33</v>
      </c>
      <c r="B513" s="764" t="s">
        <v>2712</v>
      </c>
      <c r="C513" s="1484">
        <f>+D513+E513</f>
        <v>1</v>
      </c>
      <c r="D513" s="1484">
        <v>1</v>
      </c>
      <c r="E513" s="1484"/>
      <c r="F513" s="1484">
        <v>1</v>
      </c>
      <c r="G513" s="1657">
        <f>H513+I513+T513</f>
        <v>5.0365259999999994</v>
      </c>
      <c r="H513" s="1657">
        <f>2.44*1.39</f>
        <v>3.3915999999999995</v>
      </c>
      <c r="I513" s="1657">
        <f>SUM(J513:S513)</f>
        <v>0.84789999999999988</v>
      </c>
      <c r="J513" s="1657"/>
      <c r="K513" s="1657">
        <v>0</v>
      </c>
      <c r="L513" s="1657">
        <v>0</v>
      </c>
      <c r="M513" s="1657"/>
      <c r="N513" s="1657"/>
      <c r="O513" s="1657"/>
      <c r="P513" s="1658">
        <f>+(H513+K513+L513)*0.25</f>
        <v>0.84789999999999988</v>
      </c>
      <c r="Q513" s="1658">
        <v>0</v>
      </c>
      <c r="R513" s="1657">
        <v>0</v>
      </c>
      <c r="S513" s="1657">
        <v>0</v>
      </c>
      <c r="T513" s="1657">
        <f>+(H513+K513+L513+R513)*0.235</f>
        <v>0.79702599999999979</v>
      </c>
      <c r="U513" s="1657">
        <f>V513+W513+AH513</f>
        <v>5.3988659999999991</v>
      </c>
      <c r="V513" s="1657">
        <f>2.44*1.49</f>
        <v>3.6355999999999997</v>
      </c>
      <c r="W513" s="1657">
        <f>SUM(X513:AG513)</f>
        <v>0.90889999999999993</v>
      </c>
      <c r="X513" s="1657"/>
      <c r="Y513" s="1657">
        <v>0</v>
      </c>
      <c r="Z513" s="1657">
        <v>0</v>
      </c>
      <c r="AA513" s="1657"/>
      <c r="AB513" s="1657"/>
      <c r="AC513" s="1657"/>
      <c r="AD513" s="1658">
        <f>+(V513+Y513+Z513)*0.25</f>
        <v>0.90889999999999993</v>
      </c>
      <c r="AE513" s="1658">
        <v>0</v>
      </c>
      <c r="AF513" s="1657">
        <v>0</v>
      </c>
      <c r="AG513" s="1657">
        <v>0</v>
      </c>
      <c r="AH513" s="1657">
        <f>+(V513+Y513+Z513+AF513)*0.235</f>
        <v>0.85436599999999985</v>
      </c>
      <c r="AI513" s="1621">
        <f>U513-G513</f>
        <v>0.36233999999999966</v>
      </c>
      <c r="AJ513" s="1621">
        <f>AI513*6</f>
        <v>2.174039999999998</v>
      </c>
      <c r="AK513" s="1448">
        <f t="shared" si="474"/>
        <v>0.36233999999999966</v>
      </c>
      <c r="AL513" s="1431">
        <f t="shared" si="468"/>
        <v>107.19424460431655</v>
      </c>
    </row>
    <row r="514" spans="1:38" s="561" customFormat="1" ht="27.75" hidden="1" customHeight="1">
      <c r="A514" s="1499">
        <v>34</v>
      </c>
      <c r="B514" s="1453" t="s">
        <v>2291</v>
      </c>
      <c r="C514" s="560">
        <f>SUM(C515:C520)</f>
        <v>4</v>
      </c>
      <c r="D514" s="560">
        <f t="shared" ref="D514:AJ514" si="487">SUM(D515:D520)</f>
        <v>4</v>
      </c>
      <c r="E514" s="560">
        <f t="shared" si="487"/>
        <v>0</v>
      </c>
      <c r="F514" s="560">
        <f t="shared" si="487"/>
        <v>4</v>
      </c>
      <c r="G514" s="1617">
        <f t="shared" si="487"/>
        <v>10.416937999999998</v>
      </c>
      <c r="H514" s="1617">
        <f t="shared" si="487"/>
        <v>7.9507999999999992</v>
      </c>
      <c r="I514" s="1617">
        <f t="shared" si="487"/>
        <v>0.5976999999999999</v>
      </c>
      <c r="J514" s="1617">
        <f t="shared" si="487"/>
        <v>0</v>
      </c>
      <c r="K514" s="1617">
        <f t="shared" si="487"/>
        <v>0</v>
      </c>
      <c r="L514" s="1617">
        <f t="shared" si="487"/>
        <v>0</v>
      </c>
      <c r="M514" s="1617">
        <f t="shared" si="487"/>
        <v>0</v>
      </c>
      <c r="N514" s="1617">
        <f t="shared" si="487"/>
        <v>0</v>
      </c>
      <c r="O514" s="1617">
        <f t="shared" si="487"/>
        <v>0</v>
      </c>
      <c r="P514" s="1617">
        <f t="shared" si="487"/>
        <v>0.5976999999999999</v>
      </c>
      <c r="Q514" s="1617">
        <f t="shared" si="487"/>
        <v>0</v>
      </c>
      <c r="R514" s="1617">
        <f t="shared" si="487"/>
        <v>0</v>
      </c>
      <c r="S514" s="1617">
        <f t="shared" si="487"/>
        <v>0</v>
      </c>
      <c r="T514" s="1617">
        <f t="shared" si="487"/>
        <v>1.8684379999999996</v>
      </c>
      <c r="U514" s="1617">
        <f t="shared" si="487"/>
        <v>11.166357999999999</v>
      </c>
      <c r="V514" s="1617">
        <f t="shared" si="487"/>
        <v>8.5228000000000002</v>
      </c>
      <c r="W514" s="1617">
        <f t="shared" si="487"/>
        <v>0.64069999999999994</v>
      </c>
      <c r="X514" s="1617">
        <f t="shared" si="487"/>
        <v>0</v>
      </c>
      <c r="Y514" s="1617">
        <f t="shared" si="487"/>
        <v>0</v>
      </c>
      <c r="Z514" s="1617">
        <f t="shared" si="487"/>
        <v>0</v>
      </c>
      <c r="AA514" s="1617">
        <f t="shared" si="487"/>
        <v>0</v>
      </c>
      <c r="AB514" s="1617">
        <f t="shared" si="487"/>
        <v>0</v>
      </c>
      <c r="AC514" s="1617">
        <f t="shared" si="487"/>
        <v>0</v>
      </c>
      <c r="AD514" s="1617">
        <f t="shared" si="487"/>
        <v>0.64069999999999994</v>
      </c>
      <c r="AE514" s="1617">
        <f t="shared" si="487"/>
        <v>0</v>
      </c>
      <c r="AF514" s="1617">
        <f t="shared" si="487"/>
        <v>0</v>
      </c>
      <c r="AG514" s="1617">
        <f t="shared" si="487"/>
        <v>0</v>
      </c>
      <c r="AH514" s="1617">
        <f t="shared" si="487"/>
        <v>2.0028579999999998</v>
      </c>
      <c r="AI514" s="1617">
        <f t="shared" si="487"/>
        <v>0.74942000000000109</v>
      </c>
      <c r="AJ514" s="1617">
        <f t="shared" si="487"/>
        <v>4.4965200000000065</v>
      </c>
      <c r="AK514" s="1448">
        <f t="shared" si="474"/>
        <v>0.18735500000000027</v>
      </c>
      <c r="AL514" s="1431">
        <f t="shared" si="468"/>
        <v>107.19424460431655</v>
      </c>
    </row>
    <row r="515" spans="1:38" s="561" customFormat="1" ht="27.75" hidden="1" customHeight="1">
      <c r="A515" s="1499"/>
      <c r="B515" s="764" t="s">
        <v>2713</v>
      </c>
      <c r="C515" s="1484">
        <f>+D515+E515</f>
        <v>1</v>
      </c>
      <c r="D515" s="1484">
        <v>1</v>
      </c>
      <c r="E515" s="1484"/>
      <c r="F515" s="1484">
        <v>1</v>
      </c>
      <c r="G515" s="1657">
        <f>H515+I515+T515</f>
        <v>3.5503379999999991</v>
      </c>
      <c r="H515" s="1657">
        <f>1.72*1.39</f>
        <v>2.3907999999999996</v>
      </c>
      <c r="I515" s="1657">
        <f t="shared" ref="I515:I523" si="488">SUM(J515:S515)</f>
        <v>0.5976999999999999</v>
      </c>
      <c r="J515" s="1657"/>
      <c r="K515" s="1657">
        <v>0</v>
      </c>
      <c r="L515" s="1657">
        <v>0</v>
      </c>
      <c r="M515" s="1657"/>
      <c r="N515" s="1657"/>
      <c r="O515" s="1657"/>
      <c r="P515" s="1658">
        <f>+(H515+K515+L515)*0.25</f>
        <v>0.5976999999999999</v>
      </c>
      <c r="Q515" s="1658">
        <v>0</v>
      </c>
      <c r="R515" s="1657">
        <v>0</v>
      </c>
      <c r="S515" s="1657">
        <v>0</v>
      </c>
      <c r="T515" s="1657">
        <f>+(H515+K515+L515+R515)*0.235</f>
        <v>0.56183799999999984</v>
      </c>
      <c r="U515" s="1657">
        <f>V515+W515+AH515</f>
        <v>3.8057579999999995</v>
      </c>
      <c r="V515" s="1657">
        <f>1.72*1.49</f>
        <v>2.5627999999999997</v>
      </c>
      <c r="W515" s="1657">
        <f t="shared" ref="W515:W523" si="489">SUM(X515:AG515)</f>
        <v>0.64069999999999994</v>
      </c>
      <c r="X515" s="1657"/>
      <c r="Y515" s="1657">
        <v>0</v>
      </c>
      <c r="Z515" s="1657">
        <v>0</v>
      </c>
      <c r="AA515" s="1657"/>
      <c r="AB515" s="1657"/>
      <c r="AC515" s="1657"/>
      <c r="AD515" s="1658">
        <f>+(V515+Y515+Z515)*0.25</f>
        <v>0.64069999999999994</v>
      </c>
      <c r="AE515" s="1658">
        <v>0</v>
      </c>
      <c r="AF515" s="1657">
        <v>0</v>
      </c>
      <c r="AG515" s="1657">
        <v>0</v>
      </c>
      <c r="AH515" s="1657">
        <f>+(V515+Y515+Z515+AF515)*0.235</f>
        <v>0.60225799999999996</v>
      </c>
      <c r="AI515" s="1621">
        <f t="shared" ref="AI515:AI523" si="490">U515-G515</f>
        <v>0.25542000000000042</v>
      </c>
      <c r="AJ515" s="1621">
        <f t="shared" ref="AJ515:AJ523" si="491">AI515*6</f>
        <v>1.5325200000000025</v>
      </c>
      <c r="AK515" s="1448">
        <f t="shared" si="474"/>
        <v>0.25542000000000042</v>
      </c>
      <c r="AL515" s="1431">
        <f t="shared" si="468"/>
        <v>107.19424460431657</v>
      </c>
    </row>
    <row r="516" spans="1:38" s="561" customFormat="1" ht="27.75" hidden="1" customHeight="1">
      <c r="A516" s="1499"/>
      <c r="B516" s="764" t="s">
        <v>2714</v>
      </c>
      <c r="C516" s="1367">
        <f t="shared" ref="C516:C539" si="492">D516+E516</f>
        <v>0</v>
      </c>
      <c r="D516" s="1455"/>
      <c r="E516" s="1455"/>
      <c r="F516" s="1455"/>
      <c r="G516" s="1614">
        <f>H516+I516+T516</f>
        <v>0</v>
      </c>
      <c r="H516" s="1617"/>
      <c r="I516" s="1614">
        <f t="shared" si="488"/>
        <v>0</v>
      </c>
      <c r="J516" s="1617"/>
      <c r="K516" s="1617"/>
      <c r="L516" s="1617"/>
      <c r="M516" s="1617"/>
      <c r="N516" s="1617"/>
      <c r="O516" s="1617"/>
      <c r="P516" s="1617"/>
      <c r="Q516" s="1617"/>
      <c r="R516" s="1617"/>
      <c r="S516" s="1617"/>
      <c r="T516" s="1621">
        <f>(H516+K516+L516)*22.5%</f>
        <v>0</v>
      </c>
      <c r="U516" s="1614">
        <f>V516+W516+AH516</f>
        <v>0</v>
      </c>
      <c r="V516" s="1617"/>
      <c r="W516" s="1614">
        <f t="shared" si="489"/>
        <v>0</v>
      </c>
      <c r="X516" s="1617"/>
      <c r="Y516" s="1617"/>
      <c r="Z516" s="1617"/>
      <c r="AA516" s="1617"/>
      <c r="AB516" s="1617"/>
      <c r="AC516" s="1617"/>
      <c r="AD516" s="1617">
        <f>(V516+Y516+Z516)*0.25</f>
        <v>0</v>
      </c>
      <c r="AE516" s="1617"/>
      <c r="AF516" s="1617">
        <v>0</v>
      </c>
      <c r="AG516" s="1617"/>
      <c r="AH516" s="1621">
        <f>(V516+Y516+Z516)*22.5%</f>
        <v>0</v>
      </c>
      <c r="AI516" s="1621">
        <f t="shared" si="490"/>
        <v>0</v>
      </c>
      <c r="AJ516" s="1621">
        <f t="shared" si="491"/>
        <v>0</v>
      </c>
      <c r="AK516" s="1448" t="e">
        <f t="shared" si="474"/>
        <v>#DIV/0!</v>
      </c>
      <c r="AL516" s="1431" t="e">
        <f t="shared" si="468"/>
        <v>#DIV/0!</v>
      </c>
    </row>
    <row r="517" spans="1:38" s="561" customFormat="1" ht="27.75" hidden="1" customHeight="1">
      <c r="A517" s="1499"/>
      <c r="B517" s="764" t="s">
        <v>2715</v>
      </c>
      <c r="C517" s="1455">
        <f t="shared" si="492"/>
        <v>0</v>
      </c>
      <c r="D517" s="1455"/>
      <c r="E517" s="1455"/>
      <c r="F517" s="1455"/>
      <c r="G517" s="1614">
        <f>H517+I517+T517</f>
        <v>0</v>
      </c>
      <c r="H517" s="1617"/>
      <c r="I517" s="1614">
        <f t="shared" si="488"/>
        <v>0</v>
      </c>
      <c r="J517" s="1617"/>
      <c r="K517" s="1617"/>
      <c r="L517" s="1617"/>
      <c r="M517" s="1617"/>
      <c r="N517" s="1617"/>
      <c r="O517" s="1617"/>
      <c r="P517" s="1617">
        <f>H517*0.25</f>
        <v>0</v>
      </c>
      <c r="Q517" s="1617"/>
      <c r="R517" s="1617"/>
      <c r="S517" s="1617"/>
      <c r="T517" s="1621">
        <f>(H517+K517+L517)*23.5%</f>
        <v>0</v>
      </c>
      <c r="U517" s="1614">
        <f>V517+W517+AH517</f>
        <v>0</v>
      </c>
      <c r="V517" s="1617"/>
      <c r="W517" s="1614">
        <f t="shared" si="489"/>
        <v>0</v>
      </c>
      <c r="X517" s="1617"/>
      <c r="Y517" s="1617"/>
      <c r="Z517" s="1617"/>
      <c r="AA517" s="1617"/>
      <c r="AB517" s="1617"/>
      <c r="AC517" s="1617"/>
      <c r="AD517" s="1617">
        <f>V517*0.25</f>
        <v>0</v>
      </c>
      <c r="AE517" s="1617"/>
      <c r="AF517" s="1617"/>
      <c r="AG517" s="1617"/>
      <c r="AH517" s="1621">
        <f>(V517+Y517+Z517)*23.5%</f>
        <v>0</v>
      </c>
      <c r="AI517" s="1621">
        <f t="shared" si="490"/>
        <v>0</v>
      </c>
      <c r="AJ517" s="1621">
        <f t="shared" si="491"/>
        <v>0</v>
      </c>
      <c r="AK517" s="1448" t="e">
        <f t="shared" si="474"/>
        <v>#DIV/0!</v>
      </c>
      <c r="AL517" s="1431" t="e">
        <f t="shared" si="468"/>
        <v>#DIV/0!</v>
      </c>
    </row>
    <row r="518" spans="1:38" s="561" customFormat="1" ht="27.75" hidden="1" customHeight="1">
      <c r="A518" s="1499"/>
      <c r="B518" s="764" t="s">
        <v>2716</v>
      </c>
      <c r="C518" s="1484">
        <f>+D518+E518</f>
        <v>3</v>
      </c>
      <c r="D518" s="1484">
        <v>3</v>
      </c>
      <c r="E518" s="1484"/>
      <c r="F518" s="1484">
        <v>3</v>
      </c>
      <c r="G518" s="1657">
        <f>+H518+I518+T518</f>
        <v>6.8665999999999991</v>
      </c>
      <c r="H518" s="1657">
        <f>(4)*1.39</f>
        <v>5.56</v>
      </c>
      <c r="I518" s="1657">
        <f t="shared" si="488"/>
        <v>0</v>
      </c>
      <c r="J518" s="1657"/>
      <c r="K518" s="1657"/>
      <c r="L518" s="1657"/>
      <c r="M518" s="1657"/>
      <c r="N518" s="1657"/>
      <c r="O518" s="1657"/>
      <c r="P518" s="1658">
        <v>0</v>
      </c>
      <c r="Q518" s="1658"/>
      <c r="R518" s="1657"/>
      <c r="S518" s="1657"/>
      <c r="T518" s="1657">
        <f>+H518*0.235</f>
        <v>1.3065999999999998</v>
      </c>
      <c r="U518" s="1657">
        <f>+V518+W518+AH518</f>
        <v>7.3605999999999998</v>
      </c>
      <c r="V518" s="1657">
        <f>(4)*1.49</f>
        <v>5.96</v>
      </c>
      <c r="W518" s="1657">
        <f t="shared" si="489"/>
        <v>0</v>
      </c>
      <c r="X518" s="1657"/>
      <c r="Y518" s="1657"/>
      <c r="Z518" s="1657"/>
      <c r="AA518" s="1657"/>
      <c r="AB518" s="1657"/>
      <c r="AC518" s="1657"/>
      <c r="AD518" s="1658">
        <v>0</v>
      </c>
      <c r="AE518" s="1658"/>
      <c r="AF518" s="1657"/>
      <c r="AG518" s="1657"/>
      <c r="AH518" s="1657">
        <f>+V518*0.235</f>
        <v>1.4005999999999998</v>
      </c>
      <c r="AI518" s="1621">
        <f t="shared" si="490"/>
        <v>0.49400000000000066</v>
      </c>
      <c r="AJ518" s="1621">
        <f t="shared" si="491"/>
        <v>2.964000000000004</v>
      </c>
      <c r="AK518" s="1448">
        <f t="shared" si="474"/>
        <v>0.16466666666666688</v>
      </c>
      <c r="AL518" s="1431">
        <f t="shared" si="468"/>
        <v>107.19424460431655</v>
      </c>
    </row>
    <row r="519" spans="1:38" s="561" customFormat="1" ht="27.75" hidden="1" customHeight="1">
      <c r="A519" s="1499"/>
      <c r="B519" s="764" t="s">
        <v>2717</v>
      </c>
      <c r="C519" s="1367">
        <f t="shared" si="492"/>
        <v>0</v>
      </c>
      <c r="D519" s="1455"/>
      <c r="E519" s="1455"/>
      <c r="F519" s="1455"/>
      <c r="G519" s="1614">
        <f>H519+I519+T519</f>
        <v>0</v>
      </c>
      <c r="H519" s="1617"/>
      <c r="I519" s="1614">
        <f t="shared" si="488"/>
        <v>0</v>
      </c>
      <c r="J519" s="1617"/>
      <c r="K519" s="1617"/>
      <c r="L519" s="1617"/>
      <c r="M519" s="1617"/>
      <c r="N519" s="1617"/>
      <c r="O519" s="1617"/>
      <c r="P519" s="1617"/>
      <c r="Q519" s="1617"/>
      <c r="R519" s="1617"/>
      <c r="S519" s="1617"/>
      <c r="T519" s="1621">
        <f>(H519+K519+L519)*22.5%</f>
        <v>0</v>
      </c>
      <c r="U519" s="1614">
        <f>V519+W519+AH519</f>
        <v>0</v>
      </c>
      <c r="V519" s="1617"/>
      <c r="W519" s="1614">
        <f t="shared" si="489"/>
        <v>0</v>
      </c>
      <c r="X519" s="1617"/>
      <c r="Y519" s="1617"/>
      <c r="Z519" s="1617">
        <v>0</v>
      </c>
      <c r="AA519" s="1617"/>
      <c r="AB519" s="1617"/>
      <c r="AC519" s="1617"/>
      <c r="AD519" s="1617">
        <f>(V519+Y519+Z519)*0.25</f>
        <v>0</v>
      </c>
      <c r="AE519" s="1617"/>
      <c r="AF519" s="1617">
        <v>0</v>
      </c>
      <c r="AG519" s="1617"/>
      <c r="AH519" s="1621">
        <f>(V519+Y519+Z519)*22.5%</f>
        <v>0</v>
      </c>
      <c r="AI519" s="1621">
        <f t="shared" si="490"/>
        <v>0</v>
      </c>
      <c r="AJ519" s="1621">
        <f t="shared" si="491"/>
        <v>0</v>
      </c>
      <c r="AK519" s="1448" t="e">
        <f t="shared" si="474"/>
        <v>#DIV/0!</v>
      </c>
      <c r="AL519" s="1431" t="e">
        <f t="shared" si="468"/>
        <v>#DIV/0!</v>
      </c>
    </row>
    <row r="520" spans="1:38" s="561" customFormat="1" ht="27.75" hidden="1" customHeight="1">
      <c r="A520" s="1499"/>
      <c r="B520" s="764" t="s">
        <v>2718</v>
      </c>
      <c r="C520" s="1367">
        <f>D520+E520</f>
        <v>0</v>
      </c>
      <c r="D520" s="1455"/>
      <c r="E520" s="1455"/>
      <c r="F520" s="1455"/>
      <c r="G520" s="1614">
        <f>H520+I520+T520</f>
        <v>0</v>
      </c>
      <c r="H520" s="1617"/>
      <c r="I520" s="1614">
        <f t="shared" si="488"/>
        <v>0</v>
      </c>
      <c r="J520" s="1617"/>
      <c r="K520" s="1617"/>
      <c r="L520" s="1617"/>
      <c r="M520" s="1617"/>
      <c r="N520" s="1617"/>
      <c r="O520" s="1617"/>
      <c r="P520" s="1617"/>
      <c r="Q520" s="1617"/>
      <c r="R520" s="1617"/>
      <c r="S520" s="1617"/>
      <c r="T520" s="1621">
        <f>(H520+K520+L520)*23.5%</f>
        <v>0</v>
      </c>
      <c r="U520" s="1614">
        <f>V520+W520+AH520</f>
        <v>0</v>
      </c>
      <c r="V520" s="1617"/>
      <c r="W520" s="1614">
        <f t="shared" si="489"/>
        <v>0</v>
      </c>
      <c r="X520" s="1617"/>
      <c r="Y520" s="1617"/>
      <c r="Z520" s="1617">
        <v>0</v>
      </c>
      <c r="AA520" s="1617"/>
      <c r="AB520" s="1617"/>
      <c r="AC520" s="1617"/>
      <c r="AD520" s="1617">
        <v>0</v>
      </c>
      <c r="AE520" s="1617"/>
      <c r="AF520" s="1617">
        <v>0</v>
      </c>
      <c r="AG520" s="1617"/>
      <c r="AH520" s="1621">
        <f>(V520+Y520+Z520)*23.5%</f>
        <v>0</v>
      </c>
      <c r="AI520" s="1621">
        <f t="shared" si="490"/>
        <v>0</v>
      </c>
      <c r="AJ520" s="1621">
        <f t="shared" si="491"/>
        <v>0</v>
      </c>
      <c r="AK520" s="1448" t="e">
        <f t="shared" si="474"/>
        <v>#DIV/0!</v>
      </c>
      <c r="AL520" s="1431" t="e">
        <f t="shared" si="468"/>
        <v>#DIV/0!</v>
      </c>
    </row>
    <row r="521" spans="1:38" s="561" customFormat="1" ht="27.75" hidden="1" customHeight="1">
      <c r="A521" s="1499">
        <v>35</v>
      </c>
      <c r="B521" s="1453" t="s">
        <v>2721</v>
      </c>
      <c r="C521" s="1484">
        <f>+D521+E521</f>
        <v>2</v>
      </c>
      <c r="D521" s="1484">
        <v>2</v>
      </c>
      <c r="E521" s="1484"/>
      <c r="F521" s="1484">
        <v>2</v>
      </c>
      <c r="G521" s="1657">
        <f>+H521+I521+T521</f>
        <v>12.343617000000002</v>
      </c>
      <c r="H521" s="1657">
        <f>(5.98)*1.39</f>
        <v>8.3122000000000007</v>
      </c>
      <c r="I521" s="1657">
        <f t="shared" si="488"/>
        <v>2.0780500000000002</v>
      </c>
      <c r="J521" s="1657"/>
      <c r="K521" s="1657"/>
      <c r="L521" s="1657"/>
      <c r="M521" s="1657"/>
      <c r="N521" s="1657"/>
      <c r="O521" s="1657"/>
      <c r="P521" s="1658">
        <f>+H521*0.25</f>
        <v>2.0780500000000002</v>
      </c>
      <c r="Q521" s="1658"/>
      <c r="R521" s="1657"/>
      <c r="S521" s="1657"/>
      <c r="T521" s="1657">
        <f>+H521*0.235</f>
        <v>1.9533670000000001</v>
      </c>
      <c r="U521" s="1657">
        <f>+V521+W521+AH521</f>
        <v>13.231647000000002</v>
      </c>
      <c r="V521" s="1657">
        <f>(5.98)*1.49</f>
        <v>8.9102000000000015</v>
      </c>
      <c r="W521" s="1657">
        <f t="shared" si="489"/>
        <v>2.2275500000000004</v>
      </c>
      <c r="X521" s="1657"/>
      <c r="Y521" s="1657"/>
      <c r="Z521" s="1657"/>
      <c r="AA521" s="1657"/>
      <c r="AB521" s="1657"/>
      <c r="AC521" s="1657"/>
      <c r="AD521" s="1658">
        <f>+V521*0.25</f>
        <v>2.2275500000000004</v>
      </c>
      <c r="AE521" s="1658"/>
      <c r="AF521" s="1657"/>
      <c r="AG521" s="1657"/>
      <c r="AH521" s="1657">
        <f>+V521*0.235</f>
        <v>2.0938970000000001</v>
      </c>
      <c r="AI521" s="1621">
        <f t="shared" si="490"/>
        <v>0.88803000000000054</v>
      </c>
      <c r="AJ521" s="1621">
        <f t="shared" si="491"/>
        <v>5.3281800000000032</v>
      </c>
      <c r="AK521" s="1448">
        <f t="shared" si="474"/>
        <v>0.44401500000000027</v>
      </c>
      <c r="AL521" s="1431">
        <f t="shared" si="468"/>
        <v>107.19424460431655</v>
      </c>
    </row>
    <row r="522" spans="1:38" s="561" customFormat="1" ht="27.75" hidden="1" customHeight="1">
      <c r="A522" s="1499">
        <v>36</v>
      </c>
      <c r="B522" s="764" t="s">
        <v>2722</v>
      </c>
      <c r="C522" s="1484">
        <f>+D522+E522</f>
        <v>3</v>
      </c>
      <c r="D522" s="1484">
        <v>3</v>
      </c>
      <c r="E522" s="1484"/>
      <c r="F522" s="1484">
        <v>3</v>
      </c>
      <c r="G522" s="1657">
        <f>+H522+I522+T522</f>
        <v>12.715164</v>
      </c>
      <c r="H522" s="1657">
        <f>(6.16)*1.39</f>
        <v>8.5624000000000002</v>
      </c>
      <c r="I522" s="1657">
        <f t="shared" si="488"/>
        <v>2.1406000000000001</v>
      </c>
      <c r="J522" s="1657"/>
      <c r="K522" s="1657"/>
      <c r="L522" s="1657"/>
      <c r="M522" s="1657"/>
      <c r="N522" s="1657"/>
      <c r="O522" s="1657"/>
      <c r="P522" s="1658">
        <f>+H522*0.25</f>
        <v>2.1406000000000001</v>
      </c>
      <c r="Q522" s="1658"/>
      <c r="R522" s="1657"/>
      <c r="S522" s="1657"/>
      <c r="T522" s="1657">
        <f>+H522*0.235</f>
        <v>2.0121639999999998</v>
      </c>
      <c r="U522" s="1657">
        <f>+V522+W522+AH522</f>
        <v>13.629923999999999</v>
      </c>
      <c r="V522" s="1657">
        <f>(6.16)*1.49</f>
        <v>9.1783999999999999</v>
      </c>
      <c r="W522" s="1657">
        <f t="shared" si="489"/>
        <v>2.2946</v>
      </c>
      <c r="X522" s="1657"/>
      <c r="Y522" s="1657"/>
      <c r="Z522" s="1657"/>
      <c r="AA522" s="1657"/>
      <c r="AB522" s="1657"/>
      <c r="AC522" s="1657"/>
      <c r="AD522" s="1658">
        <f>+V522*0.25</f>
        <v>2.2946</v>
      </c>
      <c r="AE522" s="1658"/>
      <c r="AF522" s="1657"/>
      <c r="AG522" s="1657"/>
      <c r="AH522" s="1657">
        <f>+V522*0.235</f>
        <v>2.1569240000000001</v>
      </c>
      <c r="AI522" s="1621">
        <f t="shared" si="490"/>
        <v>0.91475999999999935</v>
      </c>
      <c r="AJ522" s="1621">
        <f t="shared" si="491"/>
        <v>5.4885599999999961</v>
      </c>
      <c r="AK522" s="1448">
        <f t="shared" si="474"/>
        <v>0.3049199999999998</v>
      </c>
      <c r="AL522" s="1431">
        <f t="shared" si="468"/>
        <v>107.19424460431655</v>
      </c>
    </row>
    <row r="523" spans="1:38" s="561" customFormat="1" ht="27.75" hidden="1" customHeight="1">
      <c r="A523" s="1499">
        <v>37</v>
      </c>
      <c r="B523" s="764" t="s">
        <v>2478</v>
      </c>
      <c r="C523" s="1484">
        <f>+D523+E523</f>
        <v>2</v>
      </c>
      <c r="D523" s="1484">
        <v>2</v>
      </c>
      <c r="E523" s="1484"/>
      <c r="F523" s="1484">
        <v>2</v>
      </c>
      <c r="G523" s="1657">
        <f>H523+I523+T523</f>
        <v>11.105127</v>
      </c>
      <c r="H523" s="1657">
        <f>5.38*1.39</f>
        <v>7.4781999999999993</v>
      </c>
      <c r="I523" s="1657">
        <f t="shared" si="488"/>
        <v>1.8695499999999998</v>
      </c>
      <c r="J523" s="1657"/>
      <c r="K523" s="1657">
        <v>0</v>
      </c>
      <c r="L523" s="1657">
        <v>0</v>
      </c>
      <c r="M523" s="1657"/>
      <c r="N523" s="1657"/>
      <c r="O523" s="1657"/>
      <c r="P523" s="1658">
        <f>+(H523+K523+L523)*0.25</f>
        <v>1.8695499999999998</v>
      </c>
      <c r="Q523" s="1658">
        <v>0</v>
      </c>
      <c r="R523" s="1657">
        <v>0</v>
      </c>
      <c r="S523" s="1657">
        <v>0</v>
      </c>
      <c r="T523" s="1657">
        <f>+(H523+K523+L523+R523)*0.235</f>
        <v>1.7573769999999997</v>
      </c>
      <c r="U523" s="1657">
        <f>V523+W523+AH523</f>
        <v>11.904056999999998</v>
      </c>
      <c r="V523" s="1657">
        <f>5.38*1.49</f>
        <v>8.0161999999999995</v>
      </c>
      <c r="W523" s="1657">
        <f t="shared" si="489"/>
        <v>2.0040499999999999</v>
      </c>
      <c r="X523" s="1657"/>
      <c r="Y523" s="1657">
        <v>0</v>
      </c>
      <c r="Z523" s="1657">
        <v>0</v>
      </c>
      <c r="AA523" s="1657"/>
      <c r="AB523" s="1657"/>
      <c r="AC523" s="1657"/>
      <c r="AD523" s="1658">
        <f>+(V523+Y523+Z523)*0.25</f>
        <v>2.0040499999999999</v>
      </c>
      <c r="AE523" s="1658">
        <v>0</v>
      </c>
      <c r="AF523" s="1657">
        <v>0</v>
      </c>
      <c r="AG523" s="1657">
        <v>0</v>
      </c>
      <c r="AH523" s="1657">
        <f>+(V523+Y523+Z523+AF523)*0.235</f>
        <v>1.8838069999999998</v>
      </c>
      <c r="AI523" s="1621">
        <f t="shared" si="490"/>
        <v>0.79892999999999859</v>
      </c>
      <c r="AJ523" s="1621">
        <f t="shared" si="491"/>
        <v>4.7935799999999915</v>
      </c>
      <c r="AK523" s="1448">
        <f t="shared" si="474"/>
        <v>0.39946499999999929</v>
      </c>
      <c r="AL523" s="1431">
        <f t="shared" si="468"/>
        <v>107.19424460431652</v>
      </c>
    </row>
    <row r="524" spans="1:38" s="561" customFormat="1" ht="27.75" hidden="1" customHeight="1">
      <c r="A524" s="1375">
        <v>38</v>
      </c>
      <c r="B524" s="1453" t="s">
        <v>2723</v>
      </c>
      <c r="C524" s="560">
        <f>C525+C526</f>
        <v>7</v>
      </c>
      <c r="D524" s="560">
        <f t="shared" ref="D524:AJ524" si="493">D525+D526</f>
        <v>0</v>
      </c>
      <c r="E524" s="560">
        <f t="shared" si="493"/>
        <v>7</v>
      </c>
      <c r="F524" s="560">
        <f t="shared" si="493"/>
        <v>5</v>
      </c>
      <c r="G524" s="1617">
        <f t="shared" si="493"/>
        <v>19.753915499999998</v>
      </c>
      <c r="H524" s="1617">
        <f t="shared" si="493"/>
        <v>13.302299999999999</v>
      </c>
      <c r="I524" s="1617">
        <f t="shared" si="493"/>
        <v>3.3255749999999997</v>
      </c>
      <c r="J524" s="1617">
        <f t="shared" si="493"/>
        <v>0</v>
      </c>
      <c r="K524" s="1617">
        <f t="shared" si="493"/>
        <v>0</v>
      </c>
      <c r="L524" s="1617">
        <f t="shared" si="493"/>
        <v>0</v>
      </c>
      <c r="M524" s="1617">
        <f t="shared" si="493"/>
        <v>0</v>
      </c>
      <c r="N524" s="1617">
        <f t="shared" si="493"/>
        <v>0</v>
      </c>
      <c r="O524" s="1617">
        <f t="shared" si="493"/>
        <v>0</v>
      </c>
      <c r="P524" s="1617">
        <f t="shared" si="493"/>
        <v>3.3255749999999997</v>
      </c>
      <c r="Q524" s="1617">
        <f t="shared" si="493"/>
        <v>0</v>
      </c>
      <c r="R524" s="1617">
        <f t="shared" si="493"/>
        <v>0</v>
      </c>
      <c r="S524" s="1617">
        <f t="shared" si="493"/>
        <v>0</v>
      </c>
      <c r="T524" s="1617">
        <f t="shared" si="493"/>
        <v>3.1260404999999998</v>
      </c>
      <c r="U524" s="1617">
        <f t="shared" si="493"/>
        <v>21.175060500000001</v>
      </c>
      <c r="V524" s="1617">
        <f t="shared" si="493"/>
        <v>14.2593</v>
      </c>
      <c r="W524" s="1617">
        <f t="shared" si="493"/>
        <v>3.5648249999999999</v>
      </c>
      <c r="X524" s="1617">
        <f t="shared" si="493"/>
        <v>0</v>
      </c>
      <c r="Y524" s="1617">
        <f t="shared" si="493"/>
        <v>0</v>
      </c>
      <c r="Z524" s="1617">
        <f t="shared" si="493"/>
        <v>0</v>
      </c>
      <c r="AA524" s="1617">
        <f t="shared" si="493"/>
        <v>0</v>
      </c>
      <c r="AB524" s="1617">
        <f t="shared" si="493"/>
        <v>0</v>
      </c>
      <c r="AC524" s="1617">
        <f t="shared" si="493"/>
        <v>0</v>
      </c>
      <c r="AD524" s="1617">
        <f t="shared" si="493"/>
        <v>3.5648249999999999</v>
      </c>
      <c r="AE524" s="1617">
        <f t="shared" si="493"/>
        <v>0</v>
      </c>
      <c r="AF524" s="1617">
        <f t="shared" si="493"/>
        <v>0</v>
      </c>
      <c r="AG524" s="1617">
        <f t="shared" si="493"/>
        <v>0</v>
      </c>
      <c r="AH524" s="1617">
        <f t="shared" si="493"/>
        <v>3.3509354999999998</v>
      </c>
      <c r="AI524" s="1617">
        <f t="shared" si="493"/>
        <v>1.421145000000001</v>
      </c>
      <c r="AJ524" s="1617">
        <f t="shared" si="493"/>
        <v>8.5268700000000059</v>
      </c>
      <c r="AK524" s="1463">
        <f t="shared" si="474"/>
        <v>0.28422900000000018</v>
      </c>
      <c r="AL524" s="1431">
        <f t="shared" si="468"/>
        <v>107.19424460431657</v>
      </c>
    </row>
    <row r="525" spans="1:38" s="561" customFormat="1" ht="27.75" hidden="1" customHeight="1">
      <c r="A525" s="1499"/>
      <c r="B525" s="764" t="s">
        <v>2724</v>
      </c>
      <c r="C525" s="1476">
        <f t="shared" ref="C525:C526" si="494">D525+E525</f>
        <v>4</v>
      </c>
      <c r="D525" s="1476"/>
      <c r="E525" s="1476">
        <v>4</v>
      </c>
      <c r="F525" s="1476">
        <v>2</v>
      </c>
      <c r="G525" s="1637">
        <f>H525+I525+T525</f>
        <v>8.5042980000000004</v>
      </c>
      <c r="H525" s="1638">
        <f>4.12*1.39</f>
        <v>5.7267999999999999</v>
      </c>
      <c r="I525" s="1637">
        <f>SUM(J525:S525)</f>
        <v>1.4317</v>
      </c>
      <c r="J525" s="1638"/>
      <c r="K525" s="1638"/>
      <c r="L525" s="1638"/>
      <c r="M525" s="1638"/>
      <c r="N525" s="1638"/>
      <c r="O525" s="1638"/>
      <c r="P525" s="1638">
        <f>H525*25%</f>
        <v>1.4317</v>
      </c>
      <c r="Q525" s="1638"/>
      <c r="R525" s="1638"/>
      <c r="S525" s="1638"/>
      <c r="T525" s="1639">
        <f>(H525)*23.5%</f>
        <v>1.3457979999999998</v>
      </c>
      <c r="U525" s="1637">
        <f>V525+W525+AH525</f>
        <v>9.1161180000000002</v>
      </c>
      <c r="V525" s="1638">
        <f>4.12*1.49</f>
        <v>6.1387999999999998</v>
      </c>
      <c r="W525" s="1637">
        <f>SUM(X525:AG525)</f>
        <v>1.5347</v>
      </c>
      <c r="X525" s="1638"/>
      <c r="Y525" s="1638"/>
      <c r="Z525" s="1638"/>
      <c r="AA525" s="1638"/>
      <c r="AB525" s="1638"/>
      <c r="AC525" s="1638"/>
      <c r="AD525" s="1638">
        <f>V525*25%</f>
        <v>1.5347</v>
      </c>
      <c r="AE525" s="1638"/>
      <c r="AF525" s="1638"/>
      <c r="AG525" s="1638"/>
      <c r="AH525" s="1639">
        <f>(V525)*23.5%</f>
        <v>1.442618</v>
      </c>
      <c r="AI525" s="1621">
        <f>U525-G525</f>
        <v>0.61181999999999981</v>
      </c>
      <c r="AJ525" s="1621">
        <f>AI525*6</f>
        <v>3.6709199999999989</v>
      </c>
      <c r="AK525" s="1448">
        <f t="shared" si="474"/>
        <v>0.3059099999999999</v>
      </c>
      <c r="AL525" s="1431">
        <f t="shared" si="468"/>
        <v>107.19424460431655</v>
      </c>
    </row>
    <row r="526" spans="1:38" s="561" customFormat="1" ht="27.75" hidden="1" customHeight="1">
      <c r="A526" s="1499"/>
      <c r="B526" s="764" t="s">
        <v>2725</v>
      </c>
      <c r="C526" s="1476">
        <f t="shared" si="494"/>
        <v>3</v>
      </c>
      <c r="D526" s="1476"/>
      <c r="E526" s="1476">
        <v>3</v>
      </c>
      <c r="F526" s="1476">
        <v>3</v>
      </c>
      <c r="G526" s="1637">
        <f>H526+I526+T526</f>
        <v>11.249617499999999</v>
      </c>
      <c r="H526" s="1638">
        <f>5.45*1.39</f>
        <v>7.5754999999999999</v>
      </c>
      <c r="I526" s="1637">
        <f>SUM(J526:S526)</f>
        <v>1.893875</v>
      </c>
      <c r="J526" s="1638"/>
      <c r="K526" s="1638"/>
      <c r="L526" s="1638"/>
      <c r="M526" s="1638"/>
      <c r="N526" s="1638"/>
      <c r="O526" s="1638"/>
      <c r="P526" s="1638">
        <f>H526*25%</f>
        <v>1.893875</v>
      </c>
      <c r="Q526" s="1638"/>
      <c r="R526" s="1638"/>
      <c r="S526" s="1638"/>
      <c r="T526" s="1639">
        <f>(H526)*23.5%</f>
        <v>1.7802424999999999</v>
      </c>
      <c r="U526" s="1637">
        <f>V526+W526+AH526</f>
        <v>12.058942500000001</v>
      </c>
      <c r="V526" s="1638">
        <f>5.45*1.49</f>
        <v>8.1204999999999998</v>
      </c>
      <c r="W526" s="1637">
        <f>SUM(X526:AG526)</f>
        <v>2.030125</v>
      </c>
      <c r="X526" s="1638"/>
      <c r="Y526" s="1638"/>
      <c r="Z526" s="1638"/>
      <c r="AA526" s="1638"/>
      <c r="AB526" s="1638"/>
      <c r="AC526" s="1638"/>
      <c r="AD526" s="1638">
        <f>V526*25%</f>
        <v>2.030125</v>
      </c>
      <c r="AE526" s="1638"/>
      <c r="AF526" s="1638"/>
      <c r="AG526" s="1638"/>
      <c r="AH526" s="1639">
        <f>(V526)*23.5%</f>
        <v>1.9083174999999999</v>
      </c>
      <c r="AI526" s="1621">
        <f>U526-G526</f>
        <v>0.80932500000000118</v>
      </c>
      <c r="AJ526" s="1621">
        <f>AI526*6</f>
        <v>4.8559500000000071</v>
      </c>
      <c r="AK526" s="1448">
        <f t="shared" si="474"/>
        <v>0.26977500000000038</v>
      </c>
      <c r="AL526" s="1431">
        <f t="shared" si="468"/>
        <v>107.19424460431657</v>
      </c>
    </row>
    <row r="527" spans="1:38" s="561" customFormat="1" ht="27.75" hidden="1" customHeight="1">
      <c r="A527" s="1499">
        <v>39</v>
      </c>
      <c r="B527" s="764" t="s">
        <v>2467</v>
      </c>
      <c r="C527" s="1484">
        <f>+D527+E527</f>
        <v>2</v>
      </c>
      <c r="D527" s="1484">
        <v>2</v>
      </c>
      <c r="E527" s="1484"/>
      <c r="F527" s="1484">
        <v>2</v>
      </c>
      <c r="G527" s="1657">
        <f>+H527+I527+T527</f>
        <v>7.0181100000000001</v>
      </c>
      <c r="H527" s="1657">
        <f>(3.4)*1.39</f>
        <v>4.726</v>
      </c>
      <c r="I527" s="1657">
        <f>SUM(J527:S527)</f>
        <v>1.1815</v>
      </c>
      <c r="J527" s="1657"/>
      <c r="K527" s="1657"/>
      <c r="L527" s="1657"/>
      <c r="M527" s="1657"/>
      <c r="N527" s="1657"/>
      <c r="O527" s="1657"/>
      <c r="P527" s="1658">
        <f>+H527*0.25</f>
        <v>1.1815</v>
      </c>
      <c r="Q527" s="1658"/>
      <c r="R527" s="1657"/>
      <c r="S527" s="1657"/>
      <c r="T527" s="1657">
        <f>+H527*0.235</f>
        <v>1.1106099999999999</v>
      </c>
      <c r="U527" s="1657">
        <f>+V527+W527+AH527</f>
        <v>7.5230099999999993</v>
      </c>
      <c r="V527" s="1657">
        <f>(3.4)*1.49</f>
        <v>5.0659999999999998</v>
      </c>
      <c r="W527" s="1657">
        <f>SUM(X527:AG527)</f>
        <v>1.2665</v>
      </c>
      <c r="X527" s="1657"/>
      <c r="Y527" s="1657"/>
      <c r="Z527" s="1657"/>
      <c r="AA527" s="1657"/>
      <c r="AB527" s="1657"/>
      <c r="AC527" s="1657"/>
      <c r="AD527" s="1658">
        <f>+V527*0.25</f>
        <v>1.2665</v>
      </c>
      <c r="AE527" s="1658"/>
      <c r="AF527" s="1657"/>
      <c r="AG527" s="1657"/>
      <c r="AH527" s="1657">
        <f>+V527*0.235</f>
        <v>1.19051</v>
      </c>
      <c r="AI527" s="1621">
        <f>U527-G527</f>
        <v>0.50489999999999924</v>
      </c>
      <c r="AJ527" s="1621">
        <f>AI527*6</f>
        <v>3.0293999999999954</v>
      </c>
      <c r="AK527" s="1448">
        <f t="shared" si="474"/>
        <v>0.25244999999999962</v>
      </c>
      <c r="AL527" s="1431">
        <f t="shared" si="468"/>
        <v>107.19424460431655</v>
      </c>
    </row>
    <row r="528" spans="1:38" s="561" customFormat="1" ht="27.75" hidden="1" customHeight="1">
      <c r="A528" s="1499">
        <v>40</v>
      </c>
      <c r="B528" s="764" t="s">
        <v>2726</v>
      </c>
      <c r="C528" s="560">
        <f>C529+C530</f>
        <v>3</v>
      </c>
      <c r="D528" s="560">
        <f t="shared" ref="D528:AJ528" si="495">D529+D530</f>
        <v>0</v>
      </c>
      <c r="E528" s="560">
        <f t="shared" si="495"/>
        <v>3</v>
      </c>
      <c r="F528" s="560">
        <f t="shared" si="495"/>
        <v>2</v>
      </c>
      <c r="G528" s="1617">
        <f t="shared" si="495"/>
        <v>8.5042980000000004</v>
      </c>
      <c r="H528" s="1617">
        <f t="shared" si="495"/>
        <v>5.7267999999999999</v>
      </c>
      <c r="I528" s="1617">
        <f t="shared" si="495"/>
        <v>1.4317</v>
      </c>
      <c r="J528" s="1617">
        <f t="shared" si="495"/>
        <v>0</v>
      </c>
      <c r="K528" s="1617">
        <f t="shared" si="495"/>
        <v>0</v>
      </c>
      <c r="L528" s="1617">
        <f t="shared" si="495"/>
        <v>0</v>
      </c>
      <c r="M528" s="1617">
        <f t="shared" si="495"/>
        <v>0</v>
      </c>
      <c r="N528" s="1617">
        <f t="shared" si="495"/>
        <v>0</v>
      </c>
      <c r="O528" s="1617">
        <f t="shared" si="495"/>
        <v>0</v>
      </c>
      <c r="P528" s="1617">
        <f t="shared" si="495"/>
        <v>1.4317</v>
      </c>
      <c r="Q528" s="1617">
        <f t="shared" si="495"/>
        <v>0</v>
      </c>
      <c r="R528" s="1617">
        <f t="shared" si="495"/>
        <v>0</v>
      </c>
      <c r="S528" s="1617">
        <f t="shared" si="495"/>
        <v>0</v>
      </c>
      <c r="T528" s="1617">
        <f t="shared" si="495"/>
        <v>1.3457979999999998</v>
      </c>
      <c r="U528" s="1617">
        <f t="shared" si="495"/>
        <v>9.1161180000000002</v>
      </c>
      <c r="V528" s="1617">
        <f t="shared" si="495"/>
        <v>6.1387999999999998</v>
      </c>
      <c r="W528" s="1617">
        <f t="shared" si="495"/>
        <v>1.5347</v>
      </c>
      <c r="X528" s="1617">
        <f t="shared" si="495"/>
        <v>0</v>
      </c>
      <c r="Y528" s="1617">
        <f t="shared" si="495"/>
        <v>0</v>
      </c>
      <c r="Z528" s="1617">
        <f t="shared" si="495"/>
        <v>0</v>
      </c>
      <c r="AA528" s="1617">
        <f t="shared" si="495"/>
        <v>0</v>
      </c>
      <c r="AB528" s="1617">
        <f t="shared" si="495"/>
        <v>0</v>
      </c>
      <c r="AC528" s="1617">
        <f t="shared" si="495"/>
        <v>0</v>
      </c>
      <c r="AD528" s="1617">
        <f t="shared" si="495"/>
        <v>1.5347</v>
      </c>
      <c r="AE528" s="1617">
        <f t="shared" si="495"/>
        <v>0</v>
      </c>
      <c r="AF528" s="1617">
        <f t="shared" si="495"/>
        <v>0</v>
      </c>
      <c r="AG528" s="1617">
        <f t="shared" si="495"/>
        <v>0</v>
      </c>
      <c r="AH528" s="1617">
        <f t="shared" si="495"/>
        <v>1.442618</v>
      </c>
      <c r="AI528" s="1617">
        <f t="shared" si="495"/>
        <v>0.61181999999999981</v>
      </c>
      <c r="AJ528" s="1617">
        <f t="shared" si="495"/>
        <v>3.6709199999999989</v>
      </c>
      <c r="AK528" s="1448">
        <f t="shared" si="474"/>
        <v>0.3059099999999999</v>
      </c>
      <c r="AL528" s="1431">
        <f t="shared" si="468"/>
        <v>107.19424460431655</v>
      </c>
    </row>
    <row r="529" spans="1:38" s="561" customFormat="1" ht="27.75" hidden="1" customHeight="1">
      <c r="A529" s="1499"/>
      <c r="B529" s="764" t="s">
        <v>2727</v>
      </c>
      <c r="C529" s="1476">
        <f t="shared" ref="C529" si="496">D529+E529</f>
        <v>3</v>
      </c>
      <c r="D529" s="1476"/>
      <c r="E529" s="1476">
        <v>3</v>
      </c>
      <c r="F529" s="1476">
        <v>2</v>
      </c>
      <c r="G529" s="1637">
        <f>H529+I529+T529</f>
        <v>8.5042980000000004</v>
      </c>
      <c r="H529" s="1638">
        <f>4.12*1.39</f>
        <v>5.7267999999999999</v>
      </c>
      <c r="I529" s="1637">
        <f>SUM(J529:S529)</f>
        <v>1.4317</v>
      </c>
      <c r="J529" s="1638"/>
      <c r="K529" s="1638"/>
      <c r="L529" s="1638"/>
      <c r="M529" s="1638"/>
      <c r="N529" s="1638"/>
      <c r="O529" s="1638"/>
      <c r="P529" s="1638">
        <f>H529*25%</f>
        <v>1.4317</v>
      </c>
      <c r="Q529" s="1638"/>
      <c r="R529" s="1638"/>
      <c r="S529" s="1638"/>
      <c r="T529" s="1639">
        <f>(H529)*23.5%</f>
        <v>1.3457979999999998</v>
      </c>
      <c r="U529" s="1637">
        <f>V529+W529+AH529</f>
        <v>9.1161180000000002</v>
      </c>
      <c r="V529" s="1638">
        <f>4.12*1.49</f>
        <v>6.1387999999999998</v>
      </c>
      <c r="W529" s="1637">
        <f>SUM(X529:AG529)</f>
        <v>1.5347</v>
      </c>
      <c r="X529" s="1638"/>
      <c r="Y529" s="1638"/>
      <c r="Z529" s="1638"/>
      <c r="AA529" s="1638"/>
      <c r="AB529" s="1638"/>
      <c r="AC529" s="1638"/>
      <c r="AD529" s="1638">
        <f>V529*25%</f>
        <v>1.5347</v>
      </c>
      <c r="AE529" s="1638"/>
      <c r="AF529" s="1638"/>
      <c r="AG529" s="1638"/>
      <c r="AH529" s="1639">
        <f>(V529)*23.5%</f>
        <v>1.442618</v>
      </c>
      <c r="AI529" s="1621">
        <f>U529-G529</f>
        <v>0.61181999999999981</v>
      </c>
      <c r="AJ529" s="1621">
        <f>AI529*6</f>
        <v>3.6709199999999989</v>
      </c>
      <c r="AK529" s="1448">
        <f t="shared" si="474"/>
        <v>0.3059099999999999</v>
      </c>
      <c r="AL529" s="1431">
        <f t="shared" si="468"/>
        <v>107.19424460431655</v>
      </c>
    </row>
    <row r="530" spans="1:38" s="561" customFormat="1" ht="27.75" hidden="1" customHeight="1">
      <c r="A530" s="1499"/>
      <c r="B530" s="764" t="s">
        <v>2728</v>
      </c>
      <c r="C530" s="1455">
        <f t="shared" si="492"/>
        <v>0</v>
      </c>
      <c r="D530" s="1455"/>
      <c r="E530" s="1455"/>
      <c r="F530" s="1455"/>
      <c r="G530" s="1614">
        <f>H530+I530+T530</f>
        <v>0</v>
      </c>
      <c r="H530" s="1617"/>
      <c r="I530" s="1614">
        <f>SUM(J530:S530)</f>
        <v>0</v>
      </c>
      <c r="J530" s="1617"/>
      <c r="K530" s="1617"/>
      <c r="L530" s="1617"/>
      <c r="M530" s="1617"/>
      <c r="N530" s="1617"/>
      <c r="O530" s="1617"/>
      <c r="P530" s="1617">
        <f>H530*25%</f>
        <v>0</v>
      </c>
      <c r="Q530" s="1617"/>
      <c r="R530" s="1617"/>
      <c r="S530" s="1617"/>
      <c r="T530" s="1621">
        <f>(H530)*23.5%</f>
        <v>0</v>
      </c>
      <c r="U530" s="1614">
        <f>V530+W530+AH530</f>
        <v>0</v>
      </c>
      <c r="V530" s="1617"/>
      <c r="W530" s="1614">
        <f>SUM(X530:AG530)</f>
        <v>0</v>
      </c>
      <c r="X530" s="1617"/>
      <c r="Y530" s="1617"/>
      <c r="Z530" s="1617"/>
      <c r="AA530" s="1617"/>
      <c r="AB530" s="1617"/>
      <c r="AC530" s="1617"/>
      <c r="AD530" s="1617">
        <f>V530*25%</f>
        <v>0</v>
      </c>
      <c r="AE530" s="1617"/>
      <c r="AF530" s="1617"/>
      <c r="AG530" s="1617"/>
      <c r="AH530" s="1621">
        <f>(V530)*23.5%</f>
        <v>0</v>
      </c>
      <c r="AI530" s="1621">
        <f>U530-G530</f>
        <v>0</v>
      </c>
      <c r="AJ530" s="1621">
        <f>AI530*6</f>
        <v>0</v>
      </c>
      <c r="AK530" s="1448" t="e">
        <f t="shared" si="474"/>
        <v>#DIV/0!</v>
      </c>
      <c r="AL530" s="1431" t="e">
        <f t="shared" si="468"/>
        <v>#DIV/0!</v>
      </c>
    </row>
    <row r="531" spans="1:38" s="561" customFormat="1" ht="27.75" hidden="1" customHeight="1">
      <c r="A531" s="1499">
        <v>41</v>
      </c>
      <c r="B531" s="1453" t="s">
        <v>2479</v>
      </c>
      <c r="C531" s="560">
        <f>C532+C533</f>
        <v>2</v>
      </c>
      <c r="D531" s="560">
        <f t="shared" ref="D531:AJ531" si="497">D532+D533</f>
        <v>2</v>
      </c>
      <c r="E531" s="560">
        <f t="shared" si="497"/>
        <v>0</v>
      </c>
      <c r="F531" s="560">
        <f t="shared" si="497"/>
        <v>2</v>
      </c>
      <c r="G531" s="1617">
        <f t="shared" si="497"/>
        <v>13.021896689999998</v>
      </c>
      <c r="H531" s="1617">
        <f t="shared" si="497"/>
        <v>8.4789999999999992</v>
      </c>
      <c r="I531" s="1617">
        <f t="shared" si="497"/>
        <v>2.4821924999999996</v>
      </c>
      <c r="J531" s="1617">
        <f t="shared" si="497"/>
        <v>0</v>
      </c>
      <c r="K531" s="1617">
        <f t="shared" si="497"/>
        <v>0</v>
      </c>
      <c r="L531" s="1617">
        <f t="shared" si="497"/>
        <v>0.28995399999999999</v>
      </c>
      <c r="M531" s="1617">
        <f t="shared" si="497"/>
        <v>0</v>
      </c>
      <c r="N531" s="1617">
        <f t="shared" si="497"/>
        <v>0</v>
      </c>
      <c r="O531" s="1617">
        <f t="shared" si="497"/>
        <v>0</v>
      </c>
      <c r="P531" s="1617">
        <f t="shared" si="497"/>
        <v>2.1922384999999998</v>
      </c>
      <c r="Q531" s="1617">
        <f t="shared" si="497"/>
        <v>0</v>
      </c>
      <c r="R531" s="1617">
        <f t="shared" si="497"/>
        <v>0</v>
      </c>
      <c r="S531" s="1617">
        <f t="shared" si="497"/>
        <v>0</v>
      </c>
      <c r="T531" s="1617">
        <f t="shared" si="497"/>
        <v>2.0607041899999996</v>
      </c>
      <c r="U531" s="1617">
        <f t="shared" si="497"/>
        <v>13.958723789999999</v>
      </c>
      <c r="V531" s="1617">
        <f t="shared" si="497"/>
        <v>9.0889999999999986</v>
      </c>
      <c r="W531" s="1617">
        <f t="shared" si="497"/>
        <v>2.6607675</v>
      </c>
      <c r="X531" s="1617">
        <f t="shared" si="497"/>
        <v>0</v>
      </c>
      <c r="Y531" s="1617">
        <f t="shared" si="497"/>
        <v>0</v>
      </c>
      <c r="Z531" s="1617">
        <f t="shared" si="497"/>
        <v>0.31081400000000003</v>
      </c>
      <c r="AA531" s="1617">
        <f t="shared" si="497"/>
        <v>0</v>
      </c>
      <c r="AB531" s="1617">
        <f t="shared" si="497"/>
        <v>0</v>
      </c>
      <c r="AC531" s="1617">
        <f t="shared" si="497"/>
        <v>0</v>
      </c>
      <c r="AD531" s="1617">
        <f t="shared" si="497"/>
        <v>2.3499534999999998</v>
      </c>
      <c r="AE531" s="1617">
        <f t="shared" si="497"/>
        <v>0</v>
      </c>
      <c r="AF531" s="1617">
        <f t="shared" si="497"/>
        <v>0</v>
      </c>
      <c r="AG531" s="1617">
        <f t="shared" si="497"/>
        <v>0</v>
      </c>
      <c r="AH531" s="1617">
        <f t="shared" si="497"/>
        <v>2.2089562899999997</v>
      </c>
      <c r="AI531" s="1617">
        <f t="shared" si="497"/>
        <v>0.93682710000000036</v>
      </c>
      <c r="AJ531" s="1617">
        <f t="shared" si="497"/>
        <v>5.6209626000000021</v>
      </c>
      <c r="AK531" s="1448">
        <f t="shared" si="474"/>
        <v>0.46841355000000018</v>
      </c>
      <c r="AL531" s="1431">
        <f t="shared" si="468"/>
        <v>107.19424460431655</v>
      </c>
    </row>
    <row r="532" spans="1:38" s="561" customFormat="1" ht="27.75" hidden="1" customHeight="1">
      <c r="A532" s="1499"/>
      <c r="B532" s="1490" t="s">
        <v>2729</v>
      </c>
      <c r="C532" s="1484">
        <f>+D532+E532</f>
        <v>2</v>
      </c>
      <c r="D532" s="1484">
        <v>2</v>
      </c>
      <c r="E532" s="1484"/>
      <c r="F532" s="1484">
        <v>2</v>
      </c>
      <c r="G532" s="1657">
        <f t="shared" ref="G532:G542" si="498">H532+I532+T532</f>
        <v>13.021896689999998</v>
      </c>
      <c r="H532" s="1657">
        <f>6.1*1.39</f>
        <v>8.4789999999999992</v>
      </c>
      <c r="I532" s="1657">
        <f t="shared" ref="I532:I542" si="499">SUM(J532:S532)</f>
        <v>2.4821924999999996</v>
      </c>
      <c r="J532" s="1657"/>
      <c r="K532" s="1657"/>
      <c r="L532" s="1657">
        <f>0.2086*1.39</f>
        <v>0.28995399999999999</v>
      </c>
      <c r="M532" s="1657"/>
      <c r="N532" s="1657"/>
      <c r="O532" s="1657"/>
      <c r="P532" s="1658">
        <f>+(H532+K532+L532)*0.25</f>
        <v>2.1922384999999998</v>
      </c>
      <c r="Q532" s="1658"/>
      <c r="R532" s="1657">
        <v>0</v>
      </c>
      <c r="S532" s="1657">
        <v>0</v>
      </c>
      <c r="T532" s="1657">
        <f>+(H532+K532+L532+R532)*0.235</f>
        <v>2.0607041899999996</v>
      </c>
      <c r="U532" s="1657">
        <f t="shared" ref="U532:U542" si="500">V532+W532+AH532</f>
        <v>13.958723789999999</v>
      </c>
      <c r="V532" s="1657">
        <f>6.1*1.49</f>
        <v>9.0889999999999986</v>
      </c>
      <c r="W532" s="1657">
        <f t="shared" ref="W532:W542" si="501">SUM(X532:AG532)</f>
        <v>2.6607675</v>
      </c>
      <c r="X532" s="1657"/>
      <c r="Y532" s="1657"/>
      <c r="Z532" s="1657">
        <f>0.2086*1.49</f>
        <v>0.31081400000000003</v>
      </c>
      <c r="AA532" s="1657"/>
      <c r="AB532" s="1657"/>
      <c r="AC532" s="1657"/>
      <c r="AD532" s="1658">
        <f>+(V532+Y532+Z532)*0.25</f>
        <v>2.3499534999999998</v>
      </c>
      <c r="AE532" s="1658"/>
      <c r="AF532" s="1657">
        <v>0</v>
      </c>
      <c r="AG532" s="1657">
        <v>0</v>
      </c>
      <c r="AH532" s="1657">
        <f>+(V532+Y532+Z532+AF532)*0.235</f>
        <v>2.2089562899999997</v>
      </c>
      <c r="AI532" s="1621">
        <f t="shared" ref="AI532:AI542" si="502">U532-G532</f>
        <v>0.93682710000000036</v>
      </c>
      <c r="AJ532" s="1621">
        <f t="shared" ref="AJ532:AJ542" si="503">AI532*6</f>
        <v>5.6209626000000021</v>
      </c>
      <c r="AK532" s="1448">
        <f t="shared" si="474"/>
        <v>0.46841355000000018</v>
      </c>
      <c r="AL532" s="1431">
        <f t="shared" si="468"/>
        <v>107.19424460431655</v>
      </c>
    </row>
    <row r="533" spans="1:38" s="561" customFormat="1" ht="27.75" hidden="1" customHeight="1">
      <c r="A533" s="1499"/>
      <c r="B533" s="1506" t="s">
        <v>2730</v>
      </c>
      <c r="C533" s="1455">
        <f t="shared" si="492"/>
        <v>0</v>
      </c>
      <c r="D533" s="1455"/>
      <c r="E533" s="1455"/>
      <c r="F533" s="1455"/>
      <c r="G533" s="1614">
        <f t="shared" si="498"/>
        <v>0</v>
      </c>
      <c r="H533" s="1617"/>
      <c r="I533" s="1614">
        <f t="shared" si="499"/>
        <v>0</v>
      </c>
      <c r="J533" s="1617"/>
      <c r="K533" s="1617"/>
      <c r="L533" s="1617"/>
      <c r="M533" s="1617"/>
      <c r="N533" s="1617"/>
      <c r="O533" s="1617"/>
      <c r="P533" s="1617"/>
      <c r="Q533" s="1617"/>
      <c r="R533" s="1617"/>
      <c r="S533" s="1617"/>
      <c r="T533" s="1621">
        <f>(H533+K533+L533)*23.5%</f>
        <v>0</v>
      </c>
      <c r="U533" s="1614">
        <f t="shared" si="500"/>
        <v>0</v>
      </c>
      <c r="V533" s="1617"/>
      <c r="W533" s="1614">
        <f t="shared" si="501"/>
        <v>0</v>
      </c>
      <c r="X533" s="1617"/>
      <c r="Y533" s="1617"/>
      <c r="Z533" s="1617"/>
      <c r="AA533" s="1617"/>
      <c r="AB533" s="1617"/>
      <c r="AC533" s="1617"/>
      <c r="AD533" s="1617"/>
      <c r="AE533" s="1617"/>
      <c r="AF533" s="1617"/>
      <c r="AG533" s="1617"/>
      <c r="AH533" s="1621">
        <f>(V533+Y533+Z533)*23.5%</f>
        <v>0</v>
      </c>
      <c r="AI533" s="1621">
        <f t="shared" si="502"/>
        <v>0</v>
      </c>
      <c r="AJ533" s="1621">
        <f t="shared" si="503"/>
        <v>0</v>
      </c>
      <c r="AK533" s="1448" t="e">
        <f t="shared" si="474"/>
        <v>#DIV/0!</v>
      </c>
      <c r="AL533" s="1431" t="e">
        <f t="shared" si="468"/>
        <v>#DIV/0!</v>
      </c>
    </row>
    <row r="534" spans="1:38" s="561" customFormat="1" ht="27.75" hidden="1" customHeight="1">
      <c r="A534" s="1499">
        <v>42</v>
      </c>
      <c r="B534" s="764" t="s">
        <v>2300</v>
      </c>
      <c r="C534" s="1455">
        <f t="shared" si="492"/>
        <v>0</v>
      </c>
      <c r="D534" s="1455"/>
      <c r="E534" s="1455"/>
      <c r="F534" s="1455"/>
      <c r="G534" s="1614">
        <f t="shared" si="498"/>
        <v>0</v>
      </c>
      <c r="H534" s="1617"/>
      <c r="I534" s="1614">
        <f t="shared" si="499"/>
        <v>0</v>
      </c>
      <c r="J534" s="1617"/>
      <c r="K534" s="1617"/>
      <c r="L534" s="1617"/>
      <c r="M534" s="1617"/>
      <c r="N534" s="1617"/>
      <c r="O534" s="1617"/>
      <c r="P534" s="1617"/>
      <c r="Q534" s="1617"/>
      <c r="R534" s="1617"/>
      <c r="S534" s="1617"/>
      <c r="T534" s="1621">
        <f>(H534)*23.5%</f>
        <v>0</v>
      </c>
      <c r="U534" s="1614">
        <f t="shared" si="500"/>
        <v>0</v>
      </c>
      <c r="V534" s="1617"/>
      <c r="W534" s="1614">
        <f t="shared" si="501"/>
        <v>0</v>
      </c>
      <c r="X534" s="1617"/>
      <c r="Y534" s="1617"/>
      <c r="Z534" s="1617"/>
      <c r="AA534" s="1617"/>
      <c r="AB534" s="1617"/>
      <c r="AC534" s="1617"/>
      <c r="AD534" s="1617"/>
      <c r="AE534" s="1617"/>
      <c r="AF534" s="1617"/>
      <c r="AG534" s="1617"/>
      <c r="AH534" s="1621">
        <f>(V534)*23.5%</f>
        <v>0</v>
      </c>
      <c r="AI534" s="1621">
        <f t="shared" si="502"/>
        <v>0</v>
      </c>
      <c r="AJ534" s="1621">
        <f t="shared" si="503"/>
        <v>0</v>
      </c>
      <c r="AK534" s="1448" t="e">
        <f t="shared" si="474"/>
        <v>#DIV/0!</v>
      </c>
      <c r="AL534" s="1431" t="e">
        <f t="shared" si="468"/>
        <v>#DIV/0!</v>
      </c>
    </row>
    <row r="535" spans="1:38" s="561" customFormat="1" ht="27.75" hidden="1" customHeight="1">
      <c r="A535" s="1499">
        <v>43</v>
      </c>
      <c r="B535" s="764" t="s">
        <v>2731</v>
      </c>
      <c r="C535" s="1455">
        <f t="shared" si="492"/>
        <v>2</v>
      </c>
      <c r="D535" s="1455"/>
      <c r="E535" s="1455">
        <v>2</v>
      </c>
      <c r="F535" s="1455">
        <v>2</v>
      </c>
      <c r="G535" s="1614">
        <f t="shared" si="498"/>
        <v>8.5042980000000004</v>
      </c>
      <c r="H535" s="1617">
        <f>4.12*1.39</f>
        <v>5.7267999999999999</v>
      </c>
      <c r="I535" s="1614">
        <f t="shared" si="499"/>
        <v>1.4317</v>
      </c>
      <c r="J535" s="1617"/>
      <c r="K535" s="1617"/>
      <c r="L535" s="1617"/>
      <c r="M535" s="1617"/>
      <c r="N535" s="1617"/>
      <c r="O535" s="1617"/>
      <c r="P535" s="1617">
        <f>1.03*1.39</f>
        <v>1.4317</v>
      </c>
      <c r="Q535" s="1617"/>
      <c r="R535" s="1617"/>
      <c r="S535" s="1617"/>
      <c r="T535" s="1621">
        <f>(H535)*23.5%</f>
        <v>1.3457979999999998</v>
      </c>
      <c r="U535" s="1614">
        <f t="shared" si="500"/>
        <v>9.1161180000000002</v>
      </c>
      <c r="V535" s="1617">
        <f>4.12*1.49</f>
        <v>6.1387999999999998</v>
      </c>
      <c r="W535" s="1614">
        <f t="shared" si="501"/>
        <v>1.5347</v>
      </c>
      <c r="X535" s="1617"/>
      <c r="Y535" s="1617"/>
      <c r="Z535" s="1617"/>
      <c r="AA535" s="1617"/>
      <c r="AB535" s="1617"/>
      <c r="AC535" s="1617"/>
      <c r="AD535" s="1617">
        <f>1.03*1.49</f>
        <v>1.5347</v>
      </c>
      <c r="AE535" s="1617"/>
      <c r="AF535" s="1617"/>
      <c r="AG535" s="1617"/>
      <c r="AH535" s="1621">
        <f>(V535)*23.5%</f>
        <v>1.442618</v>
      </c>
      <c r="AI535" s="1621">
        <f t="shared" si="502"/>
        <v>0.61181999999999981</v>
      </c>
      <c r="AJ535" s="1621">
        <f t="shared" si="503"/>
        <v>3.6709199999999989</v>
      </c>
      <c r="AK535" s="1448">
        <f t="shared" si="474"/>
        <v>0.3059099999999999</v>
      </c>
      <c r="AL535" s="1431">
        <f t="shared" si="468"/>
        <v>107.19424460431655</v>
      </c>
    </row>
    <row r="536" spans="1:38" s="561" customFormat="1" ht="27.75" hidden="1" customHeight="1">
      <c r="A536" s="1499">
        <v>44</v>
      </c>
      <c r="B536" s="1453" t="s">
        <v>2666</v>
      </c>
      <c r="C536" s="1487">
        <f>+D536+E536</f>
        <v>2</v>
      </c>
      <c r="D536" s="1487"/>
      <c r="E536" s="1487">
        <v>2</v>
      </c>
      <c r="F536" s="1487">
        <v>1</v>
      </c>
      <c r="G536" s="1657">
        <f t="shared" si="498"/>
        <v>2.0641499999999997</v>
      </c>
      <c r="H536" s="1657">
        <f>1*1.39</f>
        <v>1.39</v>
      </c>
      <c r="I536" s="1657">
        <f t="shared" si="499"/>
        <v>0.34749999999999998</v>
      </c>
      <c r="J536" s="1657"/>
      <c r="K536" s="1657"/>
      <c r="L536" s="1657"/>
      <c r="M536" s="1657"/>
      <c r="N536" s="1657"/>
      <c r="O536" s="1657"/>
      <c r="P536" s="1658">
        <f>+(1)*1.39*0.25</f>
        <v>0.34749999999999998</v>
      </c>
      <c r="Q536" s="1658"/>
      <c r="R536" s="1657"/>
      <c r="S536" s="1657"/>
      <c r="T536" s="1657">
        <f>+(1)*1.39*0.235</f>
        <v>0.32664999999999994</v>
      </c>
      <c r="U536" s="1657">
        <f t="shared" si="500"/>
        <v>2.21265</v>
      </c>
      <c r="V536" s="1657">
        <f>1*1.49</f>
        <v>1.49</v>
      </c>
      <c r="W536" s="1657">
        <f t="shared" si="501"/>
        <v>0.3725</v>
      </c>
      <c r="X536" s="1657"/>
      <c r="Y536" s="1657"/>
      <c r="Z536" s="1657"/>
      <c r="AA536" s="1657"/>
      <c r="AB536" s="1657"/>
      <c r="AC536" s="1657"/>
      <c r="AD536" s="1658">
        <f>+(1)*1.49*0.25</f>
        <v>0.3725</v>
      </c>
      <c r="AE536" s="1658"/>
      <c r="AF536" s="1657"/>
      <c r="AG536" s="1657"/>
      <c r="AH536" s="1657">
        <f>+(1)*1.49*0.235</f>
        <v>0.35014999999999996</v>
      </c>
      <c r="AI536" s="1621">
        <f t="shared" si="502"/>
        <v>0.1485000000000003</v>
      </c>
      <c r="AJ536" s="1621">
        <f t="shared" si="503"/>
        <v>0.89100000000000179</v>
      </c>
      <c r="AK536" s="1448">
        <f t="shared" si="474"/>
        <v>0.1485000000000003</v>
      </c>
      <c r="AL536" s="1431">
        <f t="shared" si="468"/>
        <v>107.19424460431657</v>
      </c>
    </row>
    <row r="537" spans="1:38" s="561" customFormat="1" ht="27.75" hidden="1" customHeight="1">
      <c r="A537" s="1375">
        <v>45</v>
      </c>
      <c r="B537" s="764" t="s">
        <v>2732</v>
      </c>
      <c r="C537" s="1455">
        <f t="shared" si="492"/>
        <v>2</v>
      </c>
      <c r="D537" s="1548"/>
      <c r="E537" s="1476">
        <v>2</v>
      </c>
      <c r="F537" s="1476">
        <v>1</v>
      </c>
      <c r="G537" s="1714">
        <f t="shared" si="498"/>
        <v>2.06365</v>
      </c>
      <c r="H537" s="1715">
        <f>1*1.39</f>
        <v>1.39</v>
      </c>
      <c r="I537" s="1714">
        <f t="shared" si="499"/>
        <v>0.34699999999999998</v>
      </c>
      <c r="J537" s="1715"/>
      <c r="K537" s="1715"/>
      <c r="L537" s="1715"/>
      <c r="M537" s="1715"/>
      <c r="N537" s="1715"/>
      <c r="O537" s="1715"/>
      <c r="P537" s="1715">
        <v>0.34699999999999998</v>
      </c>
      <c r="Q537" s="1715"/>
      <c r="R537" s="1715"/>
      <c r="S537" s="1715"/>
      <c r="T537" s="1716">
        <f>(H537+K537+L537+R537)*23.5%</f>
        <v>0.32664999999999994</v>
      </c>
      <c r="U537" s="1714">
        <f t="shared" si="500"/>
        <v>2.2121140287769787</v>
      </c>
      <c r="V537" s="1714">
        <f>(H537/1.39)*1.49</f>
        <v>1.49</v>
      </c>
      <c r="W537" s="1714">
        <f t="shared" si="501"/>
        <v>0.37196402877697843</v>
      </c>
      <c r="X537" s="1714">
        <f t="shared" ref="X537:AG537" si="504">(J537/1.39)*1.49</f>
        <v>0</v>
      </c>
      <c r="Y537" s="1714">
        <f t="shared" si="504"/>
        <v>0</v>
      </c>
      <c r="Z537" s="1714">
        <f t="shared" si="504"/>
        <v>0</v>
      </c>
      <c r="AA537" s="1714">
        <f t="shared" si="504"/>
        <v>0</v>
      </c>
      <c r="AB537" s="1714">
        <f t="shared" si="504"/>
        <v>0</v>
      </c>
      <c r="AC537" s="1714">
        <f t="shared" si="504"/>
        <v>0</v>
      </c>
      <c r="AD537" s="1714">
        <f t="shared" si="504"/>
        <v>0.37196402877697843</v>
      </c>
      <c r="AE537" s="1714">
        <f t="shared" si="504"/>
        <v>0</v>
      </c>
      <c r="AF537" s="1714">
        <f t="shared" si="504"/>
        <v>0</v>
      </c>
      <c r="AG537" s="1714">
        <f t="shared" si="504"/>
        <v>0</v>
      </c>
      <c r="AH537" s="1714">
        <f>(V537+Y537+Z537+AF537)*23.5%</f>
        <v>0.35014999999999996</v>
      </c>
      <c r="AI537" s="1621">
        <f t="shared" si="502"/>
        <v>0.14846402877697873</v>
      </c>
      <c r="AJ537" s="1621">
        <f t="shared" si="503"/>
        <v>0.89078417266187238</v>
      </c>
      <c r="AK537" s="1448">
        <f t="shared" si="474"/>
        <v>0.14846402877697873</v>
      </c>
      <c r="AL537" s="1431">
        <f t="shared" si="468"/>
        <v>107.19424460431657</v>
      </c>
    </row>
    <row r="538" spans="1:38" s="561" customFormat="1" ht="27.75" hidden="1" customHeight="1">
      <c r="A538" s="1499">
        <v>46</v>
      </c>
      <c r="B538" s="764" t="s">
        <v>2292</v>
      </c>
      <c r="C538" s="1455">
        <f t="shared" si="492"/>
        <v>2</v>
      </c>
      <c r="D538" s="1455">
        <v>2</v>
      </c>
      <c r="E538" s="1455"/>
      <c r="F538" s="790">
        <v>2</v>
      </c>
      <c r="G538" s="1624">
        <f t="shared" si="498"/>
        <v>7.3896569999999988</v>
      </c>
      <c r="H538" s="1624">
        <f>3.58*1.39</f>
        <v>4.9761999999999995</v>
      </c>
      <c r="I538" s="1624">
        <f t="shared" si="499"/>
        <v>1.2440499999999999</v>
      </c>
      <c r="J538" s="1624"/>
      <c r="K538" s="1624"/>
      <c r="L538" s="1624"/>
      <c r="M538" s="1624"/>
      <c r="N538" s="1624"/>
      <c r="O538" s="1624"/>
      <c r="P538" s="1624">
        <f>H538*25%</f>
        <v>1.2440499999999999</v>
      </c>
      <c r="Q538" s="1624"/>
      <c r="R538" s="1624"/>
      <c r="S538" s="1624"/>
      <c r="T538" s="1624">
        <f>(H538+K538+L538+R538)*23.5/100</f>
        <v>1.1694069999999999</v>
      </c>
      <c r="U538" s="1624">
        <f t="shared" si="500"/>
        <v>7.9212869999999995</v>
      </c>
      <c r="V538" s="1624">
        <f>3.58*1.49</f>
        <v>5.3342000000000001</v>
      </c>
      <c r="W538" s="1624">
        <f t="shared" si="501"/>
        <v>1.33355</v>
      </c>
      <c r="X538" s="1624"/>
      <c r="Y538" s="1624"/>
      <c r="Z538" s="1624"/>
      <c r="AA538" s="1624"/>
      <c r="AB538" s="1624"/>
      <c r="AC538" s="1624"/>
      <c r="AD538" s="1624">
        <f>V538*25%</f>
        <v>1.33355</v>
      </c>
      <c r="AE538" s="1624"/>
      <c r="AF538" s="1624"/>
      <c r="AG538" s="1624"/>
      <c r="AH538" s="1624">
        <f>(V538+Y538+Z538+AF538)*23.5/100</f>
        <v>1.2535370000000001</v>
      </c>
      <c r="AI538" s="1621">
        <f t="shared" si="502"/>
        <v>0.53163000000000071</v>
      </c>
      <c r="AJ538" s="1621">
        <f t="shared" si="503"/>
        <v>3.1897800000000043</v>
      </c>
      <c r="AK538" s="1448">
        <f t="shared" si="474"/>
        <v>0.26581500000000036</v>
      </c>
      <c r="AL538" s="1431">
        <f t="shared" si="468"/>
        <v>107.19424460431657</v>
      </c>
    </row>
    <row r="539" spans="1:38" s="561" customFormat="1" ht="27.75" hidden="1" customHeight="1">
      <c r="A539" s="1499">
        <v>47</v>
      </c>
      <c r="B539" s="764" t="s">
        <v>2293</v>
      </c>
      <c r="C539" s="1455">
        <f t="shared" si="492"/>
        <v>4</v>
      </c>
      <c r="D539" s="1455"/>
      <c r="E539" s="1455">
        <v>4</v>
      </c>
      <c r="F539" s="1455">
        <v>2</v>
      </c>
      <c r="G539" s="1367">
        <f t="shared" si="498"/>
        <v>6.8400630000000007</v>
      </c>
      <c r="H539" s="1577">
        <f>(3.22*1390)/1000</f>
        <v>4.4758000000000004</v>
      </c>
      <c r="I539" s="1367">
        <f t="shared" si="499"/>
        <v>1.3124500000000001</v>
      </c>
      <c r="J539" s="1365"/>
      <c r="K539" s="1365"/>
      <c r="L539" s="1365"/>
      <c r="M539" s="1365"/>
      <c r="N539" s="1365"/>
      <c r="O539" s="1365"/>
      <c r="P539" s="1365">
        <f>(H539+K539+L539+0.774)*25%</f>
        <v>1.3124500000000001</v>
      </c>
      <c r="Q539" s="1365">
        <f>(J539/1.39)*1.49</f>
        <v>0</v>
      </c>
      <c r="R539" s="1365"/>
      <c r="S539" s="1577">
        <f>(L539/1.39)*1.49</f>
        <v>0</v>
      </c>
      <c r="T539" s="1624">
        <f>(H539+K539+L539+R539)*23.5/100</f>
        <v>1.0518130000000001</v>
      </c>
      <c r="U539" s="1367">
        <f t="shared" si="500"/>
        <v>7.3321538633093528</v>
      </c>
      <c r="V539" s="1367">
        <f>(H539/1.39)*1.49</f>
        <v>4.7978000000000005</v>
      </c>
      <c r="W539" s="1367">
        <f t="shared" si="501"/>
        <v>1.4068708633093527</v>
      </c>
      <c r="X539" s="1367">
        <f t="shared" ref="X539:AC539" si="505">(J539/1.3)*1.39</f>
        <v>0</v>
      </c>
      <c r="Y539" s="1367">
        <f t="shared" si="505"/>
        <v>0</v>
      </c>
      <c r="Z539" s="1367">
        <f t="shared" si="505"/>
        <v>0</v>
      </c>
      <c r="AA539" s="1367">
        <f t="shared" si="505"/>
        <v>0</v>
      </c>
      <c r="AB539" s="1367">
        <f t="shared" si="505"/>
        <v>0</v>
      </c>
      <c r="AC539" s="1367">
        <f t="shared" si="505"/>
        <v>0</v>
      </c>
      <c r="AD539" s="1367">
        <f>(P539/1.39)*1.49</f>
        <v>1.4068708633093527</v>
      </c>
      <c r="AE539" s="1367">
        <f>(Q539/1.3)*1.39</f>
        <v>0</v>
      </c>
      <c r="AF539" s="1367">
        <f>(R539/1.3)*1.39</f>
        <v>0</v>
      </c>
      <c r="AG539" s="1367">
        <f>(S539/1.39)*1.49</f>
        <v>0</v>
      </c>
      <c r="AH539" s="1367">
        <f>(V539+Y539+Z539+AF539)*23.5%</f>
        <v>1.127483</v>
      </c>
      <c r="AI539" s="1366">
        <f t="shared" si="502"/>
        <v>0.49209086330935214</v>
      </c>
      <c r="AJ539" s="1366">
        <f t="shared" si="503"/>
        <v>2.9525451798561129</v>
      </c>
      <c r="AK539" s="1463">
        <f t="shared" si="474"/>
        <v>0.24604543165467607</v>
      </c>
      <c r="AL539" s="1431">
        <f t="shared" si="468"/>
        <v>107.19424460431655</v>
      </c>
    </row>
    <row r="540" spans="1:38" s="561" customFormat="1" ht="27.75" hidden="1" customHeight="1">
      <c r="A540" s="1499">
        <v>48</v>
      </c>
      <c r="B540" s="1490" t="s">
        <v>2733</v>
      </c>
      <c r="C540" s="1461">
        <v>3</v>
      </c>
      <c r="D540" s="1461"/>
      <c r="E540" s="1461">
        <v>3</v>
      </c>
      <c r="F540" s="1461">
        <v>2</v>
      </c>
      <c r="G540" s="1620">
        <f t="shared" si="498"/>
        <v>9.9904859999999971</v>
      </c>
      <c r="H540" s="1624">
        <f>4.84*1.39</f>
        <v>6.7275999999999989</v>
      </c>
      <c r="I540" s="1620">
        <f t="shared" si="499"/>
        <v>1.6818999999999997</v>
      </c>
      <c r="J540" s="1630">
        <v>0</v>
      </c>
      <c r="K540" s="1630">
        <f>0*1.39</f>
        <v>0</v>
      </c>
      <c r="L540" s="1624">
        <f>0*1.39</f>
        <v>0</v>
      </c>
      <c r="M540" s="1630"/>
      <c r="N540" s="1624">
        <f>0*1.39*70/100</f>
        <v>0</v>
      </c>
      <c r="O540" s="1630">
        <f>0*1.39</f>
        <v>0</v>
      </c>
      <c r="P540" s="1630">
        <f>(H540+K540+L540+0)*25%</f>
        <v>1.6818999999999997</v>
      </c>
      <c r="Q540" s="1630"/>
      <c r="R540" s="1630">
        <f>0*1.39</f>
        <v>0</v>
      </c>
      <c r="S540" s="1630">
        <f>0*1.39</f>
        <v>0</v>
      </c>
      <c r="T540" s="1621">
        <f>(H540+K540+L540+R540)*23.5%</f>
        <v>1.5809859999999996</v>
      </c>
      <c r="U540" s="1620">
        <f t="shared" si="500"/>
        <v>10.709225999999999</v>
      </c>
      <c r="V540" s="1624">
        <f>(H540/1.39)*1.49</f>
        <v>7.2115999999999998</v>
      </c>
      <c r="W540" s="1620">
        <f t="shared" si="501"/>
        <v>1.8028999999999999</v>
      </c>
      <c r="X540" s="1706">
        <f t="shared" ref="X540:AC540" si="506">(J540/1.39)*1.49</f>
        <v>0</v>
      </c>
      <c r="Y540" s="1706">
        <f t="shared" si="506"/>
        <v>0</v>
      </c>
      <c r="Z540" s="1624">
        <f t="shared" si="506"/>
        <v>0</v>
      </c>
      <c r="AA540" s="1706">
        <f t="shared" si="506"/>
        <v>0</v>
      </c>
      <c r="AB540" s="1624">
        <f t="shared" si="506"/>
        <v>0</v>
      </c>
      <c r="AC540" s="1706">
        <f t="shared" si="506"/>
        <v>0</v>
      </c>
      <c r="AD540" s="1706">
        <f>(P540/1.39)*1.49</f>
        <v>1.8028999999999999</v>
      </c>
      <c r="AE540" s="1706">
        <f>(Q540/1.39)*1.49</f>
        <v>0</v>
      </c>
      <c r="AF540" s="1706">
        <f>(R540/1.39)*1.49</f>
        <v>0</v>
      </c>
      <c r="AG540" s="1706">
        <f>(S540/1.39)*1.49</f>
        <v>0</v>
      </c>
      <c r="AH540" s="1620">
        <f>(V540+Y540+Z540+AF540)*23.5%</f>
        <v>1.694726</v>
      </c>
      <c r="AI540" s="1621">
        <f t="shared" si="502"/>
        <v>0.71874000000000215</v>
      </c>
      <c r="AJ540" s="1621">
        <f t="shared" si="503"/>
        <v>4.3124400000000129</v>
      </c>
      <c r="AK540" s="1448">
        <f t="shared" si="474"/>
        <v>0.35937000000000108</v>
      </c>
      <c r="AL540" s="1431">
        <f t="shared" si="468"/>
        <v>107.19424460431657</v>
      </c>
    </row>
    <row r="541" spans="1:38" s="561" customFormat="1" ht="27.75" hidden="1" customHeight="1">
      <c r="A541" s="1499">
        <v>49</v>
      </c>
      <c r="B541" s="1490" t="s">
        <v>2734</v>
      </c>
      <c r="C541" s="1461">
        <v>5</v>
      </c>
      <c r="D541" s="1461"/>
      <c r="E541" s="1461">
        <v>5</v>
      </c>
      <c r="F541" s="1461">
        <v>3</v>
      </c>
      <c r="G541" s="1620">
        <f t="shared" si="498"/>
        <v>13.458257999999997</v>
      </c>
      <c r="H541" s="1624">
        <f>6.52*1.39</f>
        <v>9.0627999999999993</v>
      </c>
      <c r="I541" s="1620">
        <f t="shared" si="499"/>
        <v>2.2656999999999998</v>
      </c>
      <c r="J541" s="1630"/>
      <c r="K541" s="1630">
        <f t="shared" ref="K541:L541" si="507">0*1.39</f>
        <v>0</v>
      </c>
      <c r="L541" s="1624">
        <f t="shared" si="507"/>
        <v>0</v>
      </c>
      <c r="M541" s="1630"/>
      <c r="N541" s="1624"/>
      <c r="O541" s="1630">
        <f t="shared" ref="O541" si="508">0*1.39</f>
        <v>0</v>
      </c>
      <c r="P541" s="1630">
        <f>(H541+K541+L541+0)*25%</f>
        <v>2.2656999999999998</v>
      </c>
      <c r="Q541" s="1630"/>
      <c r="R541" s="1630">
        <f t="shared" ref="R541:S541" si="509">0*1.39</f>
        <v>0</v>
      </c>
      <c r="S541" s="1630">
        <f t="shared" si="509"/>
        <v>0</v>
      </c>
      <c r="T541" s="1621">
        <f>(H541+K541+L541+R541)*23.5%</f>
        <v>2.1297579999999998</v>
      </c>
      <c r="U541" s="1620">
        <f t="shared" si="500"/>
        <v>14.426477999999998</v>
      </c>
      <c r="V541" s="1624">
        <f>(H541/1.39)*1.49</f>
        <v>9.7147999999999985</v>
      </c>
      <c r="W541" s="1620">
        <f t="shared" si="501"/>
        <v>2.4286999999999996</v>
      </c>
      <c r="X541" s="1706"/>
      <c r="Y541" s="1706">
        <f>(K541/1.39)*1.49</f>
        <v>0</v>
      </c>
      <c r="Z541" s="1624">
        <v>0</v>
      </c>
      <c r="AA541" s="1706">
        <f>(M541/1.39)*1.49</f>
        <v>0</v>
      </c>
      <c r="AB541" s="1624">
        <v>0</v>
      </c>
      <c r="AC541" s="1706">
        <f>(O541/1.39)*1.49</f>
        <v>0</v>
      </c>
      <c r="AD541" s="1706">
        <f>(P541/1.39)*1.49</f>
        <v>2.4286999999999996</v>
      </c>
      <c r="AE541" s="1706">
        <f>(Q541/1.39)*1.49</f>
        <v>0</v>
      </c>
      <c r="AF541" s="1706">
        <f>(R541/1.39)*1.49</f>
        <v>0</v>
      </c>
      <c r="AG541" s="1706">
        <f>(S541/1.39)*1.49</f>
        <v>0</v>
      </c>
      <c r="AH541" s="1620">
        <f>(V541+Y541+Z541+AF541)*23.5%</f>
        <v>2.2829779999999995</v>
      </c>
      <c r="AI541" s="1621">
        <f t="shared" si="502"/>
        <v>0.96822000000000052</v>
      </c>
      <c r="AJ541" s="1621">
        <f t="shared" si="503"/>
        <v>5.8093200000000031</v>
      </c>
      <c r="AK541" s="1448">
        <f t="shared" si="474"/>
        <v>0.32274000000000019</v>
      </c>
      <c r="AL541" s="1431">
        <f t="shared" ref="AL541:AL579" si="510">U541/G541*100</f>
        <v>107.19424460431655</v>
      </c>
    </row>
    <row r="542" spans="1:38" s="561" customFormat="1" ht="27.75" hidden="1" customHeight="1">
      <c r="A542" s="1499">
        <v>50</v>
      </c>
      <c r="B542" s="764" t="s">
        <v>2735</v>
      </c>
      <c r="C542" s="1476">
        <f t="shared" ref="C542" si="511">D542+E542</f>
        <v>3</v>
      </c>
      <c r="D542" s="1476"/>
      <c r="E542" s="1476">
        <v>3</v>
      </c>
      <c r="F542" s="1476">
        <v>2</v>
      </c>
      <c r="G542" s="1637">
        <f t="shared" si="498"/>
        <v>7.0181100000000001</v>
      </c>
      <c r="H542" s="1638">
        <f>3.4*1.39</f>
        <v>4.726</v>
      </c>
      <c r="I542" s="1637">
        <f t="shared" si="499"/>
        <v>1.1815</v>
      </c>
      <c r="J542" s="1638"/>
      <c r="K542" s="1638"/>
      <c r="L542" s="1638"/>
      <c r="M542" s="1638"/>
      <c r="N542" s="1638"/>
      <c r="O542" s="1638"/>
      <c r="P542" s="1638">
        <f>H542*25%</f>
        <v>1.1815</v>
      </c>
      <c r="Q542" s="1638"/>
      <c r="R542" s="1638"/>
      <c r="S542" s="1638"/>
      <c r="T542" s="1639">
        <f>(H542)*23.5%</f>
        <v>1.1106099999999999</v>
      </c>
      <c r="U542" s="1637">
        <f t="shared" si="500"/>
        <v>7.5230099999999993</v>
      </c>
      <c r="V542" s="1638">
        <f>3.4*1.49</f>
        <v>5.0659999999999998</v>
      </c>
      <c r="W542" s="1637">
        <f t="shared" si="501"/>
        <v>1.2665</v>
      </c>
      <c r="X542" s="1638"/>
      <c r="Y542" s="1638"/>
      <c r="Z542" s="1638"/>
      <c r="AA542" s="1638"/>
      <c r="AB542" s="1638"/>
      <c r="AC542" s="1638"/>
      <c r="AD542" s="1638">
        <f>V542*25%</f>
        <v>1.2665</v>
      </c>
      <c r="AE542" s="1638"/>
      <c r="AF542" s="1638"/>
      <c r="AG542" s="1638"/>
      <c r="AH542" s="1639">
        <f>(V542)*23.5%</f>
        <v>1.19051</v>
      </c>
      <c r="AI542" s="1621">
        <f t="shared" si="502"/>
        <v>0.50489999999999924</v>
      </c>
      <c r="AJ542" s="1621">
        <f t="shared" si="503"/>
        <v>3.0293999999999954</v>
      </c>
      <c r="AK542" s="1448">
        <f t="shared" si="474"/>
        <v>0.25244999999999962</v>
      </c>
      <c r="AL542" s="1431">
        <f t="shared" si="510"/>
        <v>107.19424460431655</v>
      </c>
    </row>
    <row r="543" spans="1:38" s="561" customFormat="1" ht="27.75" hidden="1" customHeight="1">
      <c r="A543" s="1375"/>
      <c r="B543" s="1511" t="s">
        <v>2539</v>
      </c>
      <c r="C543" s="1512">
        <f>C544</f>
        <v>15</v>
      </c>
      <c r="D543" s="1512">
        <f t="shared" ref="D543:AJ543" si="512">D544</f>
        <v>0</v>
      </c>
      <c r="E543" s="1512">
        <f t="shared" si="512"/>
        <v>15</v>
      </c>
      <c r="F543" s="1512">
        <f t="shared" si="512"/>
        <v>15</v>
      </c>
      <c r="G543" s="1692">
        <f t="shared" si="512"/>
        <v>113.4731365</v>
      </c>
      <c r="H543" s="1692">
        <f t="shared" si="512"/>
        <v>63.25889999999999</v>
      </c>
      <c r="I543" s="1692">
        <f t="shared" si="512"/>
        <v>35.348394999999996</v>
      </c>
      <c r="J543" s="1692">
        <f t="shared" si="512"/>
        <v>0</v>
      </c>
      <c r="K543" s="1692">
        <f t="shared" si="512"/>
        <v>0</v>
      </c>
      <c r="L543" s="1692">
        <f t="shared" si="512"/>
        <v>0</v>
      </c>
      <c r="M543" s="1692">
        <f t="shared" si="512"/>
        <v>0</v>
      </c>
      <c r="N543" s="1692">
        <f t="shared" si="512"/>
        <v>0</v>
      </c>
      <c r="O543" s="1692">
        <f t="shared" si="512"/>
        <v>0</v>
      </c>
      <c r="P543" s="1692">
        <f t="shared" si="512"/>
        <v>15.814724999999997</v>
      </c>
      <c r="Q543" s="1692">
        <f t="shared" si="512"/>
        <v>18.97767</v>
      </c>
      <c r="R543" s="1692">
        <f t="shared" si="512"/>
        <v>0</v>
      </c>
      <c r="S543" s="1692">
        <f t="shared" si="512"/>
        <v>0.55599999999999994</v>
      </c>
      <c r="T543" s="1692">
        <f t="shared" si="512"/>
        <v>14.865841499999997</v>
      </c>
      <c r="U543" s="1692">
        <f t="shared" si="512"/>
        <v>121.63667150000001</v>
      </c>
      <c r="V543" s="1692">
        <f t="shared" si="512"/>
        <v>67.809899999999999</v>
      </c>
      <c r="W543" s="1692">
        <f t="shared" si="512"/>
        <v>37.891444999999997</v>
      </c>
      <c r="X543" s="1692">
        <f t="shared" si="512"/>
        <v>0</v>
      </c>
      <c r="Y543" s="1692">
        <f t="shared" si="512"/>
        <v>0</v>
      </c>
      <c r="Z543" s="1692">
        <f t="shared" si="512"/>
        <v>0</v>
      </c>
      <c r="AA543" s="1692">
        <f t="shared" si="512"/>
        <v>0</v>
      </c>
      <c r="AB543" s="1692">
        <f t="shared" si="512"/>
        <v>0</v>
      </c>
      <c r="AC543" s="1692">
        <f t="shared" si="512"/>
        <v>0</v>
      </c>
      <c r="AD543" s="1692">
        <f t="shared" si="512"/>
        <v>16.952475</v>
      </c>
      <c r="AE543" s="1692">
        <f t="shared" si="512"/>
        <v>20.342970000000001</v>
      </c>
      <c r="AF543" s="1692">
        <f t="shared" si="512"/>
        <v>0</v>
      </c>
      <c r="AG543" s="1692">
        <f t="shared" si="512"/>
        <v>0.59599999999999997</v>
      </c>
      <c r="AH543" s="1692">
        <f t="shared" si="512"/>
        <v>15.935326499999999</v>
      </c>
      <c r="AI543" s="1692">
        <f t="shared" si="512"/>
        <v>8.1635350000000102</v>
      </c>
      <c r="AJ543" s="1692">
        <f t="shared" si="512"/>
        <v>48.981210000000061</v>
      </c>
      <c r="AK543" s="1448">
        <f t="shared" si="474"/>
        <v>0.54423566666666734</v>
      </c>
      <c r="AL543" s="1431">
        <f t="shared" si="510"/>
        <v>107.19424460431655</v>
      </c>
    </row>
    <row r="544" spans="1:38" s="561" customFormat="1" ht="27.75" hidden="1" customHeight="1">
      <c r="A544" s="1375">
        <v>51</v>
      </c>
      <c r="B544" s="764" t="s">
        <v>2736</v>
      </c>
      <c r="C544" s="1455">
        <f t="shared" ref="C544:AJ544" si="513">SUM(C545:C553)</f>
        <v>15</v>
      </c>
      <c r="D544" s="1455">
        <f t="shared" si="513"/>
        <v>0</v>
      </c>
      <c r="E544" s="1455">
        <f t="shared" si="513"/>
        <v>15</v>
      </c>
      <c r="F544" s="1455">
        <f t="shared" si="513"/>
        <v>15</v>
      </c>
      <c r="G544" s="1617">
        <f t="shared" si="513"/>
        <v>113.4731365</v>
      </c>
      <c r="H544" s="1617">
        <f t="shared" si="513"/>
        <v>63.25889999999999</v>
      </c>
      <c r="I544" s="1617">
        <f t="shared" si="513"/>
        <v>35.348394999999996</v>
      </c>
      <c r="J544" s="1617">
        <f t="shared" si="513"/>
        <v>0</v>
      </c>
      <c r="K544" s="1617">
        <f t="shared" si="513"/>
        <v>0</v>
      </c>
      <c r="L544" s="1617">
        <f t="shared" si="513"/>
        <v>0</v>
      </c>
      <c r="M544" s="1617">
        <f t="shared" si="513"/>
        <v>0</v>
      </c>
      <c r="N544" s="1617">
        <f t="shared" si="513"/>
        <v>0</v>
      </c>
      <c r="O544" s="1617">
        <f t="shared" si="513"/>
        <v>0</v>
      </c>
      <c r="P544" s="1617">
        <f t="shared" si="513"/>
        <v>15.814724999999997</v>
      </c>
      <c r="Q544" s="1617">
        <f t="shared" si="513"/>
        <v>18.97767</v>
      </c>
      <c r="R544" s="1617">
        <f t="shared" si="513"/>
        <v>0</v>
      </c>
      <c r="S544" s="1617">
        <f t="shared" si="513"/>
        <v>0.55599999999999994</v>
      </c>
      <c r="T544" s="1617">
        <f t="shared" si="513"/>
        <v>14.865841499999997</v>
      </c>
      <c r="U544" s="1617">
        <f t="shared" si="513"/>
        <v>121.63667150000001</v>
      </c>
      <c r="V544" s="1617">
        <f t="shared" si="513"/>
        <v>67.809899999999999</v>
      </c>
      <c r="W544" s="1617">
        <f t="shared" si="513"/>
        <v>37.891444999999997</v>
      </c>
      <c r="X544" s="1617">
        <f t="shared" si="513"/>
        <v>0</v>
      </c>
      <c r="Y544" s="1617">
        <f t="shared" si="513"/>
        <v>0</v>
      </c>
      <c r="Z544" s="1617">
        <f t="shared" si="513"/>
        <v>0</v>
      </c>
      <c r="AA544" s="1617">
        <f t="shared" si="513"/>
        <v>0</v>
      </c>
      <c r="AB544" s="1617">
        <f t="shared" si="513"/>
        <v>0</v>
      </c>
      <c r="AC544" s="1617">
        <f t="shared" si="513"/>
        <v>0</v>
      </c>
      <c r="AD544" s="1617">
        <f t="shared" si="513"/>
        <v>16.952475</v>
      </c>
      <c r="AE544" s="1617">
        <f t="shared" si="513"/>
        <v>20.342970000000001</v>
      </c>
      <c r="AF544" s="1617">
        <f t="shared" si="513"/>
        <v>0</v>
      </c>
      <c r="AG544" s="1617">
        <f t="shared" si="513"/>
        <v>0.59599999999999997</v>
      </c>
      <c r="AH544" s="1617">
        <f t="shared" si="513"/>
        <v>15.935326499999999</v>
      </c>
      <c r="AI544" s="1617">
        <f t="shared" si="513"/>
        <v>8.1635350000000102</v>
      </c>
      <c r="AJ544" s="1617">
        <f t="shared" si="513"/>
        <v>48.981210000000061</v>
      </c>
      <c r="AK544" s="1448">
        <f t="shared" si="474"/>
        <v>0.54423566666666734</v>
      </c>
      <c r="AL544" s="1431">
        <f t="shared" si="510"/>
        <v>107.19424460431655</v>
      </c>
    </row>
    <row r="545" spans="1:38" s="561" customFormat="1" ht="27.75" hidden="1" customHeight="1">
      <c r="A545" s="1499"/>
      <c r="B545" s="1513" t="s">
        <v>2737</v>
      </c>
      <c r="C545" s="1367">
        <f>D545+E545</f>
        <v>15</v>
      </c>
      <c r="D545" s="1367"/>
      <c r="E545" s="1367">
        <v>15</v>
      </c>
      <c r="F545" s="1367">
        <v>15</v>
      </c>
      <c r="G545" s="1614">
        <f t="shared" ref="G545:G553" si="514">H545+I545+T545</f>
        <v>113.4731365</v>
      </c>
      <c r="H545" s="1659">
        <f>45.51*1.39</f>
        <v>63.25889999999999</v>
      </c>
      <c r="I545" s="1614">
        <f t="shared" ref="I545:I553" si="515">SUM(J545:S545)</f>
        <v>35.348394999999996</v>
      </c>
      <c r="J545" s="1617"/>
      <c r="K545" s="1617"/>
      <c r="L545" s="1617"/>
      <c r="M545" s="1617"/>
      <c r="N545" s="1617"/>
      <c r="O545" s="1617"/>
      <c r="P545" s="1617">
        <f>11.3775*1.39</f>
        <v>15.814724999999997</v>
      </c>
      <c r="Q545" s="1617">
        <f>13.653*1.39</f>
        <v>18.97767</v>
      </c>
      <c r="R545" s="1617"/>
      <c r="S545" s="1617">
        <f>0.4*1.39</f>
        <v>0.55599999999999994</v>
      </c>
      <c r="T545" s="1621">
        <f>(H545)*23.5%</f>
        <v>14.865841499999997</v>
      </c>
      <c r="U545" s="1614">
        <f t="shared" ref="U545:U553" si="516">V545+W545+AH545</f>
        <v>121.63667150000001</v>
      </c>
      <c r="V545" s="1659">
        <f>45.51*1.49</f>
        <v>67.809899999999999</v>
      </c>
      <c r="W545" s="1614">
        <f t="shared" ref="W545:W553" si="517">SUM(X545:AG545)</f>
        <v>37.891444999999997</v>
      </c>
      <c r="X545" s="1617"/>
      <c r="Y545" s="1617"/>
      <c r="Z545" s="1617"/>
      <c r="AA545" s="1617"/>
      <c r="AB545" s="1617"/>
      <c r="AC545" s="1617"/>
      <c r="AD545" s="1617">
        <f>11.3775*1.49</f>
        <v>16.952475</v>
      </c>
      <c r="AE545" s="1617">
        <f>13.653*1.49</f>
        <v>20.342970000000001</v>
      </c>
      <c r="AF545" s="1617"/>
      <c r="AG545" s="1617">
        <f>0.4*1.49</f>
        <v>0.59599999999999997</v>
      </c>
      <c r="AH545" s="1621">
        <f>(V545)*23.5%</f>
        <v>15.935326499999999</v>
      </c>
      <c r="AI545" s="1621">
        <f t="shared" ref="AI545:AI553" si="518">U545-G545</f>
        <v>8.1635350000000102</v>
      </c>
      <c r="AJ545" s="1621">
        <f t="shared" ref="AJ545:AJ553" si="519">AI545*6</f>
        <v>48.981210000000061</v>
      </c>
      <c r="AK545" s="1448">
        <f t="shared" si="474"/>
        <v>0.54423566666666734</v>
      </c>
      <c r="AL545" s="1431">
        <f t="shared" si="510"/>
        <v>107.19424460431655</v>
      </c>
    </row>
    <row r="546" spans="1:38" s="561" customFormat="1" ht="27.75" hidden="1" customHeight="1">
      <c r="A546" s="1499"/>
      <c r="B546" s="1513" t="s">
        <v>2738</v>
      </c>
      <c r="C546" s="1455"/>
      <c r="D546" s="1455"/>
      <c r="E546" s="1455"/>
      <c r="F546" s="1455"/>
      <c r="G546" s="1614">
        <f t="shared" si="514"/>
        <v>0</v>
      </c>
      <c r="H546" s="1617"/>
      <c r="I546" s="1614">
        <f t="shared" si="515"/>
        <v>0</v>
      </c>
      <c r="J546" s="1617"/>
      <c r="K546" s="1617"/>
      <c r="L546" s="1617"/>
      <c r="M546" s="1617"/>
      <c r="N546" s="1617"/>
      <c r="O546" s="1617"/>
      <c r="P546" s="1617"/>
      <c r="Q546" s="1617"/>
      <c r="R546" s="1617"/>
      <c r="S546" s="1617"/>
      <c r="T546" s="1621">
        <f>(H546)*23.5%</f>
        <v>0</v>
      </c>
      <c r="U546" s="1614">
        <f t="shared" si="516"/>
        <v>0</v>
      </c>
      <c r="V546" s="1617"/>
      <c r="W546" s="1614">
        <f t="shared" si="517"/>
        <v>0</v>
      </c>
      <c r="X546" s="1617"/>
      <c r="Y546" s="1617"/>
      <c r="Z546" s="1617"/>
      <c r="AA546" s="1617"/>
      <c r="AB546" s="1617"/>
      <c r="AC546" s="1617"/>
      <c r="AD546" s="1617"/>
      <c r="AE546" s="1617"/>
      <c r="AF546" s="1617"/>
      <c r="AG546" s="1617"/>
      <c r="AH546" s="1621"/>
      <c r="AI546" s="1621">
        <f t="shared" si="518"/>
        <v>0</v>
      </c>
      <c r="AJ546" s="1621">
        <f t="shared" si="519"/>
        <v>0</v>
      </c>
      <c r="AK546" s="1448" t="e">
        <f t="shared" si="474"/>
        <v>#DIV/0!</v>
      </c>
      <c r="AL546" s="1431" t="e">
        <f t="shared" si="510"/>
        <v>#DIV/0!</v>
      </c>
    </row>
    <row r="547" spans="1:38" s="561" customFormat="1" ht="27.75" hidden="1" customHeight="1">
      <c r="A547" s="1499"/>
      <c r="B547" s="1513" t="s">
        <v>2739</v>
      </c>
      <c r="C547" s="1455"/>
      <c r="D547" s="1455"/>
      <c r="E547" s="1455"/>
      <c r="F547" s="1455"/>
      <c r="G547" s="1614">
        <f t="shared" si="514"/>
        <v>0</v>
      </c>
      <c r="H547" s="1617"/>
      <c r="I547" s="1614">
        <f t="shared" si="515"/>
        <v>0</v>
      </c>
      <c r="J547" s="1617"/>
      <c r="K547" s="1617"/>
      <c r="L547" s="1617"/>
      <c r="M547" s="1617"/>
      <c r="N547" s="1617"/>
      <c r="O547" s="1617"/>
      <c r="P547" s="1617"/>
      <c r="Q547" s="1617"/>
      <c r="R547" s="1617"/>
      <c r="S547" s="1617"/>
      <c r="T547" s="1621">
        <f>(H547)*23.5%</f>
        <v>0</v>
      </c>
      <c r="U547" s="1614">
        <f t="shared" si="516"/>
        <v>0</v>
      </c>
      <c r="V547" s="1617"/>
      <c r="W547" s="1614">
        <f t="shared" si="517"/>
        <v>0</v>
      </c>
      <c r="X547" s="1617"/>
      <c r="Y547" s="1617"/>
      <c r="Z547" s="1617"/>
      <c r="AA547" s="1617"/>
      <c r="AB547" s="1617"/>
      <c r="AC547" s="1617"/>
      <c r="AD547" s="1617"/>
      <c r="AE547" s="1617"/>
      <c r="AF547" s="1617"/>
      <c r="AG547" s="1617"/>
      <c r="AH547" s="1621"/>
      <c r="AI547" s="1621">
        <f t="shared" si="518"/>
        <v>0</v>
      </c>
      <c r="AJ547" s="1621">
        <f t="shared" si="519"/>
        <v>0</v>
      </c>
      <c r="AK547" s="1448" t="e">
        <f t="shared" si="474"/>
        <v>#DIV/0!</v>
      </c>
      <c r="AL547" s="1431" t="e">
        <f t="shared" si="510"/>
        <v>#DIV/0!</v>
      </c>
    </row>
    <row r="548" spans="1:38" s="561" customFormat="1" ht="27.75" hidden="1" customHeight="1">
      <c r="A548" s="1499"/>
      <c r="B548" s="1513" t="s">
        <v>2740</v>
      </c>
      <c r="C548" s="1455"/>
      <c r="D548" s="1455"/>
      <c r="E548" s="1455"/>
      <c r="F548" s="1455"/>
      <c r="G548" s="1614">
        <f t="shared" si="514"/>
        <v>0</v>
      </c>
      <c r="H548" s="1617"/>
      <c r="I548" s="1614">
        <f t="shared" si="515"/>
        <v>0</v>
      </c>
      <c r="J548" s="1617"/>
      <c r="K548" s="1617"/>
      <c r="L548" s="1617"/>
      <c r="M548" s="1617"/>
      <c r="N548" s="1617"/>
      <c r="O548" s="1617"/>
      <c r="P548" s="1617"/>
      <c r="Q548" s="1617"/>
      <c r="R548" s="1617"/>
      <c r="S548" s="1617"/>
      <c r="T548" s="1621">
        <f>(H548)*23.5%</f>
        <v>0</v>
      </c>
      <c r="U548" s="1614">
        <f t="shared" si="516"/>
        <v>0</v>
      </c>
      <c r="V548" s="1617"/>
      <c r="W548" s="1614">
        <f t="shared" si="517"/>
        <v>0</v>
      </c>
      <c r="X548" s="1617"/>
      <c r="Y548" s="1617"/>
      <c r="Z548" s="1617"/>
      <c r="AA548" s="1617"/>
      <c r="AB548" s="1617"/>
      <c r="AC548" s="1617"/>
      <c r="AD548" s="1617"/>
      <c r="AE548" s="1617"/>
      <c r="AF548" s="1617"/>
      <c r="AG548" s="1617"/>
      <c r="AH548" s="1621"/>
      <c r="AI548" s="1621">
        <f t="shared" si="518"/>
        <v>0</v>
      </c>
      <c r="AJ548" s="1621">
        <f t="shared" si="519"/>
        <v>0</v>
      </c>
      <c r="AK548" s="1448" t="e">
        <f t="shared" si="474"/>
        <v>#DIV/0!</v>
      </c>
      <c r="AL548" s="1431" t="e">
        <f t="shared" si="510"/>
        <v>#DIV/0!</v>
      </c>
    </row>
    <row r="549" spans="1:38" s="561" customFormat="1" ht="27.75" hidden="1" customHeight="1">
      <c r="A549" s="1499"/>
      <c r="B549" s="1513" t="s">
        <v>2892</v>
      </c>
      <c r="C549" s="1455"/>
      <c r="D549" s="1455"/>
      <c r="E549" s="1455"/>
      <c r="F549" s="1455"/>
      <c r="G549" s="1614">
        <f t="shared" si="514"/>
        <v>0</v>
      </c>
      <c r="H549" s="1617"/>
      <c r="I549" s="1614">
        <f t="shared" si="515"/>
        <v>0</v>
      </c>
      <c r="J549" s="1617"/>
      <c r="K549" s="1617"/>
      <c r="L549" s="1617"/>
      <c r="M549" s="1617"/>
      <c r="N549" s="1617"/>
      <c r="O549" s="1617"/>
      <c r="P549" s="1617"/>
      <c r="Q549" s="1617"/>
      <c r="R549" s="1617"/>
      <c r="S549" s="1617"/>
      <c r="T549" s="1621">
        <f>(H549)*21.5%</f>
        <v>0</v>
      </c>
      <c r="U549" s="1614">
        <f t="shared" si="516"/>
        <v>0</v>
      </c>
      <c r="V549" s="1617"/>
      <c r="W549" s="1614">
        <f t="shared" si="517"/>
        <v>0</v>
      </c>
      <c r="X549" s="1617"/>
      <c r="Y549" s="1617"/>
      <c r="Z549" s="1617"/>
      <c r="AA549" s="1617"/>
      <c r="AB549" s="1617"/>
      <c r="AC549" s="1617"/>
      <c r="AD549" s="1617"/>
      <c r="AE549" s="1617"/>
      <c r="AF549" s="1617"/>
      <c r="AG549" s="1617"/>
      <c r="AH549" s="1621">
        <f>(V549)*21.5%</f>
        <v>0</v>
      </c>
      <c r="AI549" s="1621">
        <f t="shared" si="518"/>
        <v>0</v>
      </c>
      <c r="AJ549" s="1621">
        <f t="shared" si="519"/>
        <v>0</v>
      </c>
      <c r="AK549" s="1448" t="e">
        <f t="shared" si="474"/>
        <v>#DIV/0!</v>
      </c>
      <c r="AL549" s="1431" t="e">
        <f t="shared" si="510"/>
        <v>#DIV/0!</v>
      </c>
    </row>
    <row r="550" spans="1:38" s="561" customFormat="1" ht="27.75" hidden="1" customHeight="1">
      <c r="A550" s="1499"/>
      <c r="B550" s="1513" t="s">
        <v>2742</v>
      </c>
      <c r="C550" s="1455"/>
      <c r="D550" s="1455"/>
      <c r="E550" s="1455"/>
      <c r="F550" s="1455"/>
      <c r="G550" s="1614">
        <f t="shared" si="514"/>
        <v>0</v>
      </c>
      <c r="H550" s="1617"/>
      <c r="I550" s="1614">
        <f t="shared" si="515"/>
        <v>0</v>
      </c>
      <c r="J550" s="1617"/>
      <c r="K550" s="1617"/>
      <c r="L550" s="1617"/>
      <c r="M550" s="1617"/>
      <c r="N550" s="1617"/>
      <c r="O550" s="1617"/>
      <c r="P550" s="1617"/>
      <c r="Q550" s="1617"/>
      <c r="R550" s="1617"/>
      <c r="S550" s="1617"/>
      <c r="T550" s="1621">
        <f>(H550)*23.5%</f>
        <v>0</v>
      </c>
      <c r="U550" s="1614">
        <f t="shared" si="516"/>
        <v>0</v>
      </c>
      <c r="V550" s="1617"/>
      <c r="W550" s="1614">
        <f t="shared" si="517"/>
        <v>0</v>
      </c>
      <c r="X550" s="1617"/>
      <c r="Y550" s="1617"/>
      <c r="Z550" s="1617"/>
      <c r="AA550" s="1617"/>
      <c r="AB550" s="1617"/>
      <c r="AC550" s="1617"/>
      <c r="AD550" s="1617"/>
      <c r="AE550" s="1617"/>
      <c r="AF550" s="1617"/>
      <c r="AG550" s="1617"/>
      <c r="AH550" s="1621">
        <f>(V550)*23.5%</f>
        <v>0</v>
      </c>
      <c r="AI550" s="1621">
        <f t="shared" si="518"/>
        <v>0</v>
      </c>
      <c r="AJ550" s="1621">
        <f t="shared" si="519"/>
        <v>0</v>
      </c>
      <c r="AK550" s="1448" t="e">
        <f t="shared" si="474"/>
        <v>#DIV/0!</v>
      </c>
      <c r="AL550" s="1431" t="e">
        <f t="shared" si="510"/>
        <v>#DIV/0!</v>
      </c>
    </row>
    <row r="551" spans="1:38" s="561" customFormat="1" ht="27.75" hidden="1" customHeight="1">
      <c r="A551" s="1499"/>
      <c r="B551" s="1513" t="s">
        <v>2743</v>
      </c>
      <c r="C551" s="1455"/>
      <c r="D551" s="1455"/>
      <c r="E551" s="1455"/>
      <c r="F551" s="1455"/>
      <c r="G551" s="1614">
        <f t="shared" si="514"/>
        <v>0</v>
      </c>
      <c r="H551" s="1617"/>
      <c r="I551" s="1614">
        <f t="shared" si="515"/>
        <v>0</v>
      </c>
      <c r="J551" s="1617"/>
      <c r="K551" s="1617"/>
      <c r="L551" s="1617"/>
      <c r="M551" s="1617"/>
      <c r="N551" s="1617"/>
      <c r="O551" s="1617"/>
      <c r="P551" s="1617"/>
      <c r="Q551" s="1617"/>
      <c r="R551" s="1617"/>
      <c r="S551" s="1617"/>
      <c r="T551" s="1621">
        <f>(H551)*21.5%</f>
        <v>0</v>
      </c>
      <c r="U551" s="1614">
        <f t="shared" si="516"/>
        <v>0</v>
      </c>
      <c r="V551" s="1617"/>
      <c r="W551" s="1614">
        <f t="shared" si="517"/>
        <v>0</v>
      </c>
      <c r="X551" s="1617"/>
      <c r="Y551" s="1617"/>
      <c r="Z551" s="1617"/>
      <c r="AA551" s="1617"/>
      <c r="AB551" s="1617"/>
      <c r="AC551" s="1617"/>
      <c r="AD551" s="1617"/>
      <c r="AE551" s="1617"/>
      <c r="AF551" s="1617"/>
      <c r="AG551" s="1617"/>
      <c r="AH551" s="1621">
        <f>(V551)*21.5%</f>
        <v>0</v>
      </c>
      <c r="AI551" s="1621">
        <f t="shared" si="518"/>
        <v>0</v>
      </c>
      <c r="AJ551" s="1621">
        <f t="shared" si="519"/>
        <v>0</v>
      </c>
      <c r="AK551" s="1448" t="e">
        <f t="shared" si="474"/>
        <v>#DIV/0!</v>
      </c>
      <c r="AL551" s="1431" t="e">
        <f t="shared" si="510"/>
        <v>#DIV/0!</v>
      </c>
    </row>
    <row r="552" spans="1:38" s="561" customFormat="1" ht="27.75" hidden="1" customHeight="1">
      <c r="A552" s="1499"/>
      <c r="B552" s="1513" t="s">
        <v>2744</v>
      </c>
      <c r="C552" s="1455"/>
      <c r="D552" s="1455"/>
      <c r="E552" s="1455"/>
      <c r="F552" s="1455"/>
      <c r="G552" s="1709">
        <f t="shared" si="514"/>
        <v>0</v>
      </c>
      <c r="H552" s="1617"/>
      <c r="I552" s="1709">
        <f t="shared" si="515"/>
        <v>0</v>
      </c>
      <c r="J552" s="1617"/>
      <c r="K552" s="1617"/>
      <c r="L552" s="1617"/>
      <c r="M552" s="1617"/>
      <c r="N552" s="1617"/>
      <c r="O552" s="1617"/>
      <c r="P552" s="1617"/>
      <c r="Q552" s="1617"/>
      <c r="R552" s="1617"/>
      <c r="S552" s="1617"/>
      <c r="T552" s="1693">
        <f>(H552)*23.5%</f>
        <v>0</v>
      </c>
      <c r="U552" s="1709">
        <f t="shared" si="516"/>
        <v>0</v>
      </c>
      <c r="V552" s="1617"/>
      <c r="W552" s="1709">
        <f t="shared" si="517"/>
        <v>0</v>
      </c>
      <c r="X552" s="1617"/>
      <c r="Y552" s="1617"/>
      <c r="Z552" s="1617"/>
      <c r="AA552" s="1617"/>
      <c r="AB552" s="1617"/>
      <c r="AC552" s="1617"/>
      <c r="AD552" s="1617"/>
      <c r="AE552" s="1617"/>
      <c r="AF552" s="1617"/>
      <c r="AG552" s="1617"/>
      <c r="AH552" s="1693">
        <f>(V552)*23.5%</f>
        <v>0</v>
      </c>
      <c r="AI552" s="1710">
        <f t="shared" si="518"/>
        <v>0</v>
      </c>
      <c r="AJ552" s="1710">
        <f>AI552*1</f>
        <v>0</v>
      </c>
      <c r="AK552" s="1448" t="e">
        <f t="shared" si="474"/>
        <v>#DIV/0!</v>
      </c>
      <c r="AL552" s="1431" t="e">
        <f t="shared" si="510"/>
        <v>#DIV/0!</v>
      </c>
    </row>
    <row r="553" spans="1:38" s="561" customFormat="1" ht="27.75" hidden="1" customHeight="1">
      <c r="A553" s="1499"/>
      <c r="B553" s="1513" t="s">
        <v>2893</v>
      </c>
      <c r="C553" s="1455"/>
      <c r="D553" s="1455"/>
      <c r="E553" s="1455"/>
      <c r="F553" s="1455"/>
      <c r="G553" s="1709">
        <f t="shared" si="514"/>
        <v>0</v>
      </c>
      <c r="H553" s="1617"/>
      <c r="I553" s="1709">
        <f t="shared" si="515"/>
        <v>0</v>
      </c>
      <c r="J553" s="1617"/>
      <c r="K553" s="1617"/>
      <c r="L553" s="1617"/>
      <c r="M553" s="1617"/>
      <c r="N553" s="1617"/>
      <c r="O553" s="1617"/>
      <c r="P553" s="1617"/>
      <c r="Q553" s="1617"/>
      <c r="R553" s="1617"/>
      <c r="S553" s="1617"/>
      <c r="T553" s="1693"/>
      <c r="U553" s="1709">
        <f t="shared" si="516"/>
        <v>0</v>
      </c>
      <c r="V553" s="1617"/>
      <c r="W553" s="1709">
        <f t="shared" si="517"/>
        <v>0</v>
      </c>
      <c r="X553" s="1617"/>
      <c r="Y553" s="1617"/>
      <c r="Z553" s="1617"/>
      <c r="AA553" s="1617"/>
      <c r="AB553" s="1617"/>
      <c r="AC553" s="1617"/>
      <c r="AD553" s="1617"/>
      <c r="AE553" s="1617"/>
      <c r="AF553" s="1617"/>
      <c r="AG553" s="1617"/>
      <c r="AH553" s="1693"/>
      <c r="AI553" s="1710">
        <f t="shared" si="518"/>
        <v>0</v>
      </c>
      <c r="AJ553" s="1710">
        <f t="shared" si="519"/>
        <v>0</v>
      </c>
      <c r="AK553" s="1448" t="e">
        <f t="shared" si="474"/>
        <v>#DIV/0!</v>
      </c>
      <c r="AL553" s="1431" t="e">
        <f t="shared" si="510"/>
        <v>#DIV/0!</v>
      </c>
    </row>
    <row r="554" spans="1:38" s="561" customFormat="1" ht="27.75" hidden="1" customHeight="1">
      <c r="A554" s="1375">
        <v>52</v>
      </c>
      <c r="B554" s="1373" t="s">
        <v>2746</v>
      </c>
      <c r="C554" s="1455"/>
      <c r="D554" s="1455"/>
      <c r="E554" s="1455"/>
      <c r="F554" s="1455"/>
      <c r="G554" s="1709"/>
      <c r="H554" s="1617"/>
      <c r="I554" s="1709"/>
      <c r="J554" s="1617"/>
      <c r="K554" s="1617"/>
      <c r="L554" s="1617"/>
      <c r="M554" s="1617"/>
      <c r="N554" s="1617"/>
      <c r="O554" s="1617"/>
      <c r="P554" s="1617"/>
      <c r="Q554" s="1617"/>
      <c r="R554" s="1617"/>
      <c r="S554" s="1617"/>
      <c r="T554" s="1693"/>
      <c r="U554" s="1709"/>
      <c r="V554" s="1617"/>
      <c r="W554" s="1709"/>
      <c r="X554" s="1617"/>
      <c r="Y554" s="1617"/>
      <c r="Z554" s="1617"/>
      <c r="AA554" s="1617"/>
      <c r="AB554" s="1617"/>
      <c r="AC554" s="1617"/>
      <c r="AD554" s="1617"/>
      <c r="AE554" s="1617"/>
      <c r="AF554" s="1617"/>
      <c r="AG554" s="1617"/>
      <c r="AH554" s="1693"/>
      <c r="AI554" s="1710"/>
      <c r="AJ554" s="1710"/>
      <c r="AK554" s="1448" t="e">
        <f t="shared" ref="AK554:AK579" si="520">AI554/F554</f>
        <v>#DIV/0!</v>
      </c>
      <c r="AL554" s="1431" t="e">
        <f t="shared" si="510"/>
        <v>#DIV/0!</v>
      </c>
    </row>
    <row r="555" spans="1:38" s="561" customFormat="1" ht="27.75" hidden="1" customHeight="1">
      <c r="A555" s="1499"/>
      <c r="B555" s="1500" t="s">
        <v>2540</v>
      </c>
      <c r="C555" s="1501">
        <f>C556+SUM(C559:C562)</f>
        <v>3</v>
      </c>
      <c r="D555" s="1501">
        <f t="shared" ref="D555:AJ555" si="521">D556+SUM(D559:D562)</f>
        <v>1</v>
      </c>
      <c r="E555" s="1501">
        <f t="shared" si="521"/>
        <v>2</v>
      </c>
      <c r="F555" s="1501">
        <f t="shared" si="521"/>
        <v>2</v>
      </c>
      <c r="G555" s="1678">
        <f t="shared" si="521"/>
        <v>19.240240999999997</v>
      </c>
      <c r="H555" s="1678">
        <f t="shared" si="521"/>
        <v>11.592599999999999</v>
      </c>
      <c r="I555" s="1678">
        <f t="shared" si="521"/>
        <v>4.9233799999999999</v>
      </c>
      <c r="J555" s="1678">
        <f t="shared" si="521"/>
        <v>0</v>
      </c>
      <c r="K555" s="1678">
        <f t="shared" si="521"/>
        <v>0</v>
      </c>
      <c r="L555" s="1678">
        <f t="shared" si="521"/>
        <v>0</v>
      </c>
      <c r="M555" s="1678">
        <f t="shared" si="521"/>
        <v>0</v>
      </c>
      <c r="N555" s="1678">
        <f t="shared" si="521"/>
        <v>0</v>
      </c>
      <c r="O555" s="1678">
        <f t="shared" si="521"/>
        <v>0</v>
      </c>
      <c r="P555" s="1678">
        <f t="shared" si="521"/>
        <v>2.2378999999999998</v>
      </c>
      <c r="Q555" s="1678">
        <f t="shared" si="521"/>
        <v>2.6854799999999996</v>
      </c>
      <c r="R555" s="1678">
        <f t="shared" si="521"/>
        <v>0</v>
      </c>
      <c r="S555" s="1678">
        <f t="shared" si="521"/>
        <v>0</v>
      </c>
      <c r="T555" s="1678">
        <f t="shared" si="521"/>
        <v>2.7242609999999994</v>
      </c>
      <c r="U555" s="1678">
        <f t="shared" si="521"/>
        <v>20.624431000000001</v>
      </c>
      <c r="V555" s="1678">
        <f t="shared" si="521"/>
        <v>12.426600000000001</v>
      </c>
      <c r="W555" s="1678">
        <f t="shared" si="521"/>
        <v>5.2775800000000004</v>
      </c>
      <c r="X555" s="1678">
        <f t="shared" si="521"/>
        <v>0</v>
      </c>
      <c r="Y555" s="1678">
        <f t="shared" si="521"/>
        <v>0</v>
      </c>
      <c r="Z555" s="1678">
        <f t="shared" si="521"/>
        <v>0</v>
      </c>
      <c r="AA555" s="1678">
        <f t="shared" si="521"/>
        <v>0</v>
      </c>
      <c r="AB555" s="1678">
        <f t="shared" si="521"/>
        <v>0</v>
      </c>
      <c r="AC555" s="1678">
        <f t="shared" si="521"/>
        <v>0</v>
      </c>
      <c r="AD555" s="1678">
        <f t="shared" si="521"/>
        <v>2.3989000000000003</v>
      </c>
      <c r="AE555" s="1678">
        <f t="shared" si="521"/>
        <v>2.8786799999999997</v>
      </c>
      <c r="AF555" s="1678">
        <f t="shared" si="521"/>
        <v>0</v>
      </c>
      <c r="AG555" s="1678">
        <f t="shared" si="521"/>
        <v>0</v>
      </c>
      <c r="AH555" s="1678">
        <f t="shared" si="521"/>
        <v>2.9202509999999999</v>
      </c>
      <c r="AI555" s="1678">
        <f t="shared" si="521"/>
        <v>1.3841900000000025</v>
      </c>
      <c r="AJ555" s="1678">
        <f t="shared" si="521"/>
        <v>8.3051400000000157</v>
      </c>
      <c r="AK555" s="1448">
        <f t="shared" si="520"/>
        <v>0.69209500000000124</v>
      </c>
      <c r="AL555" s="1431">
        <f t="shared" si="510"/>
        <v>107.19424460431657</v>
      </c>
    </row>
    <row r="556" spans="1:38" s="561" customFormat="1" ht="27.75" hidden="1" customHeight="1">
      <c r="A556" s="1499">
        <v>53</v>
      </c>
      <c r="B556" s="1453" t="s">
        <v>2747</v>
      </c>
      <c r="C556" s="1494">
        <f t="shared" ref="C556:AJ556" si="522">SUM(C557:C558)</f>
        <v>1</v>
      </c>
      <c r="D556" s="1494">
        <f t="shared" si="522"/>
        <v>1</v>
      </c>
      <c r="E556" s="1494">
        <f t="shared" si="522"/>
        <v>0</v>
      </c>
      <c r="F556" s="1494">
        <f t="shared" si="522"/>
        <v>0</v>
      </c>
      <c r="G556" s="1674">
        <f t="shared" si="522"/>
        <v>3.2616349999999992</v>
      </c>
      <c r="H556" s="1674">
        <f t="shared" si="522"/>
        <v>2.6409999999999996</v>
      </c>
      <c r="I556" s="1674">
        <f t="shared" si="522"/>
        <v>0</v>
      </c>
      <c r="J556" s="1674">
        <f t="shared" si="522"/>
        <v>0</v>
      </c>
      <c r="K556" s="1674">
        <f t="shared" si="522"/>
        <v>0</v>
      </c>
      <c r="L556" s="1674">
        <f t="shared" si="522"/>
        <v>0</v>
      </c>
      <c r="M556" s="1674">
        <f t="shared" si="522"/>
        <v>0</v>
      </c>
      <c r="N556" s="1674">
        <f t="shared" si="522"/>
        <v>0</v>
      </c>
      <c r="O556" s="1674">
        <f t="shared" si="522"/>
        <v>0</v>
      </c>
      <c r="P556" s="1674">
        <f t="shared" si="522"/>
        <v>0</v>
      </c>
      <c r="Q556" s="1674">
        <f t="shared" si="522"/>
        <v>0</v>
      </c>
      <c r="R556" s="1674">
        <f t="shared" si="522"/>
        <v>0</v>
      </c>
      <c r="S556" s="1674">
        <f t="shared" si="522"/>
        <v>0</v>
      </c>
      <c r="T556" s="1674">
        <f t="shared" si="522"/>
        <v>0.62063499999999983</v>
      </c>
      <c r="U556" s="1674">
        <f t="shared" si="522"/>
        <v>3.4962849999999999</v>
      </c>
      <c r="V556" s="1674">
        <f t="shared" si="522"/>
        <v>2.831</v>
      </c>
      <c r="W556" s="1674">
        <f t="shared" si="522"/>
        <v>0</v>
      </c>
      <c r="X556" s="1674">
        <f t="shared" si="522"/>
        <v>0</v>
      </c>
      <c r="Y556" s="1674">
        <f t="shared" si="522"/>
        <v>0</v>
      </c>
      <c r="Z556" s="1674">
        <f t="shared" si="522"/>
        <v>0</v>
      </c>
      <c r="AA556" s="1674">
        <f t="shared" si="522"/>
        <v>0</v>
      </c>
      <c r="AB556" s="1674">
        <f t="shared" si="522"/>
        <v>0</v>
      </c>
      <c r="AC556" s="1674">
        <f t="shared" si="522"/>
        <v>0</v>
      </c>
      <c r="AD556" s="1674">
        <f t="shared" si="522"/>
        <v>0</v>
      </c>
      <c r="AE556" s="1674">
        <f t="shared" si="522"/>
        <v>0</v>
      </c>
      <c r="AF556" s="1674">
        <f t="shared" si="522"/>
        <v>0</v>
      </c>
      <c r="AG556" s="1674">
        <f t="shared" si="522"/>
        <v>0</v>
      </c>
      <c r="AH556" s="1674">
        <f t="shared" si="522"/>
        <v>0.6652849999999999</v>
      </c>
      <c r="AI556" s="1674">
        <f t="shared" si="522"/>
        <v>0.23465000000000069</v>
      </c>
      <c r="AJ556" s="1674">
        <f t="shared" si="522"/>
        <v>1.4079000000000041</v>
      </c>
      <c r="AK556" s="1448" t="e">
        <f t="shared" si="520"/>
        <v>#DIV/0!</v>
      </c>
      <c r="AL556" s="1431">
        <f t="shared" si="510"/>
        <v>107.19424460431657</v>
      </c>
    </row>
    <row r="557" spans="1:38" s="561" customFormat="1" ht="27.75" hidden="1" customHeight="1">
      <c r="A557" s="1499"/>
      <c r="B557" s="1490" t="s">
        <v>2748</v>
      </c>
      <c r="C557" s="1455">
        <f t="shared" ref="C557:C562" si="523">D557+E557</f>
        <v>0</v>
      </c>
      <c r="D557" s="1455"/>
      <c r="E557" s="1455"/>
      <c r="F557" s="1455"/>
      <c r="G557" s="1614">
        <f t="shared" ref="G557:G562" si="524">H557+I557+T557</f>
        <v>0</v>
      </c>
      <c r="H557" s="1617"/>
      <c r="I557" s="1614">
        <f t="shared" ref="I557:I562" si="525">SUM(J557:S557)</f>
        <v>0</v>
      </c>
      <c r="J557" s="1617"/>
      <c r="K557" s="1617"/>
      <c r="L557" s="1617"/>
      <c r="M557" s="1617"/>
      <c r="N557" s="1617"/>
      <c r="O557" s="1617"/>
      <c r="P557" s="1617"/>
      <c r="Q557" s="1617"/>
      <c r="R557" s="1617"/>
      <c r="S557" s="1617"/>
      <c r="T557" s="1621">
        <f t="shared" ref="T557:T562" si="526">(H557)*23.5%</f>
        <v>0</v>
      </c>
      <c r="U557" s="1614">
        <f t="shared" ref="U557:U562" si="527">V557+W557+AH557</f>
        <v>0</v>
      </c>
      <c r="V557" s="1617"/>
      <c r="W557" s="1614">
        <f t="shared" ref="W557:W562" si="528">SUM(X557:AG557)</f>
        <v>0</v>
      </c>
      <c r="X557" s="1617"/>
      <c r="Y557" s="1617"/>
      <c r="Z557" s="1617"/>
      <c r="AA557" s="1617"/>
      <c r="AB557" s="1617"/>
      <c r="AC557" s="1617"/>
      <c r="AD557" s="1617"/>
      <c r="AE557" s="1617"/>
      <c r="AF557" s="1617"/>
      <c r="AG557" s="1617"/>
      <c r="AH557" s="1621">
        <f t="shared" ref="AH557:AH562" si="529">(V557)*23.5%</f>
        <v>0</v>
      </c>
      <c r="AI557" s="1621">
        <f t="shared" ref="AI557:AI562" si="530">U557-G557</f>
        <v>0</v>
      </c>
      <c r="AJ557" s="1621">
        <f t="shared" ref="AJ557:AJ562" si="531">AI557*6</f>
        <v>0</v>
      </c>
      <c r="AK557" s="1448" t="e">
        <f t="shared" si="520"/>
        <v>#DIV/0!</v>
      </c>
      <c r="AL557" s="1431" t="e">
        <f t="shared" si="510"/>
        <v>#DIV/0!</v>
      </c>
    </row>
    <row r="558" spans="1:38" s="561" customFormat="1" ht="27.75" hidden="1" customHeight="1">
      <c r="A558" s="1499"/>
      <c r="B558" s="1490" t="s">
        <v>2894</v>
      </c>
      <c r="C558" s="1455">
        <f t="shared" si="523"/>
        <v>1</v>
      </c>
      <c r="D558" s="1455">
        <v>1</v>
      </c>
      <c r="E558" s="1455"/>
      <c r="F558" s="1455"/>
      <c r="G558" s="1614">
        <f t="shared" si="524"/>
        <v>3.2616349999999992</v>
      </c>
      <c r="H558" s="1617">
        <f>1.9*1.39</f>
        <v>2.6409999999999996</v>
      </c>
      <c r="I558" s="1614">
        <f t="shared" si="525"/>
        <v>0</v>
      </c>
      <c r="J558" s="1617"/>
      <c r="K558" s="1617"/>
      <c r="L558" s="1617"/>
      <c r="M558" s="1617"/>
      <c r="N558" s="1617"/>
      <c r="O558" s="1617"/>
      <c r="P558" s="1617"/>
      <c r="Q558" s="1617"/>
      <c r="R558" s="1617"/>
      <c r="S558" s="1617"/>
      <c r="T558" s="1621">
        <f t="shared" si="526"/>
        <v>0.62063499999999983</v>
      </c>
      <c r="U558" s="1614">
        <f t="shared" si="527"/>
        <v>3.4962849999999999</v>
      </c>
      <c r="V558" s="1617">
        <f>1.9*1.49</f>
        <v>2.831</v>
      </c>
      <c r="W558" s="1614">
        <f t="shared" si="528"/>
        <v>0</v>
      </c>
      <c r="X558" s="1617"/>
      <c r="Y558" s="1617"/>
      <c r="Z558" s="1617"/>
      <c r="AA558" s="1617"/>
      <c r="AB558" s="1617"/>
      <c r="AC558" s="1617"/>
      <c r="AD558" s="1617"/>
      <c r="AE558" s="1617"/>
      <c r="AF558" s="1617"/>
      <c r="AG558" s="1617"/>
      <c r="AH558" s="1621">
        <f t="shared" si="529"/>
        <v>0.6652849999999999</v>
      </c>
      <c r="AI558" s="1621">
        <f t="shared" si="530"/>
        <v>0.23465000000000069</v>
      </c>
      <c r="AJ558" s="1621">
        <f t="shared" si="531"/>
        <v>1.4079000000000041</v>
      </c>
      <c r="AK558" s="1448" t="e">
        <f t="shared" si="520"/>
        <v>#DIV/0!</v>
      </c>
      <c r="AL558" s="1431">
        <f t="shared" si="510"/>
        <v>107.19424460431657</v>
      </c>
    </row>
    <row r="559" spans="1:38" s="561" customFormat="1" ht="27.75" hidden="1" customHeight="1">
      <c r="A559" s="1499">
        <v>54</v>
      </c>
      <c r="B559" s="764" t="s">
        <v>2750</v>
      </c>
      <c r="C559" s="1455">
        <f t="shared" si="523"/>
        <v>2</v>
      </c>
      <c r="D559" s="1455"/>
      <c r="E559" s="1455">
        <v>2</v>
      </c>
      <c r="F559" s="1455">
        <v>2</v>
      </c>
      <c r="G559" s="1614">
        <f t="shared" si="524"/>
        <v>15.978605999999999</v>
      </c>
      <c r="H559" s="1617">
        <f>6.44*1.39</f>
        <v>8.9515999999999991</v>
      </c>
      <c r="I559" s="1614">
        <f t="shared" si="525"/>
        <v>4.9233799999999999</v>
      </c>
      <c r="J559" s="1617"/>
      <c r="K559" s="1617"/>
      <c r="L559" s="1617"/>
      <c r="M559" s="1617"/>
      <c r="N559" s="1617"/>
      <c r="O559" s="1617"/>
      <c r="P559" s="1617">
        <f>1.61*1.39</f>
        <v>2.2378999999999998</v>
      </c>
      <c r="Q559" s="1617">
        <f>1.932*1.39</f>
        <v>2.6854799999999996</v>
      </c>
      <c r="R559" s="1617"/>
      <c r="S559" s="1617"/>
      <c r="T559" s="1621">
        <f t="shared" si="526"/>
        <v>2.1036259999999998</v>
      </c>
      <c r="U559" s="1614">
        <f t="shared" si="527"/>
        <v>17.128146000000001</v>
      </c>
      <c r="V559" s="1617">
        <f>6.44*1.49</f>
        <v>9.595600000000001</v>
      </c>
      <c r="W559" s="1614">
        <f t="shared" si="528"/>
        <v>5.2775800000000004</v>
      </c>
      <c r="X559" s="1617"/>
      <c r="Y559" s="1617"/>
      <c r="Z559" s="1617"/>
      <c r="AA559" s="1617"/>
      <c r="AB559" s="1617"/>
      <c r="AC559" s="1617"/>
      <c r="AD559" s="1617">
        <f>1.61*1.49</f>
        <v>2.3989000000000003</v>
      </c>
      <c r="AE559" s="1617">
        <f>1.932*1.49</f>
        <v>2.8786799999999997</v>
      </c>
      <c r="AF559" s="1617"/>
      <c r="AG559" s="1617"/>
      <c r="AH559" s="1621">
        <f t="shared" si="529"/>
        <v>2.254966</v>
      </c>
      <c r="AI559" s="1621">
        <f t="shared" si="530"/>
        <v>1.1495400000000018</v>
      </c>
      <c r="AJ559" s="1621">
        <f t="shared" si="531"/>
        <v>6.8972400000000107</v>
      </c>
      <c r="AK559" s="1448">
        <f t="shared" si="520"/>
        <v>0.57477000000000089</v>
      </c>
      <c r="AL559" s="1431">
        <f t="shared" si="510"/>
        <v>107.19424460431657</v>
      </c>
    </row>
    <row r="560" spans="1:38" s="561" customFormat="1" ht="27.75" hidden="1" customHeight="1">
      <c r="A560" s="1499">
        <v>55</v>
      </c>
      <c r="B560" s="764" t="s">
        <v>2751</v>
      </c>
      <c r="C560" s="1455">
        <f t="shared" si="523"/>
        <v>0</v>
      </c>
      <c r="D560" s="1455"/>
      <c r="E560" s="1455"/>
      <c r="F560" s="1455"/>
      <c r="G560" s="1614">
        <f t="shared" si="524"/>
        <v>0</v>
      </c>
      <c r="H560" s="1617"/>
      <c r="I560" s="1614">
        <f t="shared" si="525"/>
        <v>0</v>
      </c>
      <c r="J560" s="1617"/>
      <c r="K560" s="1617"/>
      <c r="L560" s="1617"/>
      <c r="M560" s="1617"/>
      <c r="N560" s="1617"/>
      <c r="O560" s="1617"/>
      <c r="P560" s="1617"/>
      <c r="Q560" s="1617"/>
      <c r="R560" s="1617"/>
      <c r="S560" s="1617"/>
      <c r="T560" s="1621">
        <f t="shared" si="526"/>
        <v>0</v>
      </c>
      <c r="U560" s="1614">
        <f t="shared" si="527"/>
        <v>0</v>
      </c>
      <c r="V560" s="1617"/>
      <c r="W560" s="1614">
        <f t="shared" si="528"/>
        <v>0</v>
      </c>
      <c r="X560" s="1617"/>
      <c r="Y560" s="1617"/>
      <c r="Z560" s="1617"/>
      <c r="AA560" s="1617"/>
      <c r="AB560" s="1617"/>
      <c r="AC560" s="1617"/>
      <c r="AD560" s="1617"/>
      <c r="AE560" s="1617"/>
      <c r="AF560" s="1617"/>
      <c r="AG560" s="1617"/>
      <c r="AH560" s="1621">
        <f t="shared" si="529"/>
        <v>0</v>
      </c>
      <c r="AI560" s="1621">
        <f t="shared" si="530"/>
        <v>0</v>
      </c>
      <c r="AJ560" s="1621">
        <f t="shared" si="531"/>
        <v>0</v>
      </c>
      <c r="AK560" s="1448" t="e">
        <f t="shared" si="520"/>
        <v>#DIV/0!</v>
      </c>
      <c r="AL560" s="1431" t="e">
        <f t="shared" si="510"/>
        <v>#DIV/0!</v>
      </c>
    </row>
    <row r="561" spans="1:38" s="561" customFormat="1" ht="27.75" hidden="1" customHeight="1">
      <c r="A561" s="1499">
        <v>56</v>
      </c>
      <c r="B561" s="764" t="s">
        <v>2752</v>
      </c>
      <c r="C561" s="1455">
        <f t="shared" si="523"/>
        <v>0</v>
      </c>
      <c r="D561" s="1455"/>
      <c r="E561" s="1455"/>
      <c r="F561" s="1455"/>
      <c r="G561" s="1614">
        <f t="shared" si="524"/>
        <v>0</v>
      </c>
      <c r="H561" s="1617"/>
      <c r="I561" s="1614">
        <f t="shared" si="525"/>
        <v>0</v>
      </c>
      <c r="J561" s="1617"/>
      <c r="K561" s="1617"/>
      <c r="L561" s="1617"/>
      <c r="M561" s="1617"/>
      <c r="N561" s="1617"/>
      <c r="O561" s="1617"/>
      <c r="P561" s="1617"/>
      <c r="Q561" s="1617"/>
      <c r="R561" s="1617"/>
      <c r="S561" s="1617"/>
      <c r="T561" s="1621">
        <f t="shared" si="526"/>
        <v>0</v>
      </c>
      <c r="U561" s="1614">
        <f t="shared" si="527"/>
        <v>0</v>
      </c>
      <c r="V561" s="1617"/>
      <c r="W561" s="1614">
        <f t="shared" si="528"/>
        <v>0</v>
      </c>
      <c r="X561" s="1617"/>
      <c r="Y561" s="1617"/>
      <c r="Z561" s="1617"/>
      <c r="AA561" s="1617"/>
      <c r="AB561" s="1617"/>
      <c r="AC561" s="1617"/>
      <c r="AD561" s="1617"/>
      <c r="AE561" s="1617"/>
      <c r="AF561" s="1617"/>
      <c r="AG561" s="1617"/>
      <c r="AH561" s="1621">
        <f t="shared" si="529"/>
        <v>0</v>
      </c>
      <c r="AI561" s="1621">
        <f t="shared" si="530"/>
        <v>0</v>
      </c>
      <c r="AJ561" s="1621">
        <f t="shared" si="531"/>
        <v>0</v>
      </c>
      <c r="AK561" s="1448" t="e">
        <f t="shared" si="520"/>
        <v>#DIV/0!</v>
      </c>
      <c r="AL561" s="1431" t="e">
        <f t="shared" si="510"/>
        <v>#DIV/0!</v>
      </c>
    </row>
    <row r="562" spans="1:38" s="561" customFormat="1" ht="27.75" hidden="1" customHeight="1">
      <c r="A562" s="1499">
        <v>57</v>
      </c>
      <c r="B562" s="764" t="s">
        <v>2753</v>
      </c>
      <c r="C562" s="1455">
        <f t="shared" si="523"/>
        <v>0</v>
      </c>
      <c r="D562" s="1455"/>
      <c r="E562" s="1455"/>
      <c r="F562" s="1455"/>
      <c r="G562" s="1614">
        <f t="shared" si="524"/>
        <v>0</v>
      </c>
      <c r="H562" s="1617"/>
      <c r="I562" s="1614">
        <f t="shared" si="525"/>
        <v>0</v>
      </c>
      <c r="J562" s="1617"/>
      <c r="K562" s="1617"/>
      <c r="L562" s="1617"/>
      <c r="M562" s="1617"/>
      <c r="N562" s="1617"/>
      <c r="O562" s="1617"/>
      <c r="P562" s="1617"/>
      <c r="Q562" s="1617"/>
      <c r="R562" s="1617"/>
      <c r="S562" s="1617"/>
      <c r="T562" s="1621">
        <f t="shared" si="526"/>
        <v>0</v>
      </c>
      <c r="U562" s="1614">
        <f t="shared" si="527"/>
        <v>0</v>
      </c>
      <c r="V562" s="1617"/>
      <c r="W562" s="1614">
        <f t="shared" si="528"/>
        <v>0</v>
      </c>
      <c r="X562" s="1617"/>
      <c r="Y562" s="1617"/>
      <c r="Z562" s="1617"/>
      <c r="AA562" s="1617"/>
      <c r="AB562" s="1617"/>
      <c r="AC562" s="1617"/>
      <c r="AD562" s="1617"/>
      <c r="AE562" s="1617"/>
      <c r="AF562" s="1617"/>
      <c r="AG562" s="1617"/>
      <c r="AH562" s="1621">
        <f t="shared" si="529"/>
        <v>0</v>
      </c>
      <c r="AI562" s="1621">
        <f t="shared" si="530"/>
        <v>0</v>
      </c>
      <c r="AJ562" s="1621">
        <f t="shared" si="531"/>
        <v>0</v>
      </c>
      <c r="AK562" s="1448" t="e">
        <f t="shared" si="520"/>
        <v>#DIV/0!</v>
      </c>
      <c r="AL562" s="1431" t="e">
        <f t="shared" si="510"/>
        <v>#DIV/0!</v>
      </c>
    </row>
    <row r="563" spans="1:38" s="561" customFormat="1" ht="27.75" hidden="1" customHeight="1">
      <c r="A563" s="1499"/>
      <c r="B563" s="1500" t="s">
        <v>2754</v>
      </c>
      <c r="C563" s="1549">
        <f>SUM(C564:C579)</f>
        <v>7</v>
      </c>
      <c r="D563" s="1549">
        <f t="shared" ref="D563:AJ563" si="532">SUM(D564:D579)</f>
        <v>5</v>
      </c>
      <c r="E563" s="1549">
        <f t="shared" si="532"/>
        <v>2</v>
      </c>
      <c r="F563" s="1549">
        <f t="shared" si="532"/>
        <v>7</v>
      </c>
      <c r="G563" s="1678">
        <f t="shared" si="532"/>
        <v>31.586359999999999</v>
      </c>
      <c r="H563" s="1678">
        <f t="shared" si="532"/>
        <v>25.575999999999997</v>
      </c>
      <c r="I563" s="1678">
        <f t="shared" si="532"/>
        <v>0</v>
      </c>
      <c r="J563" s="1678">
        <f t="shared" si="532"/>
        <v>0</v>
      </c>
      <c r="K563" s="1678">
        <f t="shared" si="532"/>
        <v>0</v>
      </c>
      <c r="L563" s="1678">
        <f t="shared" si="532"/>
        <v>0</v>
      </c>
      <c r="M563" s="1678">
        <f t="shared" si="532"/>
        <v>0</v>
      </c>
      <c r="N563" s="1678">
        <f t="shared" si="532"/>
        <v>0</v>
      </c>
      <c r="O563" s="1678">
        <f t="shared" si="532"/>
        <v>0</v>
      </c>
      <c r="P563" s="1678">
        <f t="shared" si="532"/>
        <v>0</v>
      </c>
      <c r="Q563" s="1678">
        <f t="shared" si="532"/>
        <v>0</v>
      </c>
      <c r="R563" s="1678">
        <f t="shared" si="532"/>
        <v>0</v>
      </c>
      <c r="S563" s="1678">
        <f t="shared" si="532"/>
        <v>0</v>
      </c>
      <c r="T563" s="1678">
        <f t="shared" si="532"/>
        <v>6.0103599999999995</v>
      </c>
      <c r="U563" s="1678">
        <f t="shared" si="532"/>
        <v>33.858759999999997</v>
      </c>
      <c r="V563" s="1678">
        <f t="shared" si="532"/>
        <v>27.415999999999997</v>
      </c>
      <c r="W563" s="1678">
        <f t="shared" si="532"/>
        <v>0</v>
      </c>
      <c r="X563" s="1678">
        <f t="shared" si="532"/>
        <v>0</v>
      </c>
      <c r="Y563" s="1678">
        <f t="shared" si="532"/>
        <v>0</v>
      </c>
      <c r="Z563" s="1678">
        <f t="shared" si="532"/>
        <v>0</v>
      </c>
      <c r="AA563" s="1678">
        <f t="shared" si="532"/>
        <v>0</v>
      </c>
      <c r="AB563" s="1678">
        <f t="shared" si="532"/>
        <v>0</v>
      </c>
      <c r="AC563" s="1678">
        <f t="shared" si="532"/>
        <v>0</v>
      </c>
      <c r="AD563" s="1678">
        <f t="shared" si="532"/>
        <v>0</v>
      </c>
      <c r="AE563" s="1678">
        <f t="shared" si="532"/>
        <v>0</v>
      </c>
      <c r="AF563" s="1678">
        <f t="shared" si="532"/>
        <v>0</v>
      </c>
      <c r="AG563" s="1678">
        <f t="shared" si="532"/>
        <v>0</v>
      </c>
      <c r="AH563" s="1678">
        <f t="shared" si="532"/>
        <v>6.4427599999999989</v>
      </c>
      <c r="AI563" s="1678">
        <f t="shared" si="532"/>
        <v>2.2723999999999998</v>
      </c>
      <c r="AJ563" s="1678">
        <f t="shared" si="532"/>
        <v>13.634399999999998</v>
      </c>
      <c r="AK563" s="1448">
        <f t="shared" si="520"/>
        <v>0.32462857142857138</v>
      </c>
      <c r="AL563" s="1431">
        <f t="shared" si="510"/>
        <v>107.19424460431655</v>
      </c>
    </row>
    <row r="564" spans="1:38" s="561" customFormat="1" ht="27.75" hidden="1" customHeight="1">
      <c r="A564" s="1499">
        <v>58</v>
      </c>
      <c r="B564" s="764" t="s">
        <v>2755</v>
      </c>
      <c r="C564" s="1455">
        <f>D564+E564</f>
        <v>1</v>
      </c>
      <c r="D564" s="1455"/>
      <c r="E564" s="1455">
        <v>1</v>
      </c>
      <c r="F564" s="1455">
        <v>1</v>
      </c>
      <c r="G564" s="1614">
        <f t="shared" ref="G564:G579" si="533">H564+I564+T564</f>
        <v>5.3731144999999998</v>
      </c>
      <c r="H564" s="1630">
        <f>3.13*1.39</f>
        <v>4.3506999999999998</v>
      </c>
      <c r="I564" s="1614">
        <f t="shared" ref="I564:I579" si="534">SUM(J564:S564)</f>
        <v>0</v>
      </c>
      <c r="J564" s="1617"/>
      <c r="K564" s="1617"/>
      <c r="L564" s="1617"/>
      <c r="M564" s="1617"/>
      <c r="N564" s="1617"/>
      <c r="O564" s="1617"/>
      <c r="P564" s="1617"/>
      <c r="Q564" s="1617"/>
      <c r="R564" s="1617"/>
      <c r="S564" s="1617"/>
      <c r="T564" s="1621">
        <f>(H564+K564+L564)*23.5%</f>
        <v>1.0224144999999998</v>
      </c>
      <c r="U564" s="1614">
        <f t="shared" ref="U564:U579" si="535">V564+W564+AH564</f>
        <v>5.7596694999999993</v>
      </c>
      <c r="V564" s="1630">
        <f>3.13*1.49</f>
        <v>4.6636999999999995</v>
      </c>
      <c r="W564" s="1614">
        <f t="shared" ref="W564:W579" si="536">SUM(X564:AG564)</f>
        <v>0</v>
      </c>
      <c r="X564" s="1617"/>
      <c r="Y564" s="1617"/>
      <c r="Z564" s="1617"/>
      <c r="AA564" s="1617"/>
      <c r="AB564" s="1617"/>
      <c r="AC564" s="1617"/>
      <c r="AD564" s="1617"/>
      <c r="AE564" s="1617"/>
      <c r="AF564" s="1617"/>
      <c r="AG564" s="1617"/>
      <c r="AH564" s="1621">
        <f>(V564+Y564+Z564)*23.5%</f>
        <v>1.0959694999999998</v>
      </c>
      <c r="AI564" s="1621">
        <f t="shared" ref="AI564:AI579" si="537">U564-G564</f>
        <v>0.38655499999999954</v>
      </c>
      <c r="AJ564" s="1621">
        <f t="shared" ref="AJ564:AJ579" si="538">AI564*6</f>
        <v>2.3193299999999972</v>
      </c>
      <c r="AK564" s="1448">
        <f t="shared" si="520"/>
        <v>0.38655499999999954</v>
      </c>
      <c r="AL564" s="1431">
        <f t="shared" si="510"/>
        <v>107.19424460431655</v>
      </c>
    </row>
    <row r="565" spans="1:38" s="561" customFormat="1" ht="39.75" hidden="1" customHeight="1">
      <c r="A565" s="1499">
        <v>59</v>
      </c>
      <c r="B565" s="764" t="s">
        <v>2756</v>
      </c>
      <c r="C565" s="1455">
        <f t="shared" ref="C565:C579" si="539">D565+E565</f>
        <v>0</v>
      </c>
      <c r="D565" s="1455"/>
      <c r="E565" s="1455"/>
      <c r="F565" s="1455"/>
      <c r="G565" s="1614">
        <f t="shared" si="533"/>
        <v>0</v>
      </c>
      <c r="H565" s="1617"/>
      <c r="I565" s="1614">
        <f t="shared" si="534"/>
        <v>0</v>
      </c>
      <c r="J565" s="1617"/>
      <c r="K565" s="1617"/>
      <c r="L565" s="1617"/>
      <c r="M565" s="1617"/>
      <c r="N565" s="1617"/>
      <c r="O565" s="1617"/>
      <c r="P565" s="1617"/>
      <c r="Q565" s="1617"/>
      <c r="R565" s="1617"/>
      <c r="S565" s="1617"/>
      <c r="T565" s="1621"/>
      <c r="U565" s="1614">
        <f t="shared" si="535"/>
        <v>0</v>
      </c>
      <c r="V565" s="1617"/>
      <c r="W565" s="1614">
        <f t="shared" si="536"/>
        <v>0</v>
      </c>
      <c r="X565" s="1617"/>
      <c r="Y565" s="1617"/>
      <c r="Z565" s="1617"/>
      <c r="AA565" s="1617"/>
      <c r="AB565" s="1617"/>
      <c r="AC565" s="1617"/>
      <c r="AD565" s="1617"/>
      <c r="AE565" s="1617"/>
      <c r="AF565" s="1617"/>
      <c r="AG565" s="1617"/>
      <c r="AH565" s="1621"/>
      <c r="AI565" s="1621">
        <f t="shared" si="537"/>
        <v>0</v>
      </c>
      <c r="AJ565" s="1621">
        <f t="shared" si="538"/>
        <v>0</v>
      </c>
      <c r="AK565" s="1448" t="e">
        <f t="shared" si="520"/>
        <v>#DIV/0!</v>
      </c>
      <c r="AL565" s="1431" t="e">
        <f t="shared" si="510"/>
        <v>#DIV/0!</v>
      </c>
    </row>
    <row r="566" spans="1:38" s="561" customFormat="1" ht="39.75" hidden="1" customHeight="1">
      <c r="A566" s="1499">
        <v>60</v>
      </c>
      <c r="B566" s="764" t="s">
        <v>2757</v>
      </c>
      <c r="C566" s="1455">
        <f t="shared" si="539"/>
        <v>0</v>
      </c>
      <c r="D566" s="1455"/>
      <c r="E566" s="1455"/>
      <c r="F566" s="1455"/>
      <c r="G566" s="1614">
        <f t="shared" si="533"/>
        <v>0</v>
      </c>
      <c r="H566" s="1617"/>
      <c r="I566" s="1614">
        <f t="shared" si="534"/>
        <v>0</v>
      </c>
      <c r="J566" s="1617"/>
      <c r="K566" s="1617"/>
      <c r="L566" s="1617"/>
      <c r="M566" s="1617"/>
      <c r="N566" s="1617"/>
      <c r="O566" s="1617"/>
      <c r="P566" s="1617"/>
      <c r="Q566" s="1617"/>
      <c r="R566" s="1617"/>
      <c r="S566" s="1617"/>
      <c r="T566" s="1621"/>
      <c r="U566" s="1614">
        <f t="shared" si="535"/>
        <v>0</v>
      </c>
      <c r="V566" s="1617"/>
      <c r="W566" s="1614">
        <f t="shared" si="536"/>
        <v>0</v>
      </c>
      <c r="X566" s="1617"/>
      <c r="Y566" s="1617"/>
      <c r="Z566" s="1617"/>
      <c r="AA566" s="1617"/>
      <c r="AB566" s="1617"/>
      <c r="AC566" s="1617"/>
      <c r="AD566" s="1617"/>
      <c r="AE566" s="1617"/>
      <c r="AF566" s="1617"/>
      <c r="AG566" s="1617"/>
      <c r="AH566" s="1621"/>
      <c r="AI566" s="1621">
        <f t="shared" si="537"/>
        <v>0</v>
      </c>
      <c r="AJ566" s="1621">
        <f t="shared" si="538"/>
        <v>0</v>
      </c>
      <c r="AK566" s="1448" t="e">
        <f t="shared" si="520"/>
        <v>#DIV/0!</v>
      </c>
      <c r="AL566" s="1431" t="e">
        <f t="shared" si="510"/>
        <v>#DIV/0!</v>
      </c>
    </row>
    <row r="567" spans="1:38" s="561" customFormat="1" ht="39.75" hidden="1" customHeight="1">
      <c r="A567" s="1499">
        <v>61</v>
      </c>
      <c r="B567" s="764" t="s">
        <v>2758</v>
      </c>
      <c r="C567" s="1455">
        <f t="shared" si="539"/>
        <v>0</v>
      </c>
      <c r="D567" s="1455"/>
      <c r="E567" s="1455"/>
      <c r="F567" s="1455"/>
      <c r="G567" s="1614">
        <f t="shared" si="533"/>
        <v>0</v>
      </c>
      <c r="H567" s="1617"/>
      <c r="I567" s="1614">
        <f t="shared" si="534"/>
        <v>0</v>
      </c>
      <c r="J567" s="1617"/>
      <c r="K567" s="1617"/>
      <c r="L567" s="1617"/>
      <c r="M567" s="1617"/>
      <c r="N567" s="1617"/>
      <c r="O567" s="1617"/>
      <c r="P567" s="1617"/>
      <c r="Q567" s="1617"/>
      <c r="R567" s="1617"/>
      <c r="S567" s="1617"/>
      <c r="T567" s="1621"/>
      <c r="U567" s="1614">
        <f t="shared" si="535"/>
        <v>0</v>
      </c>
      <c r="V567" s="1617"/>
      <c r="W567" s="1614">
        <f t="shared" si="536"/>
        <v>0</v>
      </c>
      <c r="X567" s="1617"/>
      <c r="Y567" s="1617"/>
      <c r="Z567" s="1617"/>
      <c r="AA567" s="1617"/>
      <c r="AB567" s="1617"/>
      <c r="AC567" s="1617"/>
      <c r="AD567" s="1617"/>
      <c r="AE567" s="1617"/>
      <c r="AF567" s="1617"/>
      <c r="AG567" s="1617"/>
      <c r="AH567" s="1621"/>
      <c r="AI567" s="1621">
        <f t="shared" si="537"/>
        <v>0</v>
      </c>
      <c r="AJ567" s="1621">
        <f t="shared" si="538"/>
        <v>0</v>
      </c>
      <c r="AK567" s="1448" t="e">
        <f t="shared" si="520"/>
        <v>#DIV/0!</v>
      </c>
      <c r="AL567" s="1431" t="e">
        <f t="shared" si="510"/>
        <v>#DIV/0!</v>
      </c>
    </row>
    <row r="568" spans="1:38" s="561" customFormat="1" ht="39.75" hidden="1" customHeight="1">
      <c r="A568" s="1499">
        <v>62</v>
      </c>
      <c r="B568" s="764" t="s">
        <v>2905</v>
      </c>
      <c r="C568" s="1455">
        <f t="shared" si="539"/>
        <v>0</v>
      </c>
      <c r="D568" s="1455"/>
      <c r="E568" s="1455"/>
      <c r="F568" s="1455"/>
      <c r="G568" s="1614">
        <f t="shared" si="533"/>
        <v>0</v>
      </c>
      <c r="H568" s="1617"/>
      <c r="I568" s="1614">
        <f t="shared" si="534"/>
        <v>0</v>
      </c>
      <c r="J568" s="1617"/>
      <c r="K568" s="1617"/>
      <c r="L568" s="1617"/>
      <c r="M568" s="1617"/>
      <c r="N568" s="1617"/>
      <c r="O568" s="1617"/>
      <c r="P568" s="1617"/>
      <c r="Q568" s="1617"/>
      <c r="R568" s="1617"/>
      <c r="S568" s="1617"/>
      <c r="T568" s="1621"/>
      <c r="U568" s="1614">
        <f t="shared" si="535"/>
        <v>0</v>
      </c>
      <c r="V568" s="1617"/>
      <c r="W568" s="1614">
        <f t="shared" si="536"/>
        <v>0</v>
      </c>
      <c r="X568" s="1617"/>
      <c r="Y568" s="1617"/>
      <c r="Z568" s="1617"/>
      <c r="AA568" s="1617"/>
      <c r="AB568" s="1617"/>
      <c r="AC568" s="1617"/>
      <c r="AD568" s="1617"/>
      <c r="AE568" s="1617"/>
      <c r="AF568" s="1617"/>
      <c r="AG568" s="1617"/>
      <c r="AH568" s="1621"/>
      <c r="AI568" s="1621">
        <f t="shared" si="537"/>
        <v>0</v>
      </c>
      <c r="AJ568" s="1621">
        <f t="shared" si="538"/>
        <v>0</v>
      </c>
      <c r="AK568" s="1448" t="e">
        <f t="shared" si="520"/>
        <v>#DIV/0!</v>
      </c>
      <c r="AL568" s="1431" t="e">
        <f t="shared" si="510"/>
        <v>#DIV/0!</v>
      </c>
    </row>
    <row r="569" spans="1:38" s="561" customFormat="1" ht="39.75" hidden="1" customHeight="1">
      <c r="A569" s="1499">
        <v>63</v>
      </c>
      <c r="B569" s="764" t="s">
        <v>2760</v>
      </c>
      <c r="C569" s="1455">
        <f t="shared" si="539"/>
        <v>0</v>
      </c>
      <c r="D569" s="1455"/>
      <c r="E569" s="1455"/>
      <c r="F569" s="1455"/>
      <c r="G569" s="1614">
        <f t="shared" si="533"/>
        <v>0</v>
      </c>
      <c r="H569" s="1617"/>
      <c r="I569" s="1614">
        <f t="shared" si="534"/>
        <v>0</v>
      </c>
      <c r="J569" s="1617"/>
      <c r="K569" s="1617"/>
      <c r="L569" s="1617"/>
      <c r="M569" s="1617"/>
      <c r="N569" s="1617"/>
      <c r="O569" s="1617"/>
      <c r="P569" s="1617"/>
      <c r="Q569" s="1617"/>
      <c r="R569" s="1617"/>
      <c r="S569" s="1617"/>
      <c r="T569" s="1621"/>
      <c r="U569" s="1614">
        <f t="shared" si="535"/>
        <v>0</v>
      </c>
      <c r="V569" s="1617"/>
      <c r="W569" s="1614">
        <f t="shared" si="536"/>
        <v>0</v>
      </c>
      <c r="X569" s="1617"/>
      <c r="Y569" s="1617"/>
      <c r="Z569" s="1617"/>
      <c r="AA569" s="1617"/>
      <c r="AB569" s="1617"/>
      <c r="AC569" s="1617"/>
      <c r="AD569" s="1617"/>
      <c r="AE569" s="1617"/>
      <c r="AF569" s="1617"/>
      <c r="AG569" s="1617"/>
      <c r="AH569" s="1621"/>
      <c r="AI569" s="1621">
        <f t="shared" si="537"/>
        <v>0</v>
      </c>
      <c r="AJ569" s="1621">
        <f t="shared" si="538"/>
        <v>0</v>
      </c>
      <c r="AK569" s="1448" t="e">
        <f t="shared" si="520"/>
        <v>#DIV/0!</v>
      </c>
      <c r="AL569" s="1431" t="e">
        <f t="shared" si="510"/>
        <v>#DIV/0!</v>
      </c>
    </row>
    <row r="570" spans="1:38" s="561" customFormat="1" ht="39.75" hidden="1" customHeight="1">
      <c r="A570" s="1499">
        <v>64</v>
      </c>
      <c r="B570" s="764" t="s">
        <v>2761</v>
      </c>
      <c r="C570" s="1455">
        <f t="shared" si="539"/>
        <v>0</v>
      </c>
      <c r="D570" s="1455"/>
      <c r="E570" s="1455"/>
      <c r="F570" s="1455"/>
      <c r="G570" s="1614">
        <f t="shared" si="533"/>
        <v>0</v>
      </c>
      <c r="H570" s="1617"/>
      <c r="I570" s="1614">
        <f t="shared" si="534"/>
        <v>0</v>
      </c>
      <c r="J570" s="1617"/>
      <c r="K570" s="1617"/>
      <c r="L570" s="1617"/>
      <c r="M570" s="1617"/>
      <c r="N570" s="1617"/>
      <c r="O570" s="1617"/>
      <c r="P570" s="1617"/>
      <c r="Q570" s="1617"/>
      <c r="R570" s="1617"/>
      <c r="S570" s="1617"/>
      <c r="T570" s="1621"/>
      <c r="U570" s="1614">
        <f t="shared" si="535"/>
        <v>0</v>
      </c>
      <c r="V570" s="1617"/>
      <c r="W570" s="1614">
        <f t="shared" si="536"/>
        <v>0</v>
      </c>
      <c r="X570" s="1617"/>
      <c r="Y570" s="1617"/>
      <c r="Z570" s="1617"/>
      <c r="AA570" s="1617"/>
      <c r="AB570" s="1617"/>
      <c r="AC570" s="1617"/>
      <c r="AD570" s="1617"/>
      <c r="AE570" s="1617"/>
      <c r="AF570" s="1617"/>
      <c r="AG570" s="1617"/>
      <c r="AH570" s="1621"/>
      <c r="AI570" s="1621">
        <f t="shared" si="537"/>
        <v>0</v>
      </c>
      <c r="AJ570" s="1621">
        <f t="shared" si="538"/>
        <v>0</v>
      </c>
      <c r="AK570" s="1448" t="e">
        <f t="shared" si="520"/>
        <v>#DIV/0!</v>
      </c>
      <c r="AL570" s="1431" t="e">
        <f t="shared" si="510"/>
        <v>#DIV/0!</v>
      </c>
    </row>
    <row r="571" spans="1:38" s="561" customFormat="1" ht="39.75" hidden="1" customHeight="1">
      <c r="A571" s="1499">
        <v>65</v>
      </c>
      <c r="B571" s="764" t="s">
        <v>2762</v>
      </c>
      <c r="C571" s="1455">
        <f t="shared" si="539"/>
        <v>0</v>
      </c>
      <c r="D571" s="1455"/>
      <c r="E571" s="1455"/>
      <c r="F571" s="1455"/>
      <c r="G571" s="1614">
        <f t="shared" si="533"/>
        <v>0</v>
      </c>
      <c r="H571" s="1617"/>
      <c r="I571" s="1614">
        <f t="shared" si="534"/>
        <v>0</v>
      </c>
      <c r="J571" s="1617"/>
      <c r="K571" s="1617"/>
      <c r="L571" s="1617"/>
      <c r="M571" s="1617"/>
      <c r="N571" s="1617"/>
      <c r="O571" s="1617"/>
      <c r="P571" s="1617"/>
      <c r="Q571" s="1617"/>
      <c r="R571" s="1617"/>
      <c r="S571" s="1617"/>
      <c r="T571" s="1621"/>
      <c r="U571" s="1614">
        <f t="shared" si="535"/>
        <v>0</v>
      </c>
      <c r="V571" s="1617"/>
      <c r="W571" s="1614">
        <f t="shared" si="536"/>
        <v>0</v>
      </c>
      <c r="X571" s="1617"/>
      <c r="Y571" s="1617"/>
      <c r="Z571" s="1617"/>
      <c r="AA571" s="1617"/>
      <c r="AB571" s="1617"/>
      <c r="AC571" s="1617"/>
      <c r="AD571" s="1617"/>
      <c r="AE571" s="1617"/>
      <c r="AF571" s="1617"/>
      <c r="AG571" s="1617"/>
      <c r="AH571" s="1621"/>
      <c r="AI571" s="1621">
        <f t="shared" si="537"/>
        <v>0</v>
      </c>
      <c r="AJ571" s="1621">
        <f t="shared" si="538"/>
        <v>0</v>
      </c>
      <c r="AK571" s="1448" t="e">
        <f t="shared" si="520"/>
        <v>#DIV/0!</v>
      </c>
      <c r="AL571" s="1431" t="e">
        <f t="shared" si="510"/>
        <v>#DIV/0!</v>
      </c>
    </row>
    <row r="572" spans="1:38" s="561" customFormat="1" ht="34.5" hidden="1" customHeight="1">
      <c r="A572" s="1499">
        <v>66</v>
      </c>
      <c r="B572" s="764" t="s">
        <v>2763</v>
      </c>
      <c r="C572" s="1476">
        <f t="shared" si="539"/>
        <v>1</v>
      </c>
      <c r="D572" s="1476"/>
      <c r="E572" s="1476">
        <v>1</v>
      </c>
      <c r="F572" s="1476">
        <v>1</v>
      </c>
      <c r="G572" s="1637">
        <f t="shared" si="533"/>
        <v>2.3346439999999999</v>
      </c>
      <c r="H572" s="1638">
        <f>1.36*1.39</f>
        <v>1.8904000000000001</v>
      </c>
      <c r="I572" s="1637">
        <f t="shared" si="534"/>
        <v>0</v>
      </c>
      <c r="J572" s="1638"/>
      <c r="K572" s="1638"/>
      <c r="L572" s="1638"/>
      <c r="M572" s="1638"/>
      <c r="N572" s="1638"/>
      <c r="O572" s="1638"/>
      <c r="P572" s="1638"/>
      <c r="Q572" s="1638"/>
      <c r="R572" s="1638"/>
      <c r="S572" s="1638"/>
      <c r="T572" s="1639">
        <f>(H572)*23.5%</f>
        <v>0.44424399999999997</v>
      </c>
      <c r="U572" s="1637">
        <f t="shared" si="535"/>
        <v>2.5026040000000003</v>
      </c>
      <c r="V572" s="1638">
        <f>1.36*1.49</f>
        <v>2.0264000000000002</v>
      </c>
      <c r="W572" s="1637">
        <f t="shared" si="536"/>
        <v>0</v>
      </c>
      <c r="X572" s="1638"/>
      <c r="Y572" s="1638"/>
      <c r="Z572" s="1638"/>
      <c r="AA572" s="1638"/>
      <c r="AB572" s="1638"/>
      <c r="AC572" s="1638"/>
      <c r="AD572" s="1638"/>
      <c r="AE572" s="1638"/>
      <c r="AF572" s="1638"/>
      <c r="AG572" s="1638"/>
      <c r="AH572" s="1639">
        <f>(V572)*23.5%</f>
        <v>0.47620400000000002</v>
      </c>
      <c r="AI572" s="1621">
        <f t="shared" si="537"/>
        <v>0.16796000000000033</v>
      </c>
      <c r="AJ572" s="1621">
        <f t="shared" si="538"/>
        <v>1.007760000000002</v>
      </c>
      <c r="AK572" s="1448">
        <f t="shared" si="520"/>
        <v>0.16796000000000033</v>
      </c>
      <c r="AL572" s="1431">
        <f t="shared" si="510"/>
        <v>107.19424460431657</v>
      </c>
    </row>
    <row r="573" spans="1:38" s="561" customFormat="1" ht="46.5" hidden="1" customHeight="1">
      <c r="A573" s="1499">
        <v>67</v>
      </c>
      <c r="B573" s="764" t="s">
        <v>2764</v>
      </c>
      <c r="C573" s="1455">
        <f t="shared" si="539"/>
        <v>0</v>
      </c>
      <c r="D573" s="1455"/>
      <c r="E573" s="1455"/>
      <c r="F573" s="1455"/>
      <c r="G573" s="1614">
        <f t="shared" si="533"/>
        <v>0</v>
      </c>
      <c r="H573" s="1617"/>
      <c r="I573" s="1614">
        <f t="shared" si="534"/>
        <v>0</v>
      </c>
      <c r="J573" s="1617"/>
      <c r="K573" s="1617"/>
      <c r="L573" s="1617"/>
      <c r="M573" s="1617"/>
      <c r="N573" s="1617"/>
      <c r="O573" s="1617"/>
      <c r="P573" s="1617"/>
      <c r="Q573" s="1617"/>
      <c r="R573" s="1617"/>
      <c r="S573" s="1617"/>
      <c r="T573" s="1621"/>
      <c r="U573" s="1614">
        <f t="shared" si="535"/>
        <v>0</v>
      </c>
      <c r="V573" s="1617"/>
      <c r="W573" s="1614">
        <f t="shared" si="536"/>
        <v>0</v>
      </c>
      <c r="X573" s="1617"/>
      <c r="Y573" s="1617"/>
      <c r="Z573" s="1617"/>
      <c r="AA573" s="1617"/>
      <c r="AB573" s="1617"/>
      <c r="AC573" s="1617"/>
      <c r="AD573" s="1617"/>
      <c r="AE573" s="1617"/>
      <c r="AF573" s="1617"/>
      <c r="AG573" s="1617"/>
      <c r="AH573" s="1621"/>
      <c r="AI573" s="1621">
        <f t="shared" si="537"/>
        <v>0</v>
      </c>
      <c r="AJ573" s="1621">
        <f t="shared" si="538"/>
        <v>0</v>
      </c>
      <c r="AK573" s="1448" t="e">
        <f t="shared" si="520"/>
        <v>#DIV/0!</v>
      </c>
      <c r="AL573" s="1431" t="e">
        <f t="shared" si="510"/>
        <v>#DIV/0!</v>
      </c>
    </row>
    <row r="574" spans="1:38" s="561" customFormat="1" ht="48" hidden="1" customHeight="1">
      <c r="A574" s="1499">
        <v>68</v>
      </c>
      <c r="B574" s="764" t="s">
        <v>2765</v>
      </c>
      <c r="C574" s="1455">
        <f t="shared" si="539"/>
        <v>0</v>
      </c>
      <c r="D574" s="1455"/>
      <c r="E574" s="1455"/>
      <c r="F574" s="1455"/>
      <c r="G574" s="1614">
        <f t="shared" si="533"/>
        <v>0</v>
      </c>
      <c r="H574" s="1617"/>
      <c r="I574" s="1614">
        <f t="shared" si="534"/>
        <v>0</v>
      </c>
      <c r="J574" s="1617"/>
      <c r="K574" s="1617"/>
      <c r="L574" s="1617"/>
      <c r="M574" s="1617"/>
      <c r="N574" s="1617"/>
      <c r="O574" s="1617"/>
      <c r="P574" s="1617"/>
      <c r="Q574" s="1617"/>
      <c r="R574" s="1617"/>
      <c r="S574" s="1617"/>
      <c r="T574" s="1621"/>
      <c r="U574" s="1614">
        <f t="shared" si="535"/>
        <v>0</v>
      </c>
      <c r="V574" s="1617"/>
      <c r="W574" s="1614">
        <f t="shared" si="536"/>
        <v>0</v>
      </c>
      <c r="X574" s="1617"/>
      <c r="Y574" s="1617"/>
      <c r="Z574" s="1617"/>
      <c r="AA574" s="1617"/>
      <c r="AB574" s="1617"/>
      <c r="AC574" s="1617"/>
      <c r="AD574" s="1617"/>
      <c r="AE574" s="1617"/>
      <c r="AF574" s="1617"/>
      <c r="AG574" s="1617"/>
      <c r="AH574" s="1621"/>
      <c r="AI574" s="1621">
        <f t="shared" si="537"/>
        <v>0</v>
      </c>
      <c r="AJ574" s="1621">
        <f t="shared" si="538"/>
        <v>0</v>
      </c>
      <c r="AK574" s="1448" t="e">
        <f t="shared" si="520"/>
        <v>#DIV/0!</v>
      </c>
      <c r="AL574" s="1431" t="e">
        <f t="shared" si="510"/>
        <v>#DIV/0!</v>
      </c>
    </row>
    <row r="575" spans="1:38" s="561" customFormat="1" ht="27.75" hidden="1" customHeight="1">
      <c r="A575" s="1499">
        <v>69</v>
      </c>
      <c r="B575" s="764" t="s">
        <v>2766</v>
      </c>
      <c r="C575" s="1455">
        <f t="shared" si="539"/>
        <v>2</v>
      </c>
      <c r="D575" s="1455">
        <v>2</v>
      </c>
      <c r="E575" s="1455"/>
      <c r="F575" s="1455">
        <v>2</v>
      </c>
      <c r="G575" s="1614">
        <f t="shared" si="533"/>
        <v>7.7077584999999988</v>
      </c>
      <c r="H575" s="1617">
        <f>4.49*1.39</f>
        <v>6.2410999999999994</v>
      </c>
      <c r="I575" s="1614">
        <f t="shared" si="534"/>
        <v>0</v>
      </c>
      <c r="J575" s="1617"/>
      <c r="K575" s="1617"/>
      <c r="L575" s="1617"/>
      <c r="M575" s="1617"/>
      <c r="N575" s="1617"/>
      <c r="O575" s="1617"/>
      <c r="P575" s="1617"/>
      <c r="Q575" s="1617"/>
      <c r="R575" s="1617"/>
      <c r="S575" s="1617"/>
      <c r="T575" s="1621">
        <f>(H575+K575+L575)*23.5%</f>
        <v>1.4666584999999999</v>
      </c>
      <c r="U575" s="1614">
        <f t="shared" si="535"/>
        <v>8.2622734999999992</v>
      </c>
      <c r="V575" s="1617">
        <f>4.49*1.49</f>
        <v>6.6901000000000002</v>
      </c>
      <c r="W575" s="1614">
        <f t="shared" si="536"/>
        <v>0</v>
      </c>
      <c r="X575" s="1617"/>
      <c r="Y575" s="1617"/>
      <c r="Z575" s="1617"/>
      <c r="AA575" s="1617"/>
      <c r="AB575" s="1617"/>
      <c r="AC575" s="1617"/>
      <c r="AD575" s="1617"/>
      <c r="AE575" s="1617"/>
      <c r="AF575" s="1617"/>
      <c r="AG575" s="1617"/>
      <c r="AH575" s="1621">
        <f>(V575+Y575+Z575)*23.5%</f>
        <v>1.5721734999999999</v>
      </c>
      <c r="AI575" s="1621">
        <f t="shared" si="537"/>
        <v>0.55451500000000031</v>
      </c>
      <c r="AJ575" s="1621">
        <f t="shared" si="538"/>
        <v>3.3270900000000019</v>
      </c>
      <c r="AK575" s="1448">
        <f t="shared" si="520"/>
        <v>0.27725750000000016</v>
      </c>
      <c r="AL575" s="1431">
        <f t="shared" si="510"/>
        <v>107.19424460431655</v>
      </c>
    </row>
    <row r="576" spans="1:38" s="561" customFormat="1" ht="27.75" hidden="1" customHeight="1">
      <c r="A576" s="1499">
        <v>70</v>
      </c>
      <c r="B576" s="764" t="s">
        <v>2767</v>
      </c>
      <c r="C576" s="1455">
        <f t="shared" si="539"/>
        <v>2</v>
      </c>
      <c r="D576" s="1455">
        <v>2</v>
      </c>
      <c r="E576" s="1455"/>
      <c r="F576" s="1455">
        <v>2</v>
      </c>
      <c r="G576" s="1614">
        <f t="shared" si="533"/>
        <v>11.1067255</v>
      </c>
      <c r="H576" s="1617">
        <f>6.47*1.39</f>
        <v>8.9932999999999996</v>
      </c>
      <c r="I576" s="1614">
        <f t="shared" si="534"/>
        <v>0</v>
      </c>
      <c r="J576" s="1617"/>
      <c r="K576" s="1617"/>
      <c r="L576" s="1617"/>
      <c r="M576" s="1617"/>
      <c r="N576" s="1617"/>
      <c r="O576" s="1617"/>
      <c r="P576" s="1617"/>
      <c r="Q576" s="1617"/>
      <c r="R576" s="1617"/>
      <c r="S576" s="1617"/>
      <c r="T576" s="1621">
        <f>(H576+K576+L576)*23.5%</f>
        <v>2.1134255</v>
      </c>
      <c r="U576" s="1614">
        <f t="shared" si="535"/>
        <v>11.905770499999999</v>
      </c>
      <c r="V576" s="1617">
        <f>6.47*1.49</f>
        <v>9.6402999999999999</v>
      </c>
      <c r="W576" s="1614">
        <f t="shared" si="536"/>
        <v>0</v>
      </c>
      <c r="X576" s="1617"/>
      <c r="Y576" s="1617"/>
      <c r="Z576" s="1617"/>
      <c r="AA576" s="1617"/>
      <c r="AB576" s="1617"/>
      <c r="AC576" s="1617"/>
      <c r="AD576" s="1617"/>
      <c r="AE576" s="1617"/>
      <c r="AF576" s="1617"/>
      <c r="AG576" s="1617"/>
      <c r="AH576" s="1621">
        <f>(V576+Y576+Z576)*23.5%</f>
        <v>2.2654704999999997</v>
      </c>
      <c r="AI576" s="1621">
        <f t="shared" si="537"/>
        <v>0.79904499999999956</v>
      </c>
      <c r="AJ576" s="1621">
        <f t="shared" si="538"/>
        <v>4.7942699999999974</v>
      </c>
      <c r="AK576" s="1448">
        <f t="shared" si="520"/>
        <v>0.39952249999999978</v>
      </c>
      <c r="AL576" s="1431">
        <f t="shared" si="510"/>
        <v>107.19424460431655</v>
      </c>
    </row>
    <row r="577" spans="1:60" s="561" customFormat="1" ht="27.75" hidden="1" customHeight="1">
      <c r="A577" s="1499">
        <v>71</v>
      </c>
      <c r="B577" s="764" t="s">
        <v>2768</v>
      </c>
      <c r="C577" s="1455">
        <f t="shared" si="539"/>
        <v>0</v>
      </c>
      <c r="D577" s="1455"/>
      <c r="E577" s="1455"/>
      <c r="F577" s="1455"/>
      <c r="G577" s="1614">
        <f t="shared" si="533"/>
        <v>0</v>
      </c>
      <c r="H577" s="1617"/>
      <c r="I577" s="1614">
        <f t="shared" si="534"/>
        <v>0</v>
      </c>
      <c r="J577" s="1617"/>
      <c r="K577" s="1617"/>
      <c r="L577" s="1617"/>
      <c r="M577" s="1617"/>
      <c r="N577" s="1617"/>
      <c r="O577" s="1617"/>
      <c r="P577" s="1617"/>
      <c r="Q577" s="1617"/>
      <c r="R577" s="1617"/>
      <c r="S577" s="1617"/>
      <c r="T577" s="1621">
        <f>(H577+K577+L577)*23.5%</f>
        <v>0</v>
      </c>
      <c r="U577" s="1614">
        <f t="shared" si="535"/>
        <v>0</v>
      </c>
      <c r="V577" s="1617"/>
      <c r="W577" s="1614">
        <f t="shared" si="536"/>
        <v>0</v>
      </c>
      <c r="X577" s="1617"/>
      <c r="Y577" s="1617"/>
      <c r="Z577" s="1617"/>
      <c r="AA577" s="1617"/>
      <c r="AB577" s="1617"/>
      <c r="AC577" s="1617"/>
      <c r="AD577" s="1617"/>
      <c r="AE577" s="1617"/>
      <c r="AF577" s="1617"/>
      <c r="AG577" s="1617"/>
      <c r="AH577" s="1621">
        <f>(V577+Y577+Z577)*23.5%</f>
        <v>0</v>
      </c>
      <c r="AI577" s="1621">
        <f t="shared" si="537"/>
        <v>0</v>
      </c>
      <c r="AJ577" s="1621">
        <f t="shared" si="538"/>
        <v>0</v>
      </c>
      <c r="AK577" s="1448" t="e">
        <f t="shared" si="520"/>
        <v>#DIV/0!</v>
      </c>
      <c r="AL577" s="1431" t="e">
        <f t="shared" si="510"/>
        <v>#DIV/0!</v>
      </c>
    </row>
    <row r="578" spans="1:60" s="561" customFormat="1" ht="27.75" hidden="1" customHeight="1">
      <c r="A578" s="1499">
        <v>72</v>
      </c>
      <c r="B578" s="764" t="s">
        <v>2769</v>
      </c>
      <c r="C578" s="1455">
        <f t="shared" si="539"/>
        <v>0</v>
      </c>
      <c r="D578" s="1455"/>
      <c r="E578" s="1455"/>
      <c r="F578" s="1455"/>
      <c r="G578" s="1614">
        <f t="shared" si="533"/>
        <v>0</v>
      </c>
      <c r="H578" s="1617"/>
      <c r="I578" s="1614">
        <f t="shared" si="534"/>
        <v>0</v>
      </c>
      <c r="J578" s="1617"/>
      <c r="K578" s="1617"/>
      <c r="L578" s="1617"/>
      <c r="M578" s="1617"/>
      <c r="N578" s="1617"/>
      <c r="O578" s="1617"/>
      <c r="P578" s="1617"/>
      <c r="Q578" s="1617"/>
      <c r="R578" s="1617"/>
      <c r="S578" s="1617"/>
      <c r="T578" s="1621">
        <f>(H578+K578+L578)*23.5%</f>
        <v>0</v>
      </c>
      <c r="U578" s="1614">
        <f t="shared" si="535"/>
        <v>0</v>
      </c>
      <c r="V578" s="1617"/>
      <c r="W578" s="1614">
        <f t="shared" si="536"/>
        <v>0</v>
      </c>
      <c r="X578" s="1617"/>
      <c r="Y578" s="1617"/>
      <c r="Z578" s="1617"/>
      <c r="AA578" s="1617"/>
      <c r="AB578" s="1617"/>
      <c r="AC578" s="1617"/>
      <c r="AD578" s="1617"/>
      <c r="AE578" s="1617"/>
      <c r="AF578" s="1617"/>
      <c r="AG578" s="1617"/>
      <c r="AH578" s="1621">
        <f>(V578+Y578+Z578)*23.5%</f>
        <v>0</v>
      </c>
      <c r="AI578" s="1621">
        <f t="shared" si="537"/>
        <v>0</v>
      </c>
      <c r="AJ578" s="1621">
        <f t="shared" si="538"/>
        <v>0</v>
      </c>
      <c r="AK578" s="1448" t="e">
        <f t="shared" si="520"/>
        <v>#DIV/0!</v>
      </c>
      <c r="AL578" s="1431" t="e">
        <f t="shared" si="510"/>
        <v>#DIV/0!</v>
      </c>
    </row>
    <row r="579" spans="1:60" ht="31.5" hidden="1" customHeight="1">
      <c r="A579" s="1499">
        <v>73</v>
      </c>
      <c r="B579" s="764" t="s">
        <v>2770</v>
      </c>
      <c r="C579" s="1455">
        <f t="shared" si="539"/>
        <v>1</v>
      </c>
      <c r="D579" s="1455">
        <v>1</v>
      </c>
      <c r="E579" s="1455"/>
      <c r="F579" s="1455">
        <v>1</v>
      </c>
      <c r="G579" s="1614">
        <f t="shared" si="533"/>
        <v>5.0641175</v>
      </c>
      <c r="H579" s="1617">
        <f>2.95*1.39</f>
        <v>4.1005000000000003</v>
      </c>
      <c r="I579" s="1614">
        <f t="shared" si="534"/>
        <v>0</v>
      </c>
      <c r="J579" s="1617"/>
      <c r="K579" s="1617"/>
      <c r="L579" s="1617"/>
      <c r="M579" s="1617"/>
      <c r="N579" s="1617"/>
      <c r="O579" s="1617"/>
      <c r="P579" s="1617"/>
      <c r="Q579" s="1617"/>
      <c r="R579" s="1617"/>
      <c r="S579" s="1617"/>
      <c r="T579" s="1621">
        <f>(H579+K579+L579)*23.5%</f>
        <v>0.96361750000000002</v>
      </c>
      <c r="U579" s="1614">
        <f t="shared" si="535"/>
        <v>5.4284425000000001</v>
      </c>
      <c r="V579" s="1617">
        <f>2.95*1.49</f>
        <v>4.3955000000000002</v>
      </c>
      <c r="W579" s="1614">
        <f t="shared" si="536"/>
        <v>0</v>
      </c>
      <c r="X579" s="1617"/>
      <c r="Y579" s="1617"/>
      <c r="Z579" s="1617"/>
      <c r="AA579" s="1617"/>
      <c r="AB579" s="1617"/>
      <c r="AC579" s="1617"/>
      <c r="AD579" s="1617"/>
      <c r="AE579" s="1617"/>
      <c r="AF579" s="1617"/>
      <c r="AG579" s="1617"/>
      <c r="AH579" s="1621">
        <f t="shared" ref="AH579" si="540">(V579+Y579+Z579)*23.5%</f>
        <v>1.0329424999999999</v>
      </c>
      <c r="AI579" s="1621">
        <f t="shared" si="537"/>
        <v>0.36432500000000001</v>
      </c>
      <c r="AJ579" s="1621">
        <f t="shared" si="538"/>
        <v>2.1859500000000001</v>
      </c>
      <c r="AK579" s="1448">
        <f t="shared" si="520"/>
        <v>0.36432500000000001</v>
      </c>
      <c r="AL579" s="1431">
        <f t="shared" si="510"/>
        <v>107.19424460431655</v>
      </c>
    </row>
    <row r="580" spans="1:60">
      <c r="A580" s="1375"/>
      <c r="B580" s="1376"/>
      <c r="C580" s="1375"/>
      <c r="D580" s="1375"/>
      <c r="E580" s="1375"/>
      <c r="F580" s="1375"/>
      <c r="G580" s="1630"/>
      <c r="H580" s="1630"/>
      <c r="I580" s="1630"/>
      <c r="J580" s="1630"/>
      <c r="K580" s="1630"/>
      <c r="L580" s="1630"/>
      <c r="M580" s="1630"/>
      <c r="N580" s="1630"/>
      <c r="O580" s="1630"/>
      <c r="P580" s="1630"/>
      <c r="Q580" s="1630"/>
      <c r="R580" s="1630"/>
      <c r="S580" s="1630"/>
      <c r="T580" s="1630"/>
      <c r="U580" s="1630"/>
      <c r="V580" s="1630"/>
      <c r="W580" s="1630"/>
      <c r="X580" s="1630"/>
      <c r="Y580" s="1630"/>
      <c r="Z580" s="1630"/>
      <c r="AA580" s="1630"/>
      <c r="AB580" s="1630"/>
      <c r="AC580" s="1630"/>
      <c r="AD580" s="1630"/>
      <c r="AE580" s="1630"/>
      <c r="AF580" s="1630"/>
      <c r="AG580" s="1630"/>
      <c r="AH580" s="1630"/>
      <c r="AI580" s="1630"/>
      <c r="AJ580" s="1630"/>
    </row>
    <row r="581" spans="1:60" ht="25.5" customHeight="1">
      <c r="A581" s="1427" t="s">
        <v>12</v>
      </c>
      <c r="B581" s="1550" t="s">
        <v>2796</v>
      </c>
      <c r="C581" s="1551">
        <f>C582+C603+C604+C608</f>
        <v>0</v>
      </c>
      <c r="D581" s="1551"/>
      <c r="E581" s="1551"/>
      <c r="F581" s="1551">
        <f t="shared" ref="F581:AJ581" si="541">F582+F603+F604+F608</f>
        <v>0</v>
      </c>
      <c r="G581" s="1551">
        <f t="shared" si="541"/>
        <v>0</v>
      </c>
      <c r="H581" s="1551">
        <f t="shared" si="541"/>
        <v>0</v>
      </c>
      <c r="I581" s="1551">
        <f t="shared" si="541"/>
        <v>0</v>
      </c>
      <c r="J581" s="1551">
        <f t="shared" si="541"/>
        <v>0</v>
      </c>
      <c r="K581" s="1551">
        <f t="shared" si="541"/>
        <v>0</v>
      </c>
      <c r="L581" s="1551">
        <f t="shared" si="541"/>
        <v>0</v>
      </c>
      <c r="M581" s="1551">
        <f t="shared" si="541"/>
        <v>0</v>
      </c>
      <c r="N581" s="1551">
        <f t="shared" si="541"/>
        <v>0</v>
      </c>
      <c r="O581" s="1551">
        <f t="shared" si="541"/>
        <v>0</v>
      </c>
      <c r="P581" s="1551">
        <f t="shared" si="541"/>
        <v>0</v>
      </c>
      <c r="Q581" s="1551">
        <f t="shared" si="541"/>
        <v>0</v>
      </c>
      <c r="R581" s="1551">
        <f t="shared" si="541"/>
        <v>0</v>
      </c>
      <c r="S581" s="1551">
        <f t="shared" si="541"/>
        <v>0</v>
      </c>
      <c r="T581" s="1551">
        <f t="shared" si="541"/>
        <v>0</v>
      </c>
      <c r="U581" s="1551">
        <f t="shared" si="541"/>
        <v>0</v>
      </c>
      <c r="V581" s="1551">
        <f t="shared" si="541"/>
        <v>0</v>
      </c>
      <c r="W581" s="1551">
        <f t="shared" si="541"/>
        <v>0</v>
      </c>
      <c r="X581" s="1551">
        <f t="shared" si="541"/>
        <v>0</v>
      </c>
      <c r="Y581" s="1551">
        <f t="shared" si="541"/>
        <v>0</v>
      </c>
      <c r="Z581" s="1551">
        <f t="shared" si="541"/>
        <v>0</v>
      </c>
      <c r="AA581" s="1551">
        <f t="shared" si="541"/>
        <v>0</v>
      </c>
      <c r="AB581" s="1551">
        <f t="shared" si="541"/>
        <v>0</v>
      </c>
      <c r="AC581" s="1551">
        <f t="shared" si="541"/>
        <v>0</v>
      </c>
      <c r="AD581" s="1551">
        <f t="shared" si="541"/>
        <v>0</v>
      </c>
      <c r="AE581" s="1551">
        <f t="shared" si="541"/>
        <v>0</v>
      </c>
      <c r="AF581" s="1551">
        <f t="shared" si="541"/>
        <v>0</v>
      </c>
      <c r="AG581" s="1551">
        <f t="shared" si="541"/>
        <v>0</v>
      </c>
      <c r="AH581" s="1551">
        <f t="shared" si="541"/>
        <v>0</v>
      </c>
      <c r="AI581" s="1551">
        <f t="shared" si="541"/>
        <v>0</v>
      </c>
      <c r="AJ581" s="1551">
        <f t="shared" si="541"/>
        <v>0</v>
      </c>
    </row>
    <row r="582" spans="1:60">
      <c r="A582" s="1433" t="s">
        <v>13</v>
      </c>
      <c r="B582" s="1552" t="s">
        <v>2528</v>
      </c>
      <c r="C582" s="1438">
        <f>C584+C589+C591+C592+C593+C594+C595+C596+C597+C598</f>
        <v>0</v>
      </c>
      <c r="D582" s="1438"/>
      <c r="E582" s="1438"/>
      <c r="F582" s="1438">
        <f t="shared" ref="F582:AH582" si="542">F584+F589+F591+F592+F593+F594+F595+F596+F597+F598</f>
        <v>0</v>
      </c>
      <c r="G582" s="1438">
        <f t="shared" si="542"/>
        <v>0</v>
      </c>
      <c r="H582" s="1438">
        <f t="shared" si="542"/>
        <v>0</v>
      </c>
      <c r="I582" s="1438">
        <f t="shared" si="542"/>
        <v>0</v>
      </c>
      <c r="J582" s="1438">
        <f t="shared" si="542"/>
        <v>0</v>
      </c>
      <c r="K582" s="1438">
        <f t="shared" si="542"/>
        <v>0</v>
      </c>
      <c r="L582" s="1438">
        <f t="shared" si="542"/>
        <v>0</v>
      </c>
      <c r="M582" s="1438">
        <f t="shared" si="542"/>
        <v>0</v>
      </c>
      <c r="N582" s="1438">
        <f t="shared" si="542"/>
        <v>0</v>
      </c>
      <c r="O582" s="1438">
        <f t="shared" si="542"/>
        <v>0</v>
      </c>
      <c r="P582" s="1438">
        <f t="shared" si="542"/>
        <v>0</v>
      </c>
      <c r="Q582" s="1438">
        <f t="shared" si="542"/>
        <v>0</v>
      </c>
      <c r="R582" s="1438">
        <f t="shared" si="542"/>
        <v>0</v>
      </c>
      <c r="S582" s="1438">
        <f t="shared" si="542"/>
        <v>0</v>
      </c>
      <c r="T582" s="1438">
        <f t="shared" si="542"/>
        <v>0</v>
      </c>
      <c r="U582" s="1438">
        <f t="shared" si="542"/>
        <v>0</v>
      </c>
      <c r="V582" s="1438">
        <f t="shared" si="542"/>
        <v>0</v>
      </c>
      <c r="W582" s="1438">
        <f t="shared" si="542"/>
        <v>0</v>
      </c>
      <c r="X582" s="1438">
        <f t="shared" si="542"/>
        <v>0</v>
      </c>
      <c r="Y582" s="1438">
        <f t="shared" si="542"/>
        <v>0</v>
      </c>
      <c r="Z582" s="1438">
        <f t="shared" si="542"/>
        <v>0</v>
      </c>
      <c r="AA582" s="1438">
        <f t="shared" si="542"/>
        <v>0</v>
      </c>
      <c r="AB582" s="1438">
        <f t="shared" si="542"/>
        <v>0</v>
      </c>
      <c r="AC582" s="1438">
        <f t="shared" si="542"/>
        <v>0</v>
      </c>
      <c r="AD582" s="1438">
        <f t="shared" si="542"/>
        <v>0</v>
      </c>
      <c r="AE582" s="1438">
        <f t="shared" si="542"/>
        <v>0</v>
      </c>
      <c r="AF582" s="1438">
        <f t="shared" si="542"/>
        <v>0</v>
      </c>
      <c r="AG582" s="1438">
        <f t="shared" si="542"/>
        <v>0</v>
      </c>
      <c r="AH582" s="1438">
        <f t="shared" si="542"/>
        <v>0</v>
      </c>
      <c r="AI582" s="1438">
        <f>AI584+AI589+AI591+AI592+AI593+AI594+AI595+AI596+AI597+AI598</f>
        <v>0</v>
      </c>
      <c r="AJ582" s="1438">
        <f>AJ584+AJ589+AJ591+AJ592+AJ593+AJ594+AJ595+AJ596+AJ597+AJ598</f>
        <v>0</v>
      </c>
    </row>
    <row r="583" spans="1:60">
      <c r="A583" s="1375"/>
      <c r="B583" s="1533" t="s">
        <v>2512</v>
      </c>
      <c r="C583" s="1440"/>
      <c r="D583" s="1440"/>
      <c r="E583" s="1440"/>
      <c r="F583" s="1440"/>
      <c r="G583" s="1553"/>
      <c r="H583" s="1440"/>
      <c r="I583" s="1553"/>
      <c r="J583" s="1440"/>
      <c r="K583" s="1440"/>
      <c r="L583" s="1440"/>
      <c r="M583" s="1440"/>
      <c r="N583" s="1440"/>
      <c r="O583" s="1440"/>
      <c r="P583" s="1440"/>
      <c r="Q583" s="1440"/>
      <c r="R583" s="1440"/>
      <c r="S583" s="1440"/>
      <c r="T583" s="1553"/>
      <c r="U583" s="1554"/>
      <c r="V583" s="1554"/>
      <c r="W583" s="1554"/>
      <c r="X583" s="1554"/>
      <c r="Y583" s="1554"/>
      <c r="Z583" s="1554"/>
      <c r="AA583" s="1554"/>
      <c r="AB583" s="1554"/>
      <c r="AC583" s="1554"/>
      <c r="AD583" s="1554"/>
      <c r="AE583" s="1554"/>
      <c r="AF583" s="1554"/>
      <c r="AG583" s="1554"/>
      <c r="AH583" s="1554"/>
      <c r="AI583" s="1554"/>
      <c r="AJ583" s="1554"/>
    </row>
    <row r="584" spans="1:60">
      <c r="A584" s="1375">
        <v>1</v>
      </c>
      <c r="B584" s="1534" t="s">
        <v>2489</v>
      </c>
      <c r="C584" s="1365">
        <f>C585+C587</f>
        <v>0</v>
      </c>
      <c r="D584" s="1365">
        <f t="shared" ref="D584:AJ584" si="543">D585+D587</f>
        <v>0</v>
      </c>
      <c r="E584" s="1365">
        <f t="shared" si="543"/>
        <v>0</v>
      </c>
      <c r="F584" s="1365">
        <f t="shared" si="543"/>
        <v>0</v>
      </c>
      <c r="G584" s="1555">
        <f t="shared" si="543"/>
        <v>0</v>
      </c>
      <c r="H584" s="1365">
        <f t="shared" si="543"/>
        <v>0</v>
      </c>
      <c r="I584" s="1555">
        <f t="shared" si="543"/>
        <v>0</v>
      </c>
      <c r="J584" s="1365">
        <f t="shared" si="543"/>
        <v>0</v>
      </c>
      <c r="K584" s="1365">
        <f t="shared" si="543"/>
        <v>0</v>
      </c>
      <c r="L584" s="1365">
        <f t="shared" si="543"/>
        <v>0</v>
      </c>
      <c r="M584" s="1365">
        <f t="shared" si="543"/>
        <v>0</v>
      </c>
      <c r="N584" s="1365">
        <f t="shared" si="543"/>
        <v>0</v>
      </c>
      <c r="O584" s="1365">
        <f t="shared" si="543"/>
        <v>0</v>
      </c>
      <c r="P584" s="1365">
        <f t="shared" si="543"/>
        <v>0</v>
      </c>
      <c r="Q584" s="1365">
        <f t="shared" si="543"/>
        <v>0</v>
      </c>
      <c r="R584" s="1365">
        <f t="shared" si="543"/>
        <v>0</v>
      </c>
      <c r="S584" s="1365">
        <f t="shared" si="543"/>
        <v>0</v>
      </c>
      <c r="T584" s="1555">
        <f t="shared" si="543"/>
        <v>0</v>
      </c>
      <c r="U584" s="1556">
        <f t="shared" si="543"/>
        <v>0</v>
      </c>
      <c r="V584" s="1556">
        <f t="shared" si="543"/>
        <v>0</v>
      </c>
      <c r="W584" s="1556">
        <f t="shared" si="543"/>
        <v>0</v>
      </c>
      <c r="X584" s="1556">
        <f t="shared" si="543"/>
        <v>0</v>
      </c>
      <c r="Y584" s="1556">
        <f t="shared" si="543"/>
        <v>0</v>
      </c>
      <c r="Z584" s="1556">
        <f t="shared" si="543"/>
        <v>0</v>
      </c>
      <c r="AA584" s="1556">
        <f t="shared" si="543"/>
        <v>0</v>
      </c>
      <c r="AB584" s="1556">
        <f t="shared" si="543"/>
        <v>0</v>
      </c>
      <c r="AC584" s="1556">
        <f t="shared" si="543"/>
        <v>0</v>
      </c>
      <c r="AD584" s="1556">
        <f t="shared" si="543"/>
        <v>0</v>
      </c>
      <c r="AE584" s="1556">
        <f t="shared" si="543"/>
        <v>0</v>
      </c>
      <c r="AF584" s="1556">
        <f t="shared" si="543"/>
        <v>0</v>
      </c>
      <c r="AG584" s="1556">
        <f t="shared" si="543"/>
        <v>0</v>
      </c>
      <c r="AH584" s="1556">
        <f t="shared" si="543"/>
        <v>0</v>
      </c>
      <c r="AI584" s="1556">
        <f t="shared" si="543"/>
        <v>0</v>
      </c>
      <c r="AJ584" s="1556">
        <f t="shared" si="543"/>
        <v>0</v>
      </c>
    </row>
    <row r="585" spans="1:60">
      <c r="A585" s="1375"/>
      <c r="B585" s="1449" t="s">
        <v>2490</v>
      </c>
      <c r="C585" s="1365">
        <f>SUM(C617,C647,C678,C708,C738,C790,C820,C850,C880)</f>
        <v>0</v>
      </c>
      <c r="D585" s="1365"/>
      <c r="E585" s="1365"/>
      <c r="F585" s="1365">
        <f>SUM(F617,F647,F678,F708,F738,F790,F820,F850,F880)</f>
        <v>0</v>
      </c>
      <c r="G585" s="1553">
        <f t="shared" ref="G585" si="544">H585+I585+T585</f>
        <v>0</v>
      </c>
      <c r="H585" s="1365">
        <f>SUM(H617,H647,H678,H708,H738,H790,H820,H850,H880)</f>
        <v>0</v>
      </c>
      <c r="I585" s="1553">
        <f>SUM(J585:S585)</f>
        <v>0</v>
      </c>
      <c r="J585" s="1365">
        <f t="shared" ref="J585:S589" si="545">SUM(J617,J647,J678,J708,J738,J790,J820,J850,J880)</f>
        <v>0</v>
      </c>
      <c r="K585" s="1365">
        <f t="shared" si="545"/>
        <v>0</v>
      </c>
      <c r="L585" s="1365">
        <f t="shared" si="545"/>
        <v>0</v>
      </c>
      <c r="M585" s="1365">
        <f t="shared" si="545"/>
        <v>0</v>
      </c>
      <c r="N585" s="1365">
        <f t="shared" si="545"/>
        <v>0</v>
      </c>
      <c r="O585" s="1365">
        <f t="shared" si="545"/>
        <v>0</v>
      </c>
      <c r="P585" s="1365">
        <f t="shared" si="545"/>
        <v>0</v>
      </c>
      <c r="Q585" s="1365">
        <f t="shared" si="545"/>
        <v>0</v>
      </c>
      <c r="R585" s="1365">
        <f t="shared" si="545"/>
        <v>0</v>
      </c>
      <c r="S585" s="1365">
        <f t="shared" si="545"/>
        <v>0</v>
      </c>
      <c r="T585" s="1555">
        <f t="shared" ref="T585:T597" si="546">(H585+K585+L585+R585)*23.5%</f>
        <v>0</v>
      </c>
      <c r="U585" s="1554">
        <f t="shared" ref="U585:U597" si="547">V585+W585+AH585</f>
        <v>0</v>
      </c>
      <c r="V585" s="1554">
        <f>(H585/1.39)*1.49</f>
        <v>0</v>
      </c>
      <c r="W585" s="1554">
        <f t="shared" ref="W585:W603" si="548">SUM(X585:AG585)</f>
        <v>0</v>
      </c>
      <c r="X585" s="1554">
        <f>(J585/1.39)*1.49</f>
        <v>0</v>
      </c>
      <c r="Y585" s="1554">
        <f>(K585/1.39)*1.49</f>
        <v>0</v>
      </c>
      <c r="Z585" s="1554">
        <f>(L585/1.39)*1.49</f>
        <v>0</v>
      </c>
      <c r="AA585" s="1554">
        <f>(M585/1.39)*1.49</f>
        <v>0</v>
      </c>
      <c r="AB585" s="1554">
        <f t="shared" ref="AB585:AG603" si="549">(N585/1.39)*1.49</f>
        <v>0</v>
      </c>
      <c r="AC585" s="1554">
        <f t="shared" si="549"/>
        <v>0</v>
      </c>
      <c r="AD585" s="1554">
        <f t="shared" si="549"/>
        <v>0</v>
      </c>
      <c r="AE585" s="1554">
        <f t="shared" si="549"/>
        <v>0</v>
      </c>
      <c r="AF585" s="1554">
        <f t="shared" si="549"/>
        <v>0</v>
      </c>
      <c r="AG585" s="1554">
        <f t="shared" si="549"/>
        <v>0</v>
      </c>
      <c r="AH585" s="1554">
        <f>(V585+Y585+Z585+AF585)*23.5%</f>
        <v>0</v>
      </c>
      <c r="AI585" s="1556">
        <f t="shared" ref="AI585:AI597" si="550">U585-G585</f>
        <v>0</v>
      </c>
      <c r="AJ585" s="1556">
        <f t="shared" ref="AJ585:AJ597" si="551">AI585*6</f>
        <v>0</v>
      </c>
    </row>
    <row r="586" spans="1:60">
      <c r="A586" s="1456"/>
      <c r="B586" s="1535" t="s">
        <v>2529</v>
      </c>
      <c r="C586" s="1365">
        <f>SUM(C618,C648,C679,C709,C739,C791,C821,C851,C881)</f>
        <v>0</v>
      </c>
      <c r="D586" s="1365"/>
      <c r="E586" s="1365"/>
      <c r="F586" s="1365">
        <f>SUM(F618,F648,F679,F709,F739,F791,F821,F851,F881)</f>
        <v>0</v>
      </c>
      <c r="G586" s="1555"/>
      <c r="H586" s="1365">
        <f>SUM(H618,H648,H679,H709,H739,H791,H821,H851,H881)</f>
        <v>0</v>
      </c>
      <c r="I586" s="1555"/>
      <c r="J586" s="1365">
        <f t="shared" si="545"/>
        <v>0</v>
      </c>
      <c r="K586" s="1365">
        <f t="shared" si="545"/>
        <v>0</v>
      </c>
      <c r="L586" s="1365">
        <f t="shared" si="545"/>
        <v>0</v>
      </c>
      <c r="M586" s="1365">
        <f t="shared" si="545"/>
        <v>0</v>
      </c>
      <c r="N586" s="1365">
        <f t="shared" si="545"/>
        <v>0</v>
      </c>
      <c r="O586" s="1365">
        <f t="shared" si="545"/>
        <v>0</v>
      </c>
      <c r="P586" s="1365">
        <f t="shared" si="545"/>
        <v>0</v>
      </c>
      <c r="Q586" s="1365">
        <f t="shared" si="545"/>
        <v>0</v>
      </c>
      <c r="R586" s="1365">
        <f t="shared" si="545"/>
        <v>0</v>
      </c>
      <c r="S586" s="1365">
        <f t="shared" si="545"/>
        <v>0</v>
      </c>
      <c r="T586" s="1555">
        <f t="shared" si="546"/>
        <v>0</v>
      </c>
      <c r="U586" s="1554">
        <f t="shared" si="547"/>
        <v>0</v>
      </c>
      <c r="V586" s="1554">
        <f t="shared" ref="V586:V602" si="552">(H586/1.39)*1.49</f>
        <v>0</v>
      </c>
      <c r="W586" s="1554">
        <f t="shared" si="548"/>
        <v>0</v>
      </c>
      <c r="X586" s="1554">
        <f t="shared" ref="X586:AA601" si="553">(J586/1.39)*1.49</f>
        <v>0</v>
      </c>
      <c r="Y586" s="1554">
        <f t="shared" si="553"/>
        <v>0</v>
      </c>
      <c r="Z586" s="1554">
        <f t="shared" si="553"/>
        <v>0</v>
      </c>
      <c r="AA586" s="1554">
        <f t="shared" si="553"/>
        <v>0</v>
      </c>
      <c r="AB586" s="1554">
        <f t="shared" si="549"/>
        <v>0</v>
      </c>
      <c r="AC586" s="1554">
        <f t="shared" si="549"/>
        <v>0</v>
      </c>
      <c r="AD586" s="1554">
        <f t="shared" si="549"/>
        <v>0</v>
      </c>
      <c r="AE586" s="1554">
        <f t="shared" si="549"/>
        <v>0</v>
      </c>
      <c r="AF586" s="1554">
        <f t="shared" si="549"/>
        <v>0</v>
      </c>
      <c r="AG586" s="1554">
        <f t="shared" si="549"/>
        <v>0</v>
      </c>
      <c r="AH586" s="1554">
        <f t="shared" ref="AH586:AH597" si="554">(V586+Y586+Z586+AF586)*23.5%</f>
        <v>0</v>
      </c>
      <c r="AI586" s="1556">
        <f t="shared" si="550"/>
        <v>0</v>
      </c>
      <c r="AJ586" s="1556">
        <f t="shared" si="551"/>
        <v>0</v>
      </c>
    </row>
    <row r="587" spans="1:60">
      <c r="A587" s="1456"/>
      <c r="B587" s="1449" t="s">
        <v>2491</v>
      </c>
      <c r="C587" s="1365">
        <f>SUM(C619,C649,C680,C710,C740,C792,C822,C852,C882)</f>
        <v>0</v>
      </c>
      <c r="D587" s="1365"/>
      <c r="E587" s="1365"/>
      <c r="F587" s="1365">
        <f>SUM(F619,F649,F680,F710,F740,F792,F822,F852,F882)</f>
        <v>0</v>
      </c>
      <c r="G587" s="1553">
        <f t="shared" ref="G587" si="555">H587+I587+T587</f>
        <v>0</v>
      </c>
      <c r="H587" s="1365">
        <f>SUM(H619,H649,H680,H710,H740,H792,H822,H852,H882)</f>
        <v>0</v>
      </c>
      <c r="I587" s="1553">
        <f>SUM(J587:S587)</f>
        <v>0</v>
      </c>
      <c r="J587" s="1365">
        <f t="shared" si="545"/>
        <v>0</v>
      </c>
      <c r="K587" s="1365">
        <f t="shared" si="545"/>
        <v>0</v>
      </c>
      <c r="L587" s="1365">
        <f t="shared" si="545"/>
        <v>0</v>
      </c>
      <c r="M587" s="1365">
        <f t="shared" si="545"/>
        <v>0</v>
      </c>
      <c r="N587" s="1365">
        <f t="shared" si="545"/>
        <v>0</v>
      </c>
      <c r="O587" s="1365">
        <f t="shared" si="545"/>
        <v>0</v>
      </c>
      <c r="P587" s="1365">
        <f t="shared" si="545"/>
        <v>0</v>
      </c>
      <c r="Q587" s="1365">
        <f t="shared" si="545"/>
        <v>0</v>
      </c>
      <c r="R587" s="1365">
        <f t="shared" si="545"/>
        <v>0</v>
      </c>
      <c r="S587" s="1365">
        <f t="shared" si="545"/>
        <v>0</v>
      </c>
      <c r="T587" s="1555">
        <f t="shared" si="546"/>
        <v>0</v>
      </c>
      <c r="U587" s="1554">
        <f t="shared" si="547"/>
        <v>0</v>
      </c>
      <c r="V587" s="1554">
        <f t="shared" si="552"/>
        <v>0</v>
      </c>
      <c r="W587" s="1554">
        <f t="shared" si="548"/>
        <v>0</v>
      </c>
      <c r="X587" s="1554">
        <f t="shared" si="553"/>
        <v>0</v>
      </c>
      <c r="Y587" s="1554">
        <f t="shared" si="553"/>
        <v>0</v>
      </c>
      <c r="Z587" s="1554">
        <f t="shared" si="553"/>
        <v>0</v>
      </c>
      <c r="AA587" s="1554">
        <f t="shared" si="553"/>
        <v>0</v>
      </c>
      <c r="AB587" s="1554">
        <f t="shared" si="549"/>
        <v>0</v>
      </c>
      <c r="AC587" s="1554">
        <f t="shared" si="549"/>
        <v>0</v>
      </c>
      <c r="AD587" s="1554">
        <f t="shared" si="549"/>
        <v>0</v>
      </c>
      <c r="AE587" s="1554">
        <f t="shared" si="549"/>
        <v>0</v>
      </c>
      <c r="AF587" s="1554">
        <f t="shared" si="549"/>
        <v>0</v>
      </c>
      <c r="AG587" s="1554">
        <f t="shared" si="549"/>
        <v>0</v>
      </c>
      <c r="AH587" s="1554">
        <f t="shared" si="554"/>
        <v>0</v>
      </c>
      <c r="AI587" s="1556">
        <f t="shared" si="550"/>
        <v>0</v>
      </c>
      <c r="AJ587" s="1556">
        <f t="shared" si="551"/>
        <v>0</v>
      </c>
    </row>
    <row r="588" spans="1:60">
      <c r="A588" s="1456"/>
      <c r="B588" s="1535" t="s">
        <v>2529</v>
      </c>
      <c r="C588" s="1365">
        <f>SUM(C620,C650,C681,C711,C741,C793,C823,C853,C883)</f>
        <v>0</v>
      </c>
      <c r="D588" s="1365"/>
      <c r="E588" s="1365"/>
      <c r="F588" s="1365">
        <f>SUM(F620,F650,F681,F711,F741,F793,F823,F853,F883)</f>
        <v>0</v>
      </c>
      <c r="G588" s="1555"/>
      <c r="H588" s="1365">
        <f>SUM(H620,H650,H681,H711,H741,H793,H823,H853,H883)</f>
        <v>0</v>
      </c>
      <c r="I588" s="1555"/>
      <c r="J588" s="1365">
        <f t="shared" si="545"/>
        <v>0</v>
      </c>
      <c r="K588" s="1365">
        <f t="shared" si="545"/>
        <v>0</v>
      </c>
      <c r="L588" s="1365">
        <f t="shared" si="545"/>
        <v>0</v>
      </c>
      <c r="M588" s="1365">
        <f t="shared" si="545"/>
        <v>0</v>
      </c>
      <c r="N588" s="1365">
        <f t="shared" si="545"/>
        <v>0</v>
      </c>
      <c r="O588" s="1365">
        <f t="shared" si="545"/>
        <v>0</v>
      </c>
      <c r="P588" s="1365">
        <f t="shared" si="545"/>
        <v>0</v>
      </c>
      <c r="Q588" s="1365">
        <f t="shared" si="545"/>
        <v>0</v>
      </c>
      <c r="R588" s="1365">
        <f t="shared" si="545"/>
        <v>0</v>
      </c>
      <c r="S588" s="1365">
        <f t="shared" si="545"/>
        <v>0</v>
      </c>
      <c r="T588" s="1555">
        <f t="shared" si="546"/>
        <v>0</v>
      </c>
      <c r="U588" s="1554">
        <f t="shared" si="547"/>
        <v>0</v>
      </c>
      <c r="V588" s="1554">
        <f t="shared" si="552"/>
        <v>0</v>
      </c>
      <c r="W588" s="1554">
        <f t="shared" si="548"/>
        <v>0</v>
      </c>
      <c r="X588" s="1554">
        <f t="shared" si="553"/>
        <v>0</v>
      </c>
      <c r="Y588" s="1554">
        <f t="shared" si="553"/>
        <v>0</v>
      </c>
      <c r="Z588" s="1554">
        <f t="shared" si="553"/>
        <v>0</v>
      </c>
      <c r="AA588" s="1554">
        <f t="shared" si="553"/>
        <v>0</v>
      </c>
      <c r="AB588" s="1554">
        <f t="shared" si="549"/>
        <v>0</v>
      </c>
      <c r="AC588" s="1554">
        <f t="shared" si="549"/>
        <v>0</v>
      </c>
      <c r="AD588" s="1554">
        <f t="shared" si="549"/>
        <v>0</v>
      </c>
      <c r="AE588" s="1554">
        <f t="shared" si="549"/>
        <v>0</v>
      </c>
      <c r="AF588" s="1554">
        <f t="shared" si="549"/>
        <v>0</v>
      </c>
      <c r="AG588" s="1554">
        <f t="shared" si="549"/>
        <v>0</v>
      </c>
      <c r="AH588" s="1554">
        <f t="shared" si="554"/>
        <v>0</v>
      </c>
      <c r="AI588" s="1556">
        <f t="shared" si="550"/>
        <v>0</v>
      </c>
      <c r="AJ588" s="1556">
        <f t="shared" si="551"/>
        <v>0</v>
      </c>
    </row>
    <row r="589" spans="1:60">
      <c r="A589" s="1375">
        <v>2</v>
      </c>
      <c r="B589" s="1534" t="s">
        <v>2237</v>
      </c>
      <c r="C589" s="1365">
        <f>SUM(C621,C651,C682,C712,C742,C794,C824,C854,C884)</f>
        <v>0</v>
      </c>
      <c r="D589" s="1365"/>
      <c r="E589" s="1365"/>
      <c r="F589" s="1365">
        <f>SUM(F621,F651,F682,F712,F742,F794,F824,F854,F884)</f>
        <v>0</v>
      </c>
      <c r="G589" s="1553">
        <f t="shared" ref="G589" si="556">H589+I589+T589</f>
        <v>0</v>
      </c>
      <c r="H589" s="1365">
        <f>SUM(H621,H651,H682,H712,H742,H794,H824,H854,H884)</f>
        <v>0</v>
      </c>
      <c r="I589" s="1553">
        <f>SUM(J589:S589)</f>
        <v>0</v>
      </c>
      <c r="J589" s="1365">
        <f t="shared" si="545"/>
        <v>0</v>
      </c>
      <c r="K589" s="1365">
        <f t="shared" si="545"/>
        <v>0</v>
      </c>
      <c r="L589" s="1365">
        <f t="shared" si="545"/>
        <v>0</v>
      </c>
      <c r="M589" s="1365">
        <f t="shared" si="545"/>
        <v>0</v>
      </c>
      <c r="N589" s="1365">
        <f t="shared" si="545"/>
        <v>0</v>
      </c>
      <c r="O589" s="1365">
        <f t="shared" si="545"/>
        <v>0</v>
      </c>
      <c r="P589" s="1365">
        <f t="shared" si="545"/>
        <v>0</v>
      </c>
      <c r="Q589" s="1365">
        <f t="shared" si="545"/>
        <v>0</v>
      </c>
      <c r="R589" s="1365">
        <f t="shared" si="545"/>
        <v>0</v>
      </c>
      <c r="S589" s="1365">
        <f t="shared" si="545"/>
        <v>0</v>
      </c>
      <c r="T589" s="1555">
        <f t="shared" si="546"/>
        <v>0</v>
      </c>
      <c r="U589" s="1554">
        <f t="shared" si="547"/>
        <v>0</v>
      </c>
      <c r="V589" s="1554">
        <f t="shared" si="552"/>
        <v>0</v>
      </c>
      <c r="W589" s="1554">
        <f t="shared" si="548"/>
        <v>0</v>
      </c>
      <c r="X589" s="1554">
        <f t="shared" si="553"/>
        <v>0</v>
      </c>
      <c r="Y589" s="1554">
        <f t="shared" si="553"/>
        <v>0</v>
      </c>
      <c r="Z589" s="1554">
        <f t="shared" si="553"/>
        <v>0</v>
      </c>
      <c r="AA589" s="1554">
        <f t="shared" si="553"/>
        <v>0</v>
      </c>
      <c r="AB589" s="1554">
        <f t="shared" si="549"/>
        <v>0</v>
      </c>
      <c r="AC589" s="1554">
        <f t="shared" si="549"/>
        <v>0</v>
      </c>
      <c r="AD589" s="1554">
        <f t="shared" si="549"/>
        <v>0</v>
      </c>
      <c r="AE589" s="1554">
        <f t="shared" si="549"/>
        <v>0</v>
      </c>
      <c r="AF589" s="1554">
        <f t="shared" si="549"/>
        <v>0</v>
      </c>
      <c r="AG589" s="1554">
        <f t="shared" si="549"/>
        <v>0</v>
      </c>
      <c r="AH589" s="1554">
        <f t="shared" si="554"/>
        <v>0</v>
      </c>
      <c r="AI589" s="1556">
        <f t="shared" si="550"/>
        <v>0</v>
      </c>
      <c r="AJ589" s="1556">
        <f t="shared" si="551"/>
        <v>0</v>
      </c>
    </row>
    <row r="590" spans="1:60">
      <c r="A590" s="1456"/>
      <c r="B590" s="1535" t="s">
        <v>2529</v>
      </c>
      <c r="C590" s="1365"/>
      <c r="D590" s="1365"/>
      <c r="E590" s="1365"/>
      <c r="F590" s="1365"/>
      <c r="G590" s="1555"/>
      <c r="H590" s="1365"/>
      <c r="I590" s="1555"/>
      <c r="J590" s="1365"/>
      <c r="K590" s="1365"/>
      <c r="L590" s="1365"/>
      <c r="M590" s="1365"/>
      <c r="N590" s="1365"/>
      <c r="O590" s="1365"/>
      <c r="P590" s="1365"/>
      <c r="Q590" s="1365"/>
      <c r="R590" s="1365"/>
      <c r="S590" s="1365"/>
      <c r="T590" s="1555">
        <f t="shared" si="546"/>
        <v>0</v>
      </c>
      <c r="U590" s="1554">
        <f t="shared" si="547"/>
        <v>0</v>
      </c>
      <c r="V590" s="1554">
        <f t="shared" si="552"/>
        <v>0</v>
      </c>
      <c r="W590" s="1554">
        <f t="shared" si="548"/>
        <v>0</v>
      </c>
      <c r="X590" s="1554">
        <f t="shared" si="553"/>
        <v>0</v>
      </c>
      <c r="Y590" s="1554">
        <f t="shared" si="553"/>
        <v>0</v>
      </c>
      <c r="Z590" s="1554">
        <f t="shared" si="553"/>
        <v>0</v>
      </c>
      <c r="AA590" s="1554">
        <f t="shared" si="553"/>
        <v>0</v>
      </c>
      <c r="AB590" s="1554">
        <f t="shared" si="549"/>
        <v>0</v>
      </c>
      <c r="AC590" s="1554" t="s">
        <v>2530</v>
      </c>
      <c r="AD590" s="1554">
        <f t="shared" si="549"/>
        <v>0</v>
      </c>
      <c r="AE590" s="1554">
        <f t="shared" si="549"/>
        <v>0</v>
      </c>
      <c r="AF590" s="1554">
        <f t="shared" si="549"/>
        <v>0</v>
      </c>
      <c r="AG590" s="1554">
        <f t="shared" si="549"/>
        <v>0</v>
      </c>
      <c r="AH590" s="1554">
        <f t="shared" si="554"/>
        <v>0</v>
      </c>
      <c r="AI590" s="1556">
        <f t="shared" si="550"/>
        <v>0</v>
      </c>
      <c r="AJ590" s="1556">
        <f t="shared" si="551"/>
        <v>0</v>
      </c>
    </row>
    <row r="591" spans="1:60">
      <c r="A591" s="1375">
        <v>3</v>
      </c>
      <c r="B591" s="1534" t="s">
        <v>2531</v>
      </c>
      <c r="C591" s="1365">
        <f t="shared" ref="C591:C597" si="557">SUM(C623,C653,C684,C714,C744,C796,C826,C856,C886)</f>
        <v>0</v>
      </c>
      <c r="D591" s="1365"/>
      <c r="E591" s="1365"/>
      <c r="F591" s="1365">
        <f t="shared" ref="F591:F597" si="558">SUM(F623,F653,F684,F714,F744,F796,F826,F856,F886)</f>
        <v>0</v>
      </c>
      <c r="G591" s="1553">
        <f t="shared" ref="G591:G597" si="559">H591+I591+T591</f>
        <v>0</v>
      </c>
      <c r="H591" s="1365">
        <f t="shared" ref="H591:H597" si="560">SUM(H623,H653,H684,H714,H744,H796,H826,H856,H886)</f>
        <v>0</v>
      </c>
      <c r="I591" s="1553">
        <f t="shared" ref="I591:I597" si="561">SUM(J591:S591)</f>
        <v>0</v>
      </c>
      <c r="J591" s="1365">
        <f t="shared" ref="J591:S597" si="562">SUM(J623,J653,J684,J714,J744,J796,J826,J856,J886)</f>
        <v>0</v>
      </c>
      <c r="K591" s="1365">
        <f t="shared" si="562"/>
        <v>0</v>
      </c>
      <c r="L591" s="1365">
        <f t="shared" si="562"/>
        <v>0</v>
      </c>
      <c r="M591" s="1365">
        <f t="shared" si="562"/>
        <v>0</v>
      </c>
      <c r="N591" s="1365">
        <f t="shared" si="562"/>
        <v>0</v>
      </c>
      <c r="O591" s="1365">
        <f t="shared" si="562"/>
        <v>0</v>
      </c>
      <c r="P591" s="1365">
        <f t="shared" si="562"/>
        <v>0</v>
      </c>
      <c r="Q591" s="1365">
        <f t="shared" si="562"/>
        <v>0</v>
      </c>
      <c r="R591" s="1365">
        <f t="shared" si="562"/>
        <v>0</v>
      </c>
      <c r="S591" s="1365">
        <f t="shared" si="562"/>
        <v>0</v>
      </c>
      <c r="T591" s="1555">
        <f t="shared" si="546"/>
        <v>0</v>
      </c>
      <c r="U591" s="1554">
        <f t="shared" si="547"/>
        <v>0</v>
      </c>
      <c r="V591" s="1554">
        <f t="shared" si="552"/>
        <v>0</v>
      </c>
      <c r="W591" s="1554">
        <f t="shared" si="548"/>
        <v>0</v>
      </c>
      <c r="X591" s="1554">
        <f t="shared" si="553"/>
        <v>0</v>
      </c>
      <c r="Y591" s="1554">
        <f t="shared" si="553"/>
        <v>0</v>
      </c>
      <c r="Z591" s="1554">
        <f t="shared" si="553"/>
        <v>0</v>
      </c>
      <c r="AA591" s="1554">
        <f t="shared" si="553"/>
        <v>0</v>
      </c>
      <c r="AB591" s="1554">
        <f t="shared" si="549"/>
        <v>0</v>
      </c>
      <c r="AC591" s="1554">
        <f t="shared" si="549"/>
        <v>0</v>
      </c>
      <c r="AD591" s="1554">
        <f t="shared" si="549"/>
        <v>0</v>
      </c>
      <c r="AE591" s="1554">
        <f t="shared" si="549"/>
        <v>0</v>
      </c>
      <c r="AF591" s="1554">
        <f t="shared" si="549"/>
        <v>0</v>
      </c>
      <c r="AG591" s="1554">
        <f t="shared" si="549"/>
        <v>0</v>
      </c>
      <c r="AH591" s="1554">
        <f t="shared" si="554"/>
        <v>0</v>
      </c>
      <c r="AI591" s="1556">
        <f t="shared" si="550"/>
        <v>0</v>
      </c>
      <c r="AJ591" s="1556">
        <f t="shared" si="551"/>
        <v>0</v>
      </c>
    </row>
    <row r="592" spans="1:60" s="1525" customFormat="1">
      <c r="A592" s="1375">
        <v>4</v>
      </c>
      <c r="B592" s="1534" t="s">
        <v>2532</v>
      </c>
      <c r="C592" s="1365">
        <f t="shared" si="557"/>
        <v>0</v>
      </c>
      <c r="D592" s="1365"/>
      <c r="E592" s="1365"/>
      <c r="F592" s="1365">
        <f t="shared" si="558"/>
        <v>0</v>
      </c>
      <c r="G592" s="1553">
        <f t="shared" si="559"/>
        <v>0</v>
      </c>
      <c r="H592" s="1365">
        <f t="shared" si="560"/>
        <v>0</v>
      </c>
      <c r="I592" s="1553">
        <f t="shared" si="561"/>
        <v>0</v>
      </c>
      <c r="J592" s="1365">
        <f t="shared" si="562"/>
        <v>0</v>
      </c>
      <c r="K592" s="1365">
        <f t="shared" si="562"/>
        <v>0</v>
      </c>
      <c r="L592" s="1365">
        <f t="shared" si="562"/>
        <v>0</v>
      </c>
      <c r="M592" s="1365">
        <f t="shared" si="562"/>
        <v>0</v>
      </c>
      <c r="N592" s="1365">
        <f t="shared" si="562"/>
        <v>0</v>
      </c>
      <c r="O592" s="1365">
        <f t="shared" si="562"/>
        <v>0</v>
      </c>
      <c r="P592" s="1365">
        <f t="shared" si="562"/>
        <v>0</v>
      </c>
      <c r="Q592" s="1365">
        <f t="shared" si="562"/>
        <v>0</v>
      </c>
      <c r="R592" s="1365">
        <f t="shared" si="562"/>
        <v>0</v>
      </c>
      <c r="S592" s="1365">
        <f t="shared" si="562"/>
        <v>0</v>
      </c>
      <c r="T592" s="1555">
        <f t="shared" si="546"/>
        <v>0</v>
      </c>
      <c r="U592" s="1554">
        <f t="shared" si="547"/>
        <v>0</v>
      </c>
      <c r="V592" s="1554">
        <f t="shared" si="552"/>
        <v>0</v>
      </c>
      <c r="W592" s="1554">
        <f t="shared" si="548"/>
        <v>0</v>
      </c>
      <c r="X592" s="1554">
        <f t="shared" si="553"/>
        <v>0</v>
      </c>
      <c r="Y592" s="1554">
        <f t="shared" si="553"/>
        <v>0</v>
      </c>
      <c r="Z592" s="1554">
        <f t="shared" si="553"/>
        <v>0</v>
      </c>
      <c r="AA592" s="1554">
        <f t="shared" si="553"/>
        <v>0</v>
      </c>
      <c r="AB592" s="1554">
        <f t="shared" si="549"/>
        <v>0</v>
      </c>
      <c r="AC592" s="1554">
        <f t="shared" si="549"/>
        <v>0</v>
      </c>
      <c r="AD592" s="1554">
        <f t="shared" si="549"/>
        <v>0</v>
      </c>
      <c r="AE592" s="1554">
        <f t="shared" si="549"/>
        <v>0</v>
      </c>
      <c r="AF592" s="1554">
        <f t="shared" si="549"/>
        <v>0</v>
      </c>
      <c r="AG592" s="1554">
        <f t="shared" si="549"/>
        <v>0</v>
      </c>
      <c r="AH592" s="1554">
        <f t="shared" si="554"/>
        <v>0</v>
      </c>
      <c r="AI592" s="1556">
        <f t="shared" si="550"/>
        <v>0</v>
      </c>
      <c r="AJ592" s="1556">
        <f t="shared" si="551"/>
        <v>0</v>
      </c>
      <c r="AL592" s="561"/>
      <c r="AM592" s="1526"/>
      <c r="AN592" s="1526"/>
      <c r="AO592" s="1526"/>
      <c r="AP592" s="1526"/>
      <c r="AQ592" s="1526"/>
      <c r="AR592" s="1526"/>
      <c r="AS592" s="1526"/>
      <c r="AT592" s="1526"/>
      <c r="AU592" s="1526"/>
      <c r="AV592" s="1526"/>
      <c r="AW592" s="1526"/>
      <c r="AX592" s="1526"/>
      <c r="AY592" s="1526"/>
      <c r="AZ592" s="1526"/>
      <c r="BA592" s="1526"/>
      <c r="BB592" s="1526"/>
      <c r="BC592" s="1526"/>
      <c r="BD592" s="1526"/>
      <c r="BE592" s="1526"/>
      <c r="BF592" s="1526"/>
      <c r="BG592" s="1526"/>
      <c r="BH592" s="1526"/>
    </row>
    <row r="593" spans="1:60" s="1525" customFormat="1">
      <c r="A593" s="1375">
        <v>5</v>
      </c>
      <c r="B593" s="1534" t="s">
        <v>2533</v>
      </c>
      <c r="C593" s="1365">
        <f t="shared" si="557"/>
        <v>0</v>
      </c>
      <c r="D593" s="1365"/>
      <c r="E593" s="1365"/>
      <c r="F593" s="1365">
        <f t="shared" si="558"/>
        <v>0</v>
      </c>
      <c r="G593" s="1553">
        <f t="shared" si="559"/>
        <v>0</v>
      </c>
      <c r="H593" s="1365">
        <f t="shared" si="560"/>
        <v>0</v>
      </c>
      <c r="I593" s="1553">
        <f t="shared" si="561"/>
        <v>0</v>
      </c>
      <c r="J593" s="1365">
        <f t="shared" si="562"/>
        <v>0</v>
      </c>
      <c r="K593" s="1365">
        <f t="shared" si="562"/>
        <v>0</v>
      </c>
      <c r="L593" s="1365">
        <f t="shared" si="562"/>
        <v>0</v>
      </c>
      <c r="M593" s="1365">
        <f t="shared" si="562"/>
        <v>0</v>
      </c>
      <c r="N593" s="1365">
        <f t="shared" si="562"/>
        <v>0</v>
      </c>
      <c r="O593" s="1365">
        <f t="shared" si="562"/>
        <v>0</v>
      </c>
      <c r="P593" s="1365">
        <f t="shared" si="562"/>
        <v>0</v>
      </c>
      <c r="Q593" s="1365">
        <f t="shared" si="562"/>
        <v>0</v>
      </c>
      <c r="R593" s="1365">
        <f t="shared" si="562"/>
        <v>0</v>
      </c>
      <c r="S593" s="1365">
        <f t="shared" si="562"/>
        <v>0</v>
      </c>
      <c r="T593" s="1555">
        <f t="shared" si="546"/>
        <v>0</v>
      </c>
      <c r="U593" s="1554">
        <f t="shared" si="547"/>
        <v>0</v>
      </c>
      <c r="V593" s="1554">
        <f t="shared" si="552"/>
        <v>0</v>
      </c>
      <c r="W593" s="1554">
        <f t="shared" si="548"/>
        <v>0</v>
      </c>
      <c r="X593" s="1554">
        <f t="shared" si="553"/>
        <v>0</v>
      </c>
      <c r="Y593" s="1554">
        <f t="shared" si="553"/>
        <v>0</v>
      </c>
      <c r="Z593" s="1554">
        <f t="shared" si="553"/>
        <v>0</v>
      </c>
      <c r="AA593" s="1554">
        <f t="shared" si="553"/>
        <v>0</v>
      </c>
      <c r="AB593" s="1554">
        <f t="shared" si="549"/>
        <v>0</v>
      </c>
      <c r="AC593" s="1554">
        <f t="shared" si="549"/>
        <v>0</v>
      </c>
      <c r="AD593" s="1554">
        <f t="shared" si="549"/>
        <v>0</v>
      </c>
      <c r="AE593" s="1554">
        <f t="shared" si="549"/>
        <v>0</v>
      </c>
      <c r="AF593" s="1554">
        <f t="shared" si="549"/>
        <v>0</v>
      </c>
      <c r="AG593" s="1554">
        <f t="shared" si="549"/>
        <v>0</v>
      </c>
      <c r="AH593" s="1554">
        <f t="shared" si="554"/>
        <v>0</v>
      </c>
      <c r="AI593" s="1556">
        <f t="shared" si="550"/>
        <v>0</v>
      </c>
      <c r="AJ593" s="1556">
        <f t="shared" si="551"/>
        <v>0</v>
      </c>
      <c r="AL593" s="561"/>
      <c r="AM593" s="1526"/>
      <c r="AN593" s="1526"/>
      <c r="AO593" s="1526"/>
      <c r="AP593" s="1526"/>
      <c r="AQ593" s="1526"/>
      <c r="AR593" s="1526"/>
      <c r="AS593" s="1526"/>
      <c r="AT593" s="1526"/>
      <c r="AU593" s="1526"/>
      <c r="AV593" s="1526"/>
      <c r="AW593" s="1526"/>
      <c r="AX593" s="1526"/>
      <c r="AY593" s="1526"/>
      <c r="AZ593" s="1526"/>
      <c r="BA593" s="1526"/>
      <c r="BB593" s="1526"/>
      <c r="BC593" s="1526"/>
      <c r="BD593" s="1526"/>
      <c r="BE593" s="1526"/>
      <c r="BF593" s="1526"/>
      <c r="BG593" s="1526"/>
      <c r="BH593" s="1526"/>
    </row>
    <row r="594" spans="1:60" s="1525" customFormat="1">
      <c r="A594" s="1375">
        <v>6</v>
      </c>
      <c r="B594" s="1534" t="s">
        <v>2534</v>
      </c>
      <c r="C594" s="1365">
        <f t="shared" si="557"/>
        <v>0</v>
      </c>
      <c r="D594" s="1365"/>
      <c r="E594" s="1365"/>
      <c r="F594" s="1365">
        <f t="shared" si="558"/>
        <v>0</v>
      </c>
      <c r="G594" s="1553">
        <f t="shared" si="559"/>
        <v>0</v>
      </c>
      <c r="H594" s="1365">
        <f t="shared" si="560"/>
        <v>0</v>
      </c>
      <c r="I594" s="1553">
        <f t="shared" si="561"/>
        <v>0</v>
      </c>
      <c r="J594" s="1365">
        <f t="shared" si="562"/>
        <v>0</v>
      </c>
      <c r="K594" s="1365">
        <f t="shared" si="562"/>
        <v>0</v>
      </c>
      <c r="L594" s="1365">
        <f t="shared" si="562"/>
        <v>0</v>
      </c>
      <c r="M594" s="1365">
        <f t="shared" si="562"/>
        <v>0</v>
      </c>
      <c r="N594" s="1365">
        <f t="shared" si="562"/>
        <v>0</v>
      </c>
      <c r="O594" s="1365">
        <f t="shared" si="562"/>
        <v>0</v>
      </c>
      <c r="P594" s="1365">
        <f t="shared" si="562"/>
        <v>0</v>
      </c>
      <c r="Q594" s="1365">
        <f t="shared" si="562"/>
        <v>0</v>
      </c>
      <c r="R594" s="1365">
        <f t="shared" si="562"/>
        <v>0</v>
      </c>
      <c r="S594" s="1365">
        <f t="shared" si="562"/>
        <v>0</v>
      </c>
      <c r="T594" s="1555">
        <f t="shared" si="546"/>
        <v>0</v>
      </c>
      <c r="U594" s="1554">
        <f t="shared" si="547"/>
        <v>0</v>
      </c>
      <c r="V594" s="1554">
        <f t="shared" si="552"/>
        <v>0</v>
      </c>
      <c r="W594" s="1554">
        <f t="shared" si="548"/>
        <v>0</v>
      </c>
      <c r="X594" s="1554">
        <f t="shared" si="553"/>
        <v>0</v>
      </c>
      <c r="Y594" s="1554">
        <f t="shared" si="553"/>
        <v>0</v>
      </c>
      <c r="Z594" s="1554">
        <f t="shared" si="553"/>
        <v>0</v>
      </c>
      <c r="AA594" s="1554">
        <f t="shared" si="553"/>
        <v>0</v>
      </c>
      <c r="AB594" s="1554">
        <f t="shared" si="549"/>
        <v>0</v>
      </c>
      <c r="AC594" s="1554">
        <f t="shared" si="549"/>
        <v>0</v>
      </c>
      <c r="AD594" s="1554">
        <f t="shared" si="549"/>
        <v>0</v>
      </c>
      <c r="AE594" s="1554">
        <f t="shared" si="549"/>
        <v>0</v>
      </c>
      <c r="AF594" s="1554">
        <f t="shared" si="549"/>
        <v>0</v>
      </c>
      <c r="AG594" s="1554">
        <f t="shared" si="549"/>
        <v>0</v>
      </c>
      <c r="AH594" s="1554">
        <f t="shared" si="554"/>
        <v>0</v>
      </c>
      <c r="AI594" s="1556">
        <f t="shared" si="550"/>
        <v>0</v>
      </c>
      <c r="AJ594" s="1556">
        <f t="shared" si="551"/>
        <v>0</v>
      </c>
      <c r="AL594" s="561"/>
      <c r="AM594" s="1526"/>
      <c r="AN594" s="1526"/>
      <c r="AO594" s="1526"/>
      <c r="AP594" s="1526"/>
      <c r="AQ594" s="1526"/>
      <c r="AR594" s="1526"/>
      <c r="AS594" s="1526"/>
      <c r="AT594" s="1526"/>
      <c r="AU594" s="1526"/>
      <c r="AV594" s="1526"/>
      <c r="AW594" s="1526"/>
      <c r="AX594" s="1526"/>
      <c r="AY594" s="1526"/>
      <c r="AZ594" s="1526"/>
      <c r="BA594" s="1526"/>
      <c r="BB594" s="1526"/>
      <c r="BC594" s="1526"/>
      <c r="BD594" s="1526"/>
      <c r="BE594" s="1526"/>
      <c r="BF594" s="1526"/>
      <c r="BG594" s="1526"/>
      <c r="BH594" s="1526"/>
    </row>
    <row r="595" spans="1:60" s="1525" customFormat="1">
      <c r="A595" s="1375">
        <v>7</v>
      </c>
      <c r="B595" s="1534" t="s">
        <v>2535</v>
      </c>
      <c r="C595" s="1365">
        <f t="shared" si="557"/>
        <v>0</v>
      </c>
      <c r="D595" s="1365"/>
      <c r="E595" s="1365"/>
      <c r="F595" s="1365">
        <f t="shared" si="558"/>
        <v>0</v>
      </c>
      <c r="G595" s="1553">
        <f t="shared" si="559"/>
        <v>0</v>
      </c>
      <c r="H595" s="1365">
        <f t="shared" si="560"/>
        <v>0</v>
      </c>
      <c r="I595" s="1553">
        <f t="shared" si="561"/>
        <v>0</v>
      </c>
      <c r="J595" s="1365">
        <f t="shared" si="562"/>
        <v>0</v>
      </c>
      <c r="K595" s="1365">
        <f t="shared" si="562"/>
        <v>0</v>
      </c>
      <c r="L595" s="1365">
        <f t="shared" si="562"/>
        <v>0</v>
      </c>
      <c r="M595" s="1365">
        <f t="shared" si="562"/>
        <v>0</v>
      </c>
      <c r="N595" s="1365">
        <f t="shared" si="562"/>
        <v>0</v>
      </c>
      <c r="O595" s="1365">
        <f t="shared" si="562"/>
        <v>0</v>
      </c>
      <c r="P595" s="1365">
        <f t="shared" si="562"/>
        <v>0</v>
      </c>
      <c r="Q595" s="1365">
        <f t="shared" si="562"/>
        <v>0</v>
      </c>
      <c r="R595" s="1365">
        <f t="shared" si="562"/>
        <v>0</v>
      </c>
      <c r="S595" s="1365">
        <f t="shared" si="562"/>
        <v>0</v>
      </c>
      <c r="T595" s="1555">
        <f t="shared" si="546"/>
        <v>0</v>
      </c>
      <c r="U595" s="1554">
        <f t="shared" si="547"/>
        <v>0</v>
      </c>
      <c r="V595" s="1554">
        <f t="shared" si="552"/>
        <v>0</v>
      </c>
      <c r="W595" s="1554">
        <f t="shared" si="548"/>
        <v>0</v>
      </c>
      <c r="X595" s="1554">
        <f t="shared" si="553"/>
        <v>0</v>
      </c>
      <c r="Y595" s="1554">
        <f t="shared" si="553"/>
        <v>0</v>
      </c>
      <c r="Z595" s="1554">
        <f t="shared" si="553"/>
        <v>0</v>
      </c>
      <c r="AA595" s="1554">
        <f t="shared" si="553"/>
        <v>0</v>
      </c>
      <c r="AB595" s="1554">
        <f t="shared" si="549"/>
        <v>0</v>
      </c>
      <c r="AC595" s="1554">
        <f t="shared" si="549"/>
        <v>0</v>
      </c>
      <c r="AD595" s="1554">
        <f t="shared" si="549"/>
        <v>0</v>
      </c>
      <c r="AE595" s="1554">
        <f t="shared" si="549"/>
        <v>0</v>
      </c>
      <c r="AF595" s="1554">
        <f t="shared" si="549"/>
        <v>0</v>
      </c>
      <c r="AG595" s="1554">
        <f t="shared" si="549"/>
        <v>0</v>
      </c>
      <c r="AH595" s="1554">
        <f t="shared" si="554"/>
        <v>0</v>
      </c>
      <c r="AI595" s="1556">
        <f t="shared" si="550"/>
        <v>0</v>
      </c>
      <c r="AJ595" s="1556">
        <f t="shared" si="551"/>
        <v>0</v>
      </c>
      <c r="AL595" s="561"/>
      <c r="AM595" s="1526"/>
      <c r="AN595" s="1526"/>
      <c r="AO595" s="1526"/>
      <c r="AP595" s="1526"/>
      <c r="AQ595" s="1526"/>
      <c r="AR595" s="1526"/>
      <c r="AS595" s="1526"/>
      <c r="AT595" s="1526"/>
      <c r="AU595" s="1526"/>
      <c r="AV595" s="1526"/>
      <c r="AW595" s="1526"/>
      <c r="AX595" s="1526"/>
      <c r="AY595" s="1526"/>
      <c r="AZ595" s="1526"/>
      <c r="BA595" s="1526"/>
      <c r="BB595" s="1526"/>
      <c r="BC595" s="1526"/>
      <c r="BD595" s="1526"/>
      <c r="BE595" s="1526"/>
      <c r="BF595" s="1526"/>
      <c r="BG595" s="1526"/>
      <c r="BH595" s="1526"/>
    </row>
    <row r="596" spans="1:60" s="1525" customFormat="1">
      <c r="A596" s="1375">
        <v>8</v>
      </c>
      <c r="B596" s="1536" t="s">
        <v>2536</v>
      </c>
      <c r="C596" s="1365">
        <f t="shared" si="557"/>
        <v>0</v>
      </c>
      <c r="D596" s="1365"/>
      <c r="E596" s="1365"/>
      <c r="F596" s="1365">
        <f t="shared" si="558"/>
        <v>0</v>
      </c>
      <c r="G596" s="1553">
        <f t="shared" si="559"/>
        <v>0</v>
      </c>
      <c r="H596" s="1365">
        <f t="shared" si="560"/>
        <v>0</v>
      </c>
      <c r="I596" s="1553">
        <f t="shared" si="561"/>
        <v>0</v>
      </c>
      <c r="J596" s="1365">
        <f t="shared" si="562"/>
        <v>0</v>
      </c>
      <c r="K596" s="1365">
        <f t="shared" si="562"/>
        <v>0</v>
      </c>
      <c r="L596" s="1365">
        <f t="shared" si="562"/>
        <v>0</v>
      </c>
      <c r="M596" s="1365">
        <f t="shared" si="562"/>
        <v>0</v>
      </c>
      <c r="N596" s="1365">
        <f t="shared" si="562"/>
        <v>0</v>
      </c>
      <c r="O596" s="1365">
        <f t="shared" si="562"/>
        <v>0</v>
      </c>
      <c r="P596" s="1365">
        <f t="shared" si="562"/>
        <v>0</v>
      </c>
      <c r="Q596" s="1365">
        <f t="shared" si="562"/>
        <v>0</v>
      </c>
      <c r="R596" s="1365">
        <f t="shared" si="562"/>
        <v>0</v>
      </c>
      <c r="S596" s="1365">
        <f t="shared" si="562"/>
        <v>0</v>
      </c>
      <c r="T596" s="1555">
        <f t="shared" si="546"/>
        <v>0</v>
      </c>
      <c r="U596" s="1554">
        <f t="shared" si="547"/>
        <v>0</v>
      </c>
      <c r="V596" s="1554">
        <f t="shared" si="552"/>
        <v>0</v>
      </c>
      <c r="W596" s="1554">
        <f t="shared" si="548"/>
        <v>0</v>
      </c>
      <c r="X596" s="1554">
        <f t="shared" si="553"/>
        <v>0</v>
      </c>
      <c r="Y596" s="1554">
        <f t="shared" si="553"/>
        <v>0</v>
      </c>
      <c r="Z596" s="1554">
        <f t="shared" si="553"/>
        <v>0</v>
      </c>
      <c r="AA596" s="1554">
        <f t="shared" si="553"/>
        <v>0</v>
      </c>
      <c r="AB596" s="1554">
        <f t="shared" si="549"/>
        <v>0</v>
      </c>
      <c r="AC596" s="1554">
        <f t="shared" si="549"/>
        <v>0</v>
      </c>
      <c r="AD596" s="1554">
        <f t="shared" si="549"/>
        <v>0</v>
      </c>
      <c r="AE596" s="1554">
        <f t="shared" si="549"/>
        <v>0</v>
      </c>
      <c r="AF596" s="1554">
        <f t="shared" si="549"/>
        <v>0</v>
      </c>
      <c r="AG596" s="1554">
        <f t="shared" si="549"/>
        <v>0</v>
      </c>
      <c r="AH596" s="1554">
        <f t="shared" si="554"/>
        <v>0</v>
      </c>
      <c r="AI596" s="1556">
        <f t="shared" si="550"/>
        <v>0</v>
      </c>
      <c r="AJ596" s="1556">
        <f t="shared" si="551"/>
        <v>0</v>
      </c>
      <c r="AL596" s="561"/>
      <c r="AM596" s="1526"/>
      <c r="AN596" s="1526"/>
      <c r="AO596" s="1526"/>
      <c r="AP596" s="1526"/>
      <c r="AQ596" s="1526"/>
      <c r="AR596" s="1526"/>
      <c r="AS596" s="1526"/>
      <c r="AT596" s="1526"/>
      <c r="AU596" s="1526"/>
      <c r="AV596" s="1526"/>
      <c r="AW596" s="1526"/>
      <c r="AX596" s="1526"/>
      <c r="AY596" s="1526"/>
      <c r="AZ596" s="1526"/>
      <c r="BA596" s="1526"/>
      <c r="BB596" s="1526"/>
      <c r="BC596" s="1526"/>
      <c r="BD596" s="1526"/>
      <c r="BE596" s="1526"/>
      <c r="BF596" s="1526"/>
      <c r="BG596" s="1526"/>
      <c r="BH596" s="1526"/>
    </row>
    <row r="597" spans="1:60" s="1525" customFormat="1">
      <c r="A597" s="1375">
        <v>9</v>
      </c>
      <c r="B597" s="1536" t="s">
        <v>2537</v>
      </c>
      <c r="C597" s="1365">
        <f t="shared" si="557"/>
        <v>0</v>
      </c>
      <c r="D597" s="1365"/>
      <c r="E597" s="1365"/>
      <c r="F597" s="1365">
        <f t="shared" si="558"/>
        <v>0</v>
      </c>
      <c r="G597" s="1553">
        <f t="shared" si="559"/>
        <v>0</v>
      </c>
      <c r="H597" s="1365">
        <f t="shared" si="560"/>
        <v>0</v>
      </c>
      <c r="I597" s="1553">
        <f t="shared" si="561"/>
        <v>0</v>
      </c>
      <c r="J597" s="1365">
        <f t="shared" si="562"/>
        <v>0</v>
      </c>
      <c r="K597" s="1365">
        <f t="shared" si="562"/>
        <v>0</v>
      </c>
      <c r="L597" s="1365">
        <f t="shared" si="562"/>
        <v>0</v>
      </c>
      <c r="M597" s="1365">
        <f t="shared" si="562"/>
        <v>0</v>
      </c>
      <c r="N597" s="1365">
        <f t="shared" si="562"/>
        <v>0</v>
      </c>
      <c r="O597" s="1365">
        <f t="shared" si="562"/>
        <v>0</v>
      </c>
      <c r="P597" s="1365">
        <f t="shared" si="562"/>
        <v>0</v>
      </c>
      <c r="Q597" s="1365">
        <f t="shared" si="562"/>
        <v>0</v>
      </c>
      <c r="R597" s="1365">
        <f t="shared" si="562"/>
        <v>0</v>
      </c>
      <c r="S597" s="1365">
        <f t="shared" si="562"/>
        <v>0</v>
      </c>
      <c r="T597" s="1555">
        <f t="shared" si="546"/>
        <v>0</v>
      </c>
      <c r="U597" s="1554">
        <f t="shared" si="547"/>
        <v>0</v>
      </c>
      <c r="V597" s="1554">
        <f t="shared" si="552"/>
        <v>0</v>
      </c>
      <c r="W597" s="1554">
        <f t="shared" si="548"/>
        <v>0</v>
      </c>
      <c r="X597" s="1554">
        <f t="shared" si="553"/>
        <v>0</v>
      </c>
      <c r="Y597" s="1554">
        <f t="shared" si="553"/>
        <v>0</v>
      </c>
      <c r="Z597" s="1554">
        <f t="shared" si="553"/>
        <v>0</v>
      </c>
      <c r="AA597" s="1554">
        <f t="shared" si="553"/>
        <v>0</v>
      </c>
      <c r="AB597" s="1554">
        <f t="shared" si="549"/>
        <v>0</v>
      </c>
      <c r="AC597" s="1554">
        <f t="shared" si="549"/>
        <v>0</v>
      </c>
      <c r="AD597" s="1554">
        <f t="shared" si="549"/>
        <v>0</v>
      </c>
      <c r="AE597" s="1554">
        <f t="shared" si="549"/>
        <v>0</v>
      </c>
      <c r="AF597" s="1554">
        <f t="shared" si="549"/>
        <v>0</v>
      </c>
      <c r="AG597" s="1554">
        <f t="shared" si="549"/>
        <v>0</v>
      </c>
      <c r="AH597" s="1554">
        <f t="shared" si="554"/>
        <v>0</v>
      </c>
      <c r="AI597" s="1556">
        <f t="shared" si="550"/>
        <v>0</v>
      </c>
      <c r="AJ597" s="1556">
        <f t="shared" si="551"/>
        <v>0</v>
      </c>
      <c r="AL597" s="561"/>
      <c r="AM597" s="1526"/>
      <c r="AN597" s="1526"/>
      <c r="AO597" s="1526"/>
      <c r="AP597" s="1526"/>
      <c r="AQ597" s="1526"/>
      <c r="AR597" s="1526"/>
      <c r="AS597" s="1526"/>
      <c r="AT597" s="1526"/>
      <c r="AU597" s="1526"/>
      <c r="AV597" s="1526"/>
      <c r="AW597" s="1526"/>
      <c r="AX597" s="1526"/>
      <c r="AY597" s="1526"/>
      <c r="AZ597" s="1526"/>
      <c r="BA597" s="1526"/>
      <c r="BB597" s="1526"/>
      <c r="BC597" s="1526"/>
      <c r="BD597" s="1526"/>
      <c r="BE597" s="1526"/>
      <c r="BF597" s="1526"/>
      <c r="BG597" s="1526"/>
      <c r="BH597" s="1526"/>
    </row>
    <row r="598" spans="1:60" s="1525" customFormat="1">
      <c r="A598" s="1375">
        <v>10</v>
      </c>
      <c r="B598" s="1534" t="s">
        <v>2492</v>
      </c>
      <c r="C598" s="1555">
        <f>SUM(C599:C601)</f>
        <v>0</v>
      </c>
      <c r="D598" s="1555"/>
      <c r="E598" s="1555"/>
      <c r="F598" s="1555">
        <f t="shared" ref="F598:S598" si="563">SUM(F599:F601)</f>
        <v>0</v>
      </c>
      <c r="G598" s="1555">
        <f t="shared" si="563"/>
        <v>0</v>
      </c>
      <c r="H598" s="1555">
        <f t="shared" si="563"/>
        <v>0</v>
      </c>
      <c r="I598" s="1555">
        <f t="shared" si="563"/>
        <v>0</v>
      </c>
      <c r="J598" s="1555">
        <f t="shared" si="563"/>
        <v>0</v>
      </c>
      <c r="K598" s="1555">
        <f t="shared" si="563"/>
        <v>0</v>
      </c>
      <c r="L598" s="1555">
        <f t="shared" si="563"/>
        <v>0</v>
      </c>
      <c r="M598" s="1555">
        <f t="shared" si="563"/>
        <v>0</v>
      </c>
      <c r="N598" s="1555">
        <f t="shared" si="563"/>
        <v>0</v>
      </c>
      <c r="O598" s="1555">
        <f t="shared" si="563"/>
        <v>0</v>
      </c>
      <c r="P598" s="1555">
        <f t="shared" si="563"/>
        <v>0</v>
      </c>
      <c r="Q598" s="1555">
        <f t="shared" si="563"/>
        <v>0</v>
      </c>
      <c r="R598" s="1555">
        <f t="shared" si="563"/>
        <v>0</v>
      </c>
      <c r="S598" s="1555">
        <f t="shared" si="563"/>
        <v>0</v>
      </c>
      <c r="T598" s="1555">
        <f>SUM(T599:T601)</f>
        <v>0</v>
      </c>
      <c r="U598" s="1556">
        <f t="shared" ref="U598" si="564">SUM(U599:U601)</f>
        <v>0</v>
      </c>
      <c r="V598" s="1554">
        <f t="shared" si="552"/>
        <v>0</v>
      </c>
      <c r="W598" s="1554">
        <f t="shared" si="548"/>
        <v>0</v>
      </c>
      <c r="X598" s="1554">
        <f t="shared" si="553"/>
        <v>0</v>
      </c>
      <c r="Y598" s="1554">
        <f t="shared" si="553"/>
        <v>0</v>
      </c>
      <c r="Z598" s="1554">
        <f t="shared" si="553"/>
        <v>0</v>
      </c>
      <c r="AA598" s="1554">
        <f t="shared" si="553"/>
        <v>0</v>
      </c>
      <c r="AB598" s="1554">
        <f t="shared" si="549"/>
        <v>0</v>
      </c>
      <c r="AC598" s="1554">
        <f t="shared" si="549"/>
        <v>0</v>
      </c>
      <c r="AD598" s="1554">
        <f t="shared" si="549"/>
        <v>0</v>
      </c>
      <c r="AE598" s="1554">
        <f t="shared" si="549"/>
        <v>0</v>
      </c>
      <c r="AF598" s="1554">
        <f t="shared" si="549"/>
        <v>0</v>
      </c>
      <c r="AG598" s="1554">
        <f t="shared" si="549"/>
        <v>0</v>
      </c>
      <c r="AH598" s="1556">
        <f t="shared" ref="AH598:AJ598" si="565">SUM(AH599:AH601)</f>
        <v>0</v>
      </c>
      <c r="AI598" s="1556">
        <f t="shared" si="565"/>
        <v>0</v>
      </c>
      <c r="AJ598" s="1556">
        <f t="shared" si="565"/>
        <v>0</v>
      </c>
      <c r="AL598" s="561"/>
      <c r="AM598" s="1526"/>
      <c r="AN598" s="1526"/>
      <c r="AO598" s="1526"/>
      <c r="AP598" s="1526"/>
      <c r="AQ598" s="1526"/>
      <c r="AR598" s="1526"/>
      <c r="AS598" s="1526"/>
      <c r="AT598" s="1526"/>
      <c r="AU598" s="1526"/>
      <c r="AV598" s="1526"/>
      <c r="AW598" s="1526"/>
      <c r="AX598" s="1526"/>
      <c r="AY598" s="1526"/>
      <c r="AZ598" s="1526"/>
      <c r="BA598" s="1526"/>
      <c r="BB598" s="1526"/>
      <c r="BC598" s="1526"/>
      <c r="BD598" s="1526"/>
      <c r="BE598" s="1526"/>
      <c r="BF598" s="1526"/>
      <c r="BG598" s="1526"/>
      <c r="BH598" s="1526"/>
    </row>
    <row r="599" spans="1:60" s="1525" customFormat="1">
      <c r="A599" s="1499"/>
      <c r="B599" s="1535" t="s">
        <v>2538</v>
      </c>
      <c r="C599" s="1368">
        <f>SUM(C631,C661,C692,C722,C752,C804,C834,C864,C894)</f>
        <v>0</v>
      </c>
      <c r="D599" s="1368"/>
      <c r="E599" s="1368"/>
      <c r="F599" s="1368">
        <f>SUM(F631,F661,F692,F722,F752,F804,F834,F864,F894)</f>
        <v>0</v>
      </c>
      <c r="G599" s="1557">
        <f t="shared" ref="G599:G603" si="566">H599+I599+T599</f>
        <v>0</v>
      </c>
      <c r="H599" s="1368">
        <f>SUM(H631,H661,H692,H722,H752,H804,H834,H864,H894)</f>
        <v>0</v>
      </c>
      <c r="I599" s="1557">
        <f t="shared" ref="I599:I603" si="567">SUM(J599:S599)</f>
        <v>0</v>
      </c>
      <c r="J599" s="1368">
        <f t="shared" ref="J599:S599" si="568">SUM(J631,J661,J692,J722,J752,J804,J834,J864,J894)</f>
        <v>0</v>
      </c>
      <c r="K599" s="1368">
        <f t="shared" si="568"/>
        <v>0</v>
      </c>
      <c r="L599" s="1368">
        <f t="shared" si="568"/>
        <v>0</v>
      </c>
      <c r="M599" s="1368">
        <f t="shared" si="568"/>
        <v>0</v>
      </c>
      <c r="N599" s="1368">
        <f t="shared" si="568"/>
        <v>0</v>
      </c>
      <c r="O599" s="1368">
        <f t="shared" si="568"/>
        <v>0</v>
      </c>
      <c r="P599" s="1368">
        <f t="shared" si="568"/>
        <v>0</v>
      </c>
      <c r="Q599" s="1368">
        <f t="shared" si="568"/>
        <v>0</v>
      </c>
      <c r="R599" s="1368">
        <f t="shared" si="568"/>
        <v>0</v>
      </c>
      <c r="S599" s="1368">
        <f t="shared" si="568"/>
        <v>0</v>
      </c>
      <c r="T599" s="1558">
        <f>(H599+K599+L599+R599)*22.5%</f>
        <v>0</v>
      </c>
      <c r="U599" s="1559">
        <f t="shared" ref="U599:U603" si="569">V599+W599+AH599</f>
        <v>0</v>
      </c>
      <c r="V599" s="1554">
        <f t="shared" si="552"/>
        <v>0</v>
      </c>
      <c r="W599" s="1554">
        <f t="shared" si="548"/>
        <v>0</v>
      </c>
      <c r="X599" s="1554">
        <f t="shared" si="553"/>
        <v>0</v>
      </c>
      <c r="Y599" s="1554">
        <f t="shared" si="553"/>
        <v>0</v>
      </c>
      <c r="Z599" s="1554">
        <f t="shared" si="553"/>
        <v>0</v>
      </c>
      <c r="AA599" s="1554">
        <f t="shared" si="553"/>
        <v>0</v>
      </c>
      <c r="AB599" s="1554">
        <f t="shared" si="549"/>
        <v>0</v>
      </c>
      <c r="AC599" s="1554">
        <f t="shared" si="549"/>
        <v>0</v>
      </c>
      <c r="AD599" s="1554">
        <f t="shared" si="549"/>
        <v>0</v>
      </c>
      <c r="AE599" s="1554">
        <f t="shared" si="549"/>
        <v>0</v>
      </c>
      <c r="AF599" s="1554">
        <f t="shared" si="549"/>
        <v>0</v>
      </c>
      <c r="AG599" s="1554">
        <f t="shared" si="549"/>
        <v>0</v>
      </c>
      <c r="AH599" s="1560">
        <f>(V599+Y599+Z599+AF599)*22.5%</f>
        <v>0</v>
      </c>
      <c r="AI599" s="1561">
        <f t="shared" ref="AI599:AI602" si="570">U599-G599</f>
        <v>0</v>
      </c>
      <c r="AJ599" s="1561">
        <f t="shared" ref="AJ599:AJ602" si="571">AI599*6</f>
        <v>0</v>
      </c>
      <c r="AL599" s="561"/>
      <c r="AM599" s="1526"/>
      <c r="AN599" s="1526"/>
      <c r="AO599" s="1526"/>
      <c r="AP599" s="1526"/>
      <c r="AQ599" s="1526"/>
      <c r="AR599" s="1526"/>
      <c r="AS599" s="1526"/>
      <c r="AT599" s="1526"/>
      <c r="AU599" s="1526"/>
      <c r="AV599" s="1526"/>
      <c r="AW599" s="1526"/>
      <c r="AX599" s="1526"/>
      <c r="AY599" s="1526"/>
      <c r="AZ599" s="1526"/>
      <c r="BA599" s="1526"/>
      <c r="BB599" s="1526"/>
      <c r="BC599" s="1526"/>
      <c r="BD599" s="1526"/>
      <c r="BE599" s="1526"/>
      <c r="BF599" s="1526"/>
      <c r="BG599" s="1526"/>
      <c r="BH599" s="1526"/>
    </row>
    <row r="600" spans="1:60" s="1525" customFormat="1">
      <c r="A600" s="1499"/>
      <c r="B600" s="1535" t="s">
        <v>2539</v>
      </c>
      <c r="C600" s="1368">
        <f>SUM(C632,C662,C693,C723,C763,C805,C835,C865,C895)</f>
        <v>0</v>
      </c>
      <c r="D600" s="1368"/>
      <c r="E600" s="1368"/>
      <c r="F600" s="1368">
        <f>SUM(F632,F662,F693,F723,F763,F805,F835,F865,F895)</f>
        <v>0</v>
      </c>
      <c r="G600" s="1557">
        <f t="shared" si="566"/>
        <v>0</v>
      </c>
      <c r="H600" s="1368">
        <f>SUM(H632,H662,H693,H723,H763,H805,H835,H865,H895)</f>
        <v>0</v>
      </c>
      <c r="I600" s="1557">
        <f t="shared" si="567"/>
        <v>0</v>
      </c>
      <c r="J600" s="1368">
        <f t="shared" ref="J600:S600" si="572">SUM(J632,J662,J693,J723,J763,J805,J835,J865,J895)</f>
        <v>0</v>
      </c>
      <c r="K600" s="1368">
        <f t="shared" si="572"/>
        <v>0</v>
      </c>
      <c r="L600" s="1368">
        <f t="shared" si="572"/>
        <v>0</v>
      </c>
      <c r="M600" s="1368">
        <f t="shared" si="572"/>
        <v>0</v>
      </c>
      <c r="N600" s="1368">
        <f t="shared" si="572"/>
        <v>0</v>
      </c>
      <c r="O600" s="1368">
        <f t="shared" si="572"/>
        <v>0</v>
      </c>
      <c r="P600" s="1368">
        <f t="shared" si="572"/>
        <v>0</v>
      </c>
      <c r="Q600" s="1368">
        <f t="shared" si="572"/>
        <v>0</v>
      </c>
      <c r="R600" s="1368">
        <f t="shared" si="572"/>
        <v>0</v>
      </c>
      <c r="S600" s="1368">
        <f t="shared" si="572"/>
        <v>0</v>
      </c>
      <c r="T600" s="1558">
        <f>(H600+K600+L600+R600)*22.5%</f>
        <v>0</v>
      </c>
      <c r="U600" s="1559">
        <f t="shared" si="569"/>
        <v>0</v>
      </c>
      <c r="V600" s="1554">
        <f t="shared" si="552"/>
        <v>0</v>
      </c>
      <c r="W600" s="1554">
        <f t="shared" si="548"/>
        <v>0</v>
      </c>
      <c r="X600" s="1554">
        <f t="shared" si="553"/>
        <v>0</v>
      </c>
      <c r="Y600" s="1554">
        <f t="shared" si="553"/>
        <v>0</v>
      </c>
      <c r="Z600" s="1554">
        <f t="shared" si="553"/>
        <v>0</v>
      </c>
      <c r="AA600" s="1554">
        <f t="shared" si="553"/>
        <v>0</v>
      </c>
      <c r="AB600" s="1554">
        <f t="shared" si="549"/>
        <v>0</v>
      </c>
      <c r="AC600" s="1554">
        <f t="shared" si="549"/>
        <v>0</v>
      </c>
      <c r="AD600" s="1554">
        <f t="shared" si="549"/>
        <v>0</v>
      </c>
      <c r="AE600" s="1554">
        <f t="shared" si="549"/>
        <v>0</v>
      </c>
      <c r="AF600" s="1554">
        <f t="shared" si="549"/>
        <v>0</v>
      </c>
      <c r="AG600" s="1554">
        <f t="shared" si="549"/>
        <v>0</v>
      </c>
      <c r="AH600" s="1560">
        <f>(V600+Y600+Z600+AF600)*22.5%</f>
        <v>0</v>
      </c>
      <c r="AI600" s="1561">
        <f t="shared" si="570"/>
        <v>0</v>
      </c>
      <c r="AJ600" s="1561">
        <f t="shared" si="571"/>
        <v>0</v>
      </c>
      <c r="AL600" s="561"/>
      <c r="AM600" s="1526"/>
      <c r="AN600" s="1526"/>
      <c r="AO600" s="1526"/>
      <c r="AP600" s="1526"/>
      <c r="AQ600" s="1526"/>
      <c r="AR600" s="1526"/>
      <c r="AS600" s="1526"/>
      <c r="AT600" s="1526"/>
      <c r="AU600" s="1526"/>
      <c r="AV600" s="1526"/>
      <c r="AW600" s="1526"/>
      <c r="AX600" s="1526"/>
      <c r="AY600" s="1526"/>
      <c r="AZ600" s="1526"/>
      <c r="BA600" s="1526"/>
      <c r="BB600" s="1526"/>
      <c r="BC600" s="1526"/>
      <c r="BD600" s="1526"/>
      <c r="BE600" s="1526"/>
      <c r="BF600" s="1526"/>
      <c r="BG600" s="1526"/>
      <c r="BH600" s="1526"/>
    </row>
    <row r="601" spans="1:60" s="1525" customFormat="1">
      <c r="A601" s="1499"/>
      <c r="B601" s="1535" t="s">
        <v>2540</v>
      </c>
      <c r="C601" s="1368">
        <f>SUM(C633,C663,C694,C724,C769,C806,C836,C866,C896)</f>
        <v>0</v>
      </c>
      <c r="D601" s="1368"/>
      <c r="E601" s="1368"/>
      <c r="F601" s="1368">
        <f>SUM(F633,F663,F694,F724,F769,F806,F836,F866,F896)</f>
        <v>0</v>
      </c>
      <c r="G601" s="1557">
        <f t="shared" si="566"/>
        <v>0</v>
      </c>
      <c r="H601" s="1368">
        <f>SUM(H633,H663,H694,H724,H769,H806,H836,H866,H896)</f>
        <v>0</v>
      </c>
      <c r="I601" s="1557">
        <f t="shared" si="567"/>
        <v>0</v>
      </c>
      <c r="J601" s="1368">
        <f t="shared" ref="J601:S602" si="573">SUM(J633,J663,J694,J724,J769,J806,J836,J866,J896)</f>
        <v>0</v>
      </c>
      <c r="K601" s="1368">
        <f t="shared" si="573"/>
        <v>0</v>
      </c>
      <c r="L601" s="1368">
        <f t="shared" si="573"/>
        <v>0</v>
      </c>
      <c r="M601" s="1368">
        <f t="shared" si="573"/>
        <v>0</v>
      </c>
      <c r="N601" s="1368">
        <f t="shared" si="573"/>
        <v>0</v>
      </c>
      <c r="O601" s="1368">
        <f t="shared" si="573"/>
        <v>0</v>
      </c>
      <c r="P601" s="1368">
        <f t="shared" si="573"/>
        <v>0</v>
      </c>
      <c r="Q601" s="1368">
        <f t="shared" si="573"/>
        <v>0</v>
      </c>
      <c r="R601" s="1368">
        <f t="shared" si="573"/>
        <v>0</v>
      </c>
      <c r="S601" s="1368">
        <f t="shared" si="573"/>
        <v>0</v>
      </c>
      <c r="T601" s="1558">
        <f>(H601+K601+L601+R601)*22.5%</f>
        <v>0</v>
      </c>
      <c r="U601" s="1559">
        <f t="shared" si="569"/>
        <v>0</v>
      </c>
      <c r="V601" s="1554">
        <f t="shared" si="552"/>
        <v>0</v>
      </c>
      <c r="W601" s="1554">
        <f t="shared" si="548"/>
        <v>0</v>
      </c>
      <c r="X601" s="1554">
        <f t="shared" si="553"/>
        <v>0</v>
      </c>
      <c r="Y601" s="1554">
        <f t="shared" si="553"/>
        <v>0</v>
      </c>
      <c r="Z601" s="1554">
        <f t="shared" si="553"/>
        <v>0</v>
      </c>
      <c r="AA601" s="1554">
        <f t="shared" si="553"/>
        <v>0</v>
      </c>
      <c r="AB601" s="1554">
        <f t="shared" si="549"/>
        <v>0</v>
      </c>
      <c r="AC601" s="1554">
        <f t="shared" si="549"/>
        <v>0</v>
      </c>
      <c r="AD601" s="1554">
        <f t="shared" si="549"/>
        <v>0</v>
      </c>
      <c r="AE601" s="1554">
        <f t="shared" si="549"/>
        <v>0</v>
      </c>
      <c r="AF601" s="1554">
        <f t="shared" si="549"/>
        <v>0</v>
      </c>
      <c r="AG601" s="1554">
        <f t="shared" si="549"/>
        <v>0</v>
      </c>
      <c r="AH601" s="1560">
        <f>(V601+Y601+Z601+AF601)*22.5%</f>
        <v>0</v>
      </c>
      <c r="AI601" s="1561">
        <f t="shared" si="570"/>
        <v>0</v>
      </c>
      <c r="AJ601" s="1561">
        <f t="shared" si="571"/>
        <v>0</v>
      </c>
      <c r="AL601" s="561"/>
      <c r="AM601" s="1526"/>
      <c r="AN601" s="1526"/>
      <c r="AO601" s="1526"/>
      <c r="AP601" s="1526"/>
      <c r="AQ601" s="1526"/>
      <c r="AR601" s="1526"/>
      <c r="AS601" s="1526"/>
      <c r="AT601" s="1526"/>
      <c r="AU601" s="1526"/>
      <c r="AV601" s="1526"/>
      <c r="AW601" s="1526"/>
      <c r="AX601" s="1526"/>
      <c r="AY601" s="1526"/>
      <c r="AZ601" s="1526"/>
      <c r="BA601" s="1526"/>
      <c r="BB601" s="1526"/>
      <c r="BC601" s="1526"/>
      <c r="BD601" s="1526"/>
      <c r="BE601" s="1526"/>
      <c r="BF601" s="1526"/>
      <c r="BG601" s="1526"/>
      <c r="BH601" s="1526"/>
    </row>
    <row r="602" spans="1:60" s="1525" customFormat="1">
      <c r="A602" s="1499"/>
      <c r="B602" s="1535" t="s">
        <v>2754</v>
      </c>
      <c r="C602" s="1368"/>
      <c r="D602" s="1368"/>
      <c r="E602" s="1368"/>
      <c r="F602" s="1368"/>
      <c r="G602" s="1557">
        <f t="shared" si="566"/>
        <v>0</v>
      </c>
      <c r="H602" s="1368"/>
      <c r="I602" s="1557">
        <f t="shared" ref="I602" si="574">SUM(J602:S602)</f>
        <v>0</v>
      </c>
      <c r="J602" s="1368">
        <f t="shared" si="573"/>
        <v>0</v>
      </c>
      <c r="K602" s="1368">
        <f t="shared" si="573"/>
        <v>0</v>
      </c>
      <c r="L602" s="1368">
        <f t="shared" si="573"/>
        <v>0</v>
      </c>
      <c r="M602" s="1368">
        <f t="shared" si="573"/>
        <v>0</v>
      </c>
      <c r="N602" s="1368">
        <f t="shared" si="573"/>
        <v>0</v>
      </c>
      <c r="O602" s="1368">
        <f t="shared" si="573"/>
        <v>0</v>
      </c>
      <c r="P602" s="1368">
        <f t="shared" si="573"/>
        <v>0</v>
      </c>
      <c r="Q602" s="1368">
        <f t="shared" si="573"/>
        <v>0</v>
      </c>
      <c r="R602" s="1368">
        <f t="shared" si="573"/>
        <v>0</v>
      </c>
      <c r="S602" s="1368">
        <f t="shared" si="573"/>
        <v>0</v>
      </c>
      <c r="T602" s="1558">
        <f>(H602+K602+L602+R602)*22.5%</f>
        <v>0</v>
      </c>
      <c r="U602" s="1559">
        <f t="shared" si="569"/>
        <v>0</v>
      </c>
      <c r="V602" s="1554">
        <f t="shared" si="552"/>
        <v>0</v>
      </c>
      <c r="W602" s="1554">
        <f t="shared" si="548"/>
        <v>0</v>
      </c>
      <c r="X602" s="1554">
        <f t="shared" ref="X602:AA603" si="575">(J602/1.39)*1.49</f>
        <v>0</v>
      </c>
      <c r="Y602" s="1554">
        <f t="shared" si="575"/>
        <v>0</v>
      </c>
      <c r="Z602" s="1554">
        <f t="shared" si="575"/>
        <v>0</v>
      </c>
      <c r="AA602" s="1554">
        <f t="shared" si="575"/>
        <v>0</v>
      </c>
      <c r="AB602" s="1554">
        <f t="shared" si="549"/>
        <v>0</v>
      </c>
      <c r="AC602" s="1554">
        <f t="shared" si="549"/>
        <v>0</v>
      </c>
      <c r="AD602" s="1554">
        <f t="shared" si="549"/>
        <v>0</v>
      </c>
      <c r="AE602" s="1554">
        <f t="shared" si="549"/>
        <v>0</v>
      </c>
      <c r="AF602" s="1554">
        <f t="shared" si="549"/>
        <v>0</v>
      </c>
      <c r="AG602" s="1554">
        <f t="shared" si="549"/>
        <v>0</v>
      </c>
      <c r="AH602" s="1560">
        <f>(V602+Y602+Z602+AF602)*22.5%</f>
        <v>0</v>
      </c>
      <c r="AI602" s="1561">
        <f t="shared" si="570"/>
        <v>0</v>
      </c>
      <c r="AJ602" s="1561">
        <f t="shared" si="571"/>
        <v>0</v>
      </c>
      <c r="AL602" s="561"/>
      <c r="AM602" s="1526"/>
      <c r="AN602" s="1526"/>
      <c r="AO602" s="1526"/>
      <c r="AP602" s="1526"/>
      <c r="AQ602" s="1526"/>
      <c r="AR602" s="1526"/>
      <c r="AS602" s="1526"/>
      <c r="AT602" s="1526"/>
      <c r="AU602" s="1526"/>
      <c r="AV602" s="1526"/>
      <c r="AW602" s="1526"/>
      <c r="AX602" s="1526"/>
      <c r="AY602" s="1526"/>
      <c r="AZ602" s="1526"/>
      <c r="BA602" s="1526"/>
      <c r="BB602" s="1526"/>
      <c r="BC602" s="1526"/>
      <c r="BD602" s="1526"/>
      <c r="BE602" s="1526"/>
      <c r="BF602" s="1526"/>
      <c r="BG602" s="1526"/>
      <c r="BH602" s="1526"/>
    </row>
    <row r="603" spans="1:60" s="1525" customFormat="1" ht="31.5">
      <c r="A603" s="1516" t="s">
        <v>65</v>
      </c>
      <c r="B603" s="1538" t="s">
        <v>2541</v>
      </c>
      <c r="C603" s="1370">
        <f>SUM(C634,C664,C695,C725,C777,C807,C837,C867,C897)</f>
        <v>0</v>
      </c>
      <c r="D603" s="1370"/>
      <c r="E603" s="1370"/>
      <c r="F603" s="1370">
        <f>SUM(F634,F664,F695,F725,F777,F807,F837,F867,F897)</f>
        <v>0</v>
      </c>
      <c r="G603" s="1553">
        <f t="shared" si="566"/>
        <v>0</v>
      </c>
      <c r="H603" s="1370">
        <f>SUM(H634,H664,H695,H725,H777,H807,H837,H867,H897)</f>
        <v>0</v>
      </c>
      <c r="I603" s="1553">
        <f t="shared" si="567"/>
        <v>0</v>
      </c>
      <c r="J603" s="1370">
        <f t="shared" ref="J603:S603" si="576">SUM(J634,J664,J695,J725,J777,J807,J837,J867,J897)</f>
        <v>0</v>
      </c>
      <c r="K603" s="1370">
        <f t="shared" si="576"/>
        <v>0</v>
      </c>
      <c r="L603" s="1370">
        <f t="shared" si="576"/>
        <v>0</v>
      </c>
      <c r="M603" s="1370">
        <f t="shared" si="576"/>
        <v>0</v>
      </c>
      <c r="N603" s="1370">
        <f t="shared" si="576"/>
        <v>0</v>
      </c>
      <c r="O603" s="1370">
        <f t="shared" si="576"/>
        <v>0</v>
      </c>
      <c r="P603" s="1370">
        <f t="shared" si="576"/>
        <v>0</v>
      </c>
      <c r="Q603" s="1370">
        <f t="shared" si="576"/>
        <v>0</v>
      </c>
      <c r="R603" s="1370">
        <f t="shared" si="576"/>
        <v>0</v>
      </c>
      <c r="S603" s="1370">
        <f t="shared" si="576"/>
        <v>0</v>
      </c>
      <c r="T603" s="1558">
        <f>(H603+K603+L603+R603)*22.5%</f>
        <v>0</v>
      </c>
      <c r="U603" s="1562">
        <f t="shared" si="569"/>
        <v>0</v>
      </c>
      <c r="V603" s="1554">
        <f>(H603/1.39)*1.49</f>
        <v>0</v>
      </c>
      <c r="W603" s="1562">
        <f t="shared" si="548"/>
        <v>0</v>
      </c>
      <c r="X603" s="1554">
        <f>(J603/1.39)*1.49</f>
        <v>0</v>
      </c>
      <c r="Y603" s="1554">
        <f t="shared" si="575"/>
        <v>0</v>
      </c>
      <c r="Z603" s="1554">
        <f t="shared" si="575"/>
        <v>0</v>
      </c>
      <c r="AA603" s="1554">
        <f t="shared" si="575"/>
        <v>0</v>
      </c>
      <c r="AB603" s="1554">
        <f t="shared" si="549"/>
        <v>0</v>
      </c>
      <c r="AC603" s="1554">
        <f t="shared" si="549"/>
        <v>0</v>
      </c>
      <c r="AD603" s="1554">
        <f t="shared" si="549"/>
        <v>0</v>
      </c>
      <c r="AE603" s="1554">
        <f t="shared" si="549"/>
        <v>0</v>
      </c>
      <c r="AF603" s="1554">
        <f t="shared" si="549"/>
        <v>0</v>
      </c>
      <c r="AG603" s="1554">
        <f t="shared" si="549"/>
        <v>0</v>
      </c>
      <c r="AH603" s="1560">
        <f>(V603+Y603+Z603+AF603)*22.5%</f>
        <v>0</v>
      </c>
      <c r="AI603" s="1563">
        <f>U603-G603</f>
        <v>0</v>
      </c>
      <c r="AJ603" s="1563">
        <f>AI603*6</f>
        <v>0</v>
      </c>
      <c r="AL603" s="561"/>
      <c r="AM603" s="1526"/>
      <c r="AN603" s="1526"/>
      <c r="AO603" s="1526"/>
      <c r="AP603" s="1526"/>
      <c r="AQ603" s="1526"/>
      <c r="AR603" s="1526"/>
      <c r="AS603" s="1526"/>
      <c r="AT603" s="1526"/>
      <c r="AU603" s="1526"/>
      <c r="AV603" s="1526"/>
      <c r="AW603" s="1526"/>
      <c r="AX603" s="1526"/>
      <c r="AY603" s="1526"/>
      <c r="AZ603" s="1526"/>
      <c r="BA603" s="1526"/>
      <c r="BB603" s="1526"/>
      <c r="BC603" s="1526"/>
      <c r="BD603" s="1526"/>
      <c r="BE603" s="1526"/>
      <c r="BF603" s="1526"/>
      <c r="BG603" s="1526"/>
      <c r="BH603" s="1526"/>
    </row>
    <row r="604" spans="1:60" s="1525" customFormat="1" ht="31.5">
      <c r="A604" s="1516" t="s">
        <v>14</v>
      </c>
      <c r="B604" s="1538" t="s">
        <v>2542</v>
      </c>
      <c r="C604" s="1564">
        <f>SUM(C605:C607)</f>
        <v>0</v>
      </c>
      <c r="D604" s="1564"/>
      <c r="E604" s="1564"/>
      <c r="F604" s="1564">
        <f t="shared" ref="F604:AJ604" si="577">SUM(F605:F607)</f>
        <v>0</v>
      </c>
      <c r="G604" s="1564">
        <f t="shared" si="577"/>
        <v>0</v>
      </c>
      <c r="H604" s="1564">
        <f t="shared" si="577"/>
        <v>0</v>
      </c>
      <c r="I604" s="1564">
        <f t="shared" si="577"/>
        <v>0</v>
      </c>
      <c r="J604" s="1564">
        <f t="shared" si="577"/>
        <v>0</v>
      </c>
      <c r="K604" s="1564">
        <f t="shared" si="577"/>
        <v>0</v>
      </c>
      <c r="L604" s="1564">
        <f t="shared" si="577"/>
        <v>0</v>
      </c>
      <c r="M604" s="1564">
        <f t="shared" si="577"/>
        <v>0</v>
      </c>
      <c r="N604" s="1564">
        <f t="shared" si="577"/>
        <v>0</v>
      </c>
      <c r="O604" s="1564">
        <f t="shared" si="577"/>
        <v>0</v>
      </c>
      <c r="P604" s="1564">
        <f t="shared" si="577"/>
        <v>0</v>
      </c>
      <c r="Q604" s="1564">
        <f t="shared" si="577"/>
        <v>0</v>
      </c>
      <c r="R604" s="1564">
        <f t="shared" si="577"/>
        <v>0</v>
      </c>
      <c r="S604" s="1564">
        <f t="shared" si="577"/>
        <v>0</v>
      </c>
      <c r="T604" s="1564">
        <f t="shared" si="577"/>
        <v>0</v>
      </c>
      <c r="U604" s="1563">
        <f t="shared" si="577"/>
        <v>0</v>
      </c>
      <c r="V604" s="1563">
        <f t="shared" si="577"/>
        <v>0</v>
      </c>
      <c r="W604" s="1563">
        <f t="shared" si="577"/>
        <v>0</v>
      </c>
      <c r="X604" s="1563">
        <f t="shared" si="577"/>
        <v>0</v>
      </c>
      <c r="Y604" s="1563">
        <f t="shared" si="577"/>
        <v>0</v>
      </c>
      <c r="Z604" s="1563">
        <f t="shared" si="577"/>
        <v>0</v>
      </c>
      <c r="AA604" s="1563">
        <f t="shared" si="577"/>
        <v>0</v>
      </c>
      <c r="AB604" s="1563">
        <f t="shared" si="577"/>
        <v>0</v>
      </c>
      <c r="AC604" s="1563">
        <f t="shared" si="577"/>
        <v>0</v>
      </c>
      <c r="AD604" s="1563">
        <f t="shared" si="577"/>
        <v>0</v>
      </c>
      <c r="AE604" s="1563">
        <f t="shared" si="577"/>
        <v>0</v>
      </c>
      <c r="AF604" s="1563">
        <f t="shared" si="577"/>
        <v>0</v>
      </c>
      <c r="AG604" s="1563">
        <f t="shared" si="577"/>
        <v>0</v>
      </c>
      <c r="AH604" s="1563">
        <f t="shared" si="577"/>
        <v>0</v>
      </c>
      <c r="AI604" s="1563">
        <f t="shared" si="577"/>
        <v>0</v>
      </c>
      <c r="AJ604" s="1563">
        <f t="shared" si="577"/>
        <v>0</v>
      </c>
      <c r="AL604" s="561"/>
      <c r="AM604" s="1526"/>
      <c r="AN604" s="1526"/>
      <c r="AO604" s="1526"/>
      <c r="AP604" s="1526"/>
      <c r="AQ604" s="1526"/>
      <c r="AR604" s="1526"/>
      <c r="AS604" s="1526"/>
      <c r="AT604" s="1526"/>
      <c r="AU604" s="1526"/>
      <c r="AV604" s="1526"/>
      <c r="AW604" s="1526"/>
      <c r="AX604" s="1526"/>
      <c r="AY604" s="1526"/>
      <c r="AZ604" s="1526"/>
      <c r="BA604" s="1526"/>
      <c r="BB604" s="1526"/>
      <c r="BC604" s="1526"/>
      <c r="BD604" s="1526"/>
      <c r="BE604" s="1526"/>
      <c r="BF604" s="1526"/>
      <c r="BG604" s="1526"/>
      <c r="BH604" s="1526"/>
    </row>
    <row r="605" spans="1:60" s="1525" customFormat="1">
      <c r="A605" s="1499"/>
      <c r="B605" s="1535" t="s">
        <v>2543</v>
      </c>
      <c r="C605" s="1368"/>
      <c r="D605" s="1368"/>
      <c r="E605" s="1368"/>
      <c r="F605" s="1368"/>
      <c r="G605" s="1557">
        <f t="shared" ref="G605:G607" si="578">H605+I605+T605</f>
        <v>0</v>
      </c>
      <c r="H605" s="577"/>
      <c r="I605" s="1557">
        <f t="shared" ref="I605:I607" si="579">SUM(J605:S605)</f>
        <v>0</v>
      </c>
      <c r="J605" s="577"/>
      <c r="K605" s="577"/>
      <c r="L605" s="577"/>
      <c r="M605" s="577"/>
      <c r="N605" s="577"/>
      <c r="O605" s="577"/>
      <c r="P605" s="577"/>
      <c r="Q605" s="577"/>
      <c r="R605" s="577"/>
      <c r="S605" s="578">
        <f>F605*0.5*1.3</f>
        <v>0</v>
      </c>
      <c r="T605" s="1565"/>
      <c r="U605" s="1559">
        <f t="shared" ref="U605:U607" si="580">V605+W605+AH605</f>
        <v>0</v>
      </c>
      <c r="V605" s="1566"/>
      <c r="W605" s="1559">
        <f t="shared" ref="W605:W607" si="581">SUM(X605:AG605)</f>
        <v>0</v>
      </c>
      <c r="X605" s="1566"/>
      <c r="Y605" s="1566"/>
      <c r="Z605" s="1566"/>
      <c r="AA605" s="1566"/>
      <c r="AB605" s="1566"/>
      <c r="AC605" s="1566"/>
      <c r="AD605" s="1566"/>
      <c r="AE605" s="1566"/>
      <c r="AF605" s="1566"/>
      <c r="AG605" s="1554">
        <f t="shared" ref="AG605:AG607" si="582">(S605/1.39)*1.49</f>
        <v>0</v>
      </c>
      <c r="AH605" s="1566"/>
      <c r="AI605" s="1561">
        <f t="shared" ref="AI605:AI607" si="583">U605-G605</f>
        <v>0</v>
      </c>
      <c r="AJ605" s="1561">
        <f t="shared" ref="AJ605:AJ607" si="584">AI605*6</f>
        <v>0</v>
      </c>
      <c r="AL605" s="561"/>
      <c r="AM605" s="1526"/>
      <c r="AN605" s="1526"/>
      <c r="AO605" s="1526"/>
      <c r="AP605" s="1526"/>
      <c r="AQ605" s="1526"/>
      <c r="AR605" s="1526"/>
      <c r="AS605" s="1526"/>
      <c r="AT605" s="1526"/>
      <c r="AU605" s="1526"/>
      <c r="AV605" s="1526"/>
      <c r="AW605" s="1526"/>
      <c r="AX605" s="1526"/>
      <c r="AY605" s="1526"/>
      <c r="AZ605" s="1526"/>
      <c r="BA605" s="1526"/>
      <c r="BB605" s="1526"/>
      <c r="BC605" s="1526"/>
      <c r="BD605" s="1526"/>
      <c r="BE605" s="1526"/>
      <c r="BF605" s="1526"/>
      <c r="BG605" s="1526"/>
      <c r="BH605" s="1526"/>
    </row>
    <row r="606" spans="1:60" s="1525" customFormat="1">
      <c r="A606" s="1499"/>
      <c r="B606" s="1535" t="s">
        <v>2544</v>
      </c>
      <c r="C606" s="1368">
        <f>SUM(C637,C667,C698,C728,C780,C810,C840,C870,C900)</f>
        <v>0</v>
      </c>
      <c r="D606" s="1368"/>
      <c r="E606" s="1368"/>
      <c r="F606" s="1368">
        <f>SUM(F637,F667,F698,F728,F780,F810,F840,F870,F900)</f>
        <v>0</v>
      </c>
      <c r="G606" s="1557">
        <f t="shared" si="578"/>
        <v>0</v>
      </c>
      <c r="H606" s="577"/>
      <c r="I606" s="1557">
        <f t="shared" si="579"/>
        <v>0</v>
      </c>
      <c r="J606" s="577"/>
      <c r="K606" s="577"/>
      <c r="L606" s="577"/>
      <c r="M606" s="577"/>
      <c r="N606" s="577"/>
      <c r="O606" s="577"/>
      <c r="P606" s="577"/>
      <c r="Q606" s="577"/>
      <c r="R606" s="577"/>
      <c r="S606" s="1368">
        <f>F606*0.4*1.3</f>
        <v>0</v>
      </c>
      <c r="T606" s="1565"/>
      <c r="U606" s="1559">
        <f t="shared" si="580"/>
        <v>0</v>
      </c>
      <c r="V606" s="1566"/>
      <c r="W606" s="1559">
        <f t="shared" si="581"/>
        <v>0</v>
      </c>
      <c r="X606" s="1566"/>
      <c r="Y606" s="1566"/>
      <c r="Z606" s="1566"/>
      <c r="AA606" s="1566"/>
      <c r="AB606" s="1566"/>
      <c r="AC606" s="1566"/>
      <c r="AD606" s="1566"/>
      <c r="AE606" s="1566"/>
      <c r="AF606" s="1566"/>
      <c r="AG606" s="1554">
        <f t="shared" si="582"/>
        <v>0</v>
      </c>
      <c r="AH606" s="1566"/>
      <c r="AI606" s="1561">
        <f t="shared" si="583"/>
        <v>0</v>
      </c>
      <c r="AJ606" s="1561">
        <f t="shared" si="584"/>
        <v>0</v>
      </c>
      <c r="AL606" s="561"/>
      <c r="AM606" s="1526"/>
      <c r="AN606" s="1526"/>
      <c r="AO606" s="1526"/>
      <c r="AP606" s="1526"/>
      <c r="AQ606" s="1526"/>
      <c r="AR606" s="1526"/>
      <c r="AS606" s="1526"/>
      <c r="AT606" s="1526"/>
      <c r="AU606" s="1526"/>
      <c r="AV606" s="1526"/>
      <c r="AW606" s="1526"/>
      <c r="AX606" s="1526"/>
      <c r="AY606" s="1526"/>
      <c r="AZ606" s="1526"/>
      <c r="BA606" s="1526"/>
      <c r="BB606" s="1526"/>
      <c r="BC606" s="1526"/>
      <c r="BD606" s="1526"/>
      <c r="BE606" s="1526"/>
      <c r="BF606" s="1526"/>
      <c r="BG606" s="1526"/>
      <c r="BH606" s="1526"/>
    </row>
    <row r="607" spans="1:60" s="1525" customFormat="1">
      <c r="A607" s="1499"/>
      <c r="B607" s="1535" t="s">
        <v>2545</v>
      </c>
      <c r="C607" s="1368">
        <f>SUM(C638,C668,C699,C729,C781,C811,C836,C871,C901)</f>
        <v>0</v>
      </c>
      <c r="D607" s="1368"/>
      <c r="E607" s="1368"/>
      <c r="F607" s="1368">
        <f>SUM(F638,F668,F699,F729,F781,F811,F836,F871,F901)</f>
        <v>0</v>
      </c>
      <c r="G607" s="1557">
        <f t="shared" si="578"/>
        <v>0</v>
      </c>
      <c r="H607" s="577"/>
      <c r="I607" s="1557">
        <f t="shared" si="579"/>
        <v>0</v>
      </c>
      <c r="J607" s="577"/>
      <c r="K607" s="577"/>
      <c r="L607" s="577"/>
      <c r="M607" s="577"/>
      <c r="N607" s="577"/>
      <c r="O607" s="577"/>
      <c r="P607" s="577"/>
      <c r="Q607" s="577"/>
      <c r="R607" s="577"/>
      <c r="S607" s="1368">
        <f>F607*0.3*1.3</f>
        <v>0</v>
      </c>
      <c r="T607" s="1565"/>
      <c r="U607" s="1559">
        <f t="shared" si="580"/>
        <v>0</v>
      </c>
      <c r="V607" s="1566"/>
      <c r="W607" s="1559">
        <f t="shared" si="581"/>
        <v>0</v>
      </c>
      <c r="X607" s="1566"/>
      <c r="Y607" s="1566"/>
      <c r="Z607" s="1566"/>
      <c r="AA607" s="1566"/>
      <c r="AB607" s="1566"/>
      <c r="AC607" s="1566"/>
      <c r="AD607" s="1566"/>
      <c r="AE607" s="1566"/>
      <c r="AF607" s="1566"/>
      <c r="AG607" s="1554">
        <f t="shared" si="582"/>
        <v>0</v>
      </c>
      <c r="AH607" s="1566"/>
      <c r="AI607" s="1561">
        <f t="shared" si="583"/>
        <v>0</v>
      </c>
      <c r="AJ607" s="1561">
        <f t="shared" si="584"/>
        <v>0</v>
      </c>
      <c r="AL607" s="561"/>
      <c r="AM607" s="1526"/>
      <c r="AN607" s="1526"/>
      <c r="AO607" s="1526"/>
      <c r="AP607" s="1526"/>
      <c r="AQ607" s="1526"/>
      <c r="AR607" s="1526"/>
      <c r="AS607" s="1526"/>
      <c r="AT607" s="1526"/>
      <c r="AU607" s="1526"/>
      <c r="AV607" s="1526"/>
      <c r="AW607" s="1526"/>
      <c r="AX607" s="1526"/>
      <c r="AY607" s="1526"/>
      <c r="AZ607" s="1526"/>
      <c r="BA607" s="1526"/>
      <c r="BB607" s="1526"/>
      <c r="BC607" s="1526"/>
      <c r="BD607" s="1526"/>
      <c r="BE607" s="1526"/>
      <c r="BF607" s="1526"/>
      <c r="BG607" s="1526"/>
      <c r="BH607" s="1526"/>
    </row>
    <row r="608" spans="1:60" s="1525" customFormat="1">
      <c r="A608" s="1516" t="s">
        <v>18</v>
      </c>
      <c r="B608" s="1538" t="s">
        <v>2546</v>
      </c>
      <c r="C608" s="1564">
        <f>SUM(C609:C611)</f>
        <v>0</v>
      </c>
      <c r="D608" s="1564"/>
      <c r="E608" s="1564"/>
      <c r="F608" s="1564">
        <f t="shared" ref="F608:AJ608" si="585">SUM(F609:F611)</f>
        <v>0</v>
      </c>
      <c r="G608" s="1564">
        <f t="shared" si="585"/>
        <v>0</v>
      </c>
      <c r="H608" s="1564">
        <f t="shared" si="585"/>
        <v>0</v>
      </c>
      <c r="I608" s="1564">
        <f t="shared" si="585"/>
        <v>0</v>
      </c>
      <c r="J608" s="1564">
        <f t="shared" si="585"/>
        <v>0</v>
      </c>
      <c r="K608" s="1564">
        <f t="shared" si="585"/>
        <v>0</v>
      </c>
      <c r="L608" s="1564">
        <f t="shared" si="585"/>
        <v>0</v>
      </c>
      <c r="M608" s="1564">
        <f t="shared" si="585"/>
        <v>0</v>
      </c>
      <c r="N608" s="1564">
        <f t="shared" si="585"/>
        <v>0</v>
      </c>
      <c r="O608" s="1564">
        <f t="shared" si="585"/>
        <v>0</v>
      </c>
      <c r="P608" s="1564">
        <f t="shared" si="585"/>
        <v>0</v>
      </c>
      <c r="Q608" s="1564">
        <f t="shared" si="585"/>
        <v>0</v>
      </c>
      <c r="R608" s="1564">
        <f t="shared" si="585"/>
        <v>0</v>
      </c>
      <c r="S608" s="1564">
        <f t="shared" si="585"/>
        <v>0</v>
      </c>
      <c r="T608" s="1564">
        <f t="shared" si="585"/>
        <v>0</v>
      </c>
      <c r="U608" s="1563">
        <f t="shared" si="585"/>
        <v>0</v>
      </c>
      <c r="V608" s="1563">
        <f t="shared" si="585"/>
        <v>0</v>
      </c>
      <c r="W608" s="1563">
        <f t="shared" si="585"/>
        <v>0</v>
      </c>
      <c r="X608" s="1563">
        <f t="shared" si="585"/>
        <v>0</v>
      </c>
      <c r="Y608" s="1563">
        <f t="shared" si="585"/>
        <v>0</v>
      </c>
      <c r="Z608" s="1563">
        <f t="shared" si="585"/>
        <v>0</v>
      </c>
      <c r="AA608" s="1563">
        <f t="shared" si="585"/>
        <v>0</v>
      </c>
      <c r="AB608" s="1563">
        <f t="shared" si="585"/>
        <v>0</v>
      </c>
      <c r="AC608" s="1563">
        <f t="shared" si="585"/>
        <v>0</v>
      </c>
      <c r="AD608" s="1563">
        <f t="shared" si="585"/>
        <v>0</v>
      </c>
      <c r="AE608" s="1563">
        <f t="shared" si="585"/>
        <v>0</v>
      </c>
      <c r="AF608" s="1563">
        <f t="shared" si="585"/>
        <v>0</v>
      </c>
      <c r="AG608" s="1563">
        <f t="shared" si="585"/>
        <v>0</v>
      </c>
      <c r="AH608" s="1563">
        <f t="shared" si="585"/>
        <v>0</v>
      </c>
      <c r="AI608" s="1563">
        <f t="shared" si="585"/>
        <v>0</v>
      </c>
      <c r="AJ608" s="1563">
        <f t="shared" si="585"/>
        <v>0</v>
      </c>
      <c r="AL608" s="561"/>
      <c r="AM608" s="1526"/>
      <c r="AN608" s="1526"/>
      <c r="AO608" s="1526"/>
      <c r="AP608" s="1526"/>
      <c r="AQ608" s="1526"/>
      <c r="AR608" s="1526"/>
      <c r="AS608" s="1526"/>
      <c r="AT608" s="1526"/>
      <c r="AU608" s="1526"/>
      <c r="AV608" s="1526"/>
      <c r="AW608" s="1526"/>
      <c r="AX608" s="1526"/>
      <c r="AY608" s="1526"/>
      <c r="AZ608" s="1526"/>
      <c r="BA608" s="1526"/>
      <c r="BB608" s="1526"/>
      <c r="BC608" s="1526"/>
      <c r="BD608" s="1526"/>
      <c r="BE608" s="1526"/>
      <c r="BF608" s="1526"/>
      <c r="BG608" s="1526"/>
      <c r="BH608" s="1526"/>
    </row>
    <row r="609" spans="1:60" s="1525" customFormat="1">
      <c r="A609" s="1499"/>
      <c r="B609" s="1535" t="s">
        <v>2547</v>
      </c>
      <c r="C609" s="1368"/>
      <c r="D609" s="1368"/>
      <c r="E609" s="1368"/>
      <c r="F609" s="1368"/>
      <c r="G609" s="1557">
        <f t="shared" ref="G609:G611" si="586">H609+I609+T609</f>
        <v>0</v>
      </c>
      <c r="H609" s="577"/>
      <c r="I609" s="1557">
        <f t="shared" ref="I609:I611" si="587">SUM(J609:S609)</f>
        <v>0</v>
      </c>
      <c r="J609" s="577"/>
      <c r="K609" s="577"/>
      <c r="L609" s="577"/>
      <c r="M609" s="577"/>
      <c r="N609" s="577"/>
      <c r="O609" s="577"/>
      <c r="P609" s="577"/>
      <c r="Q609" s="577"/>
      <c r="R609" s="577"/>
      <c r="S609" s="1368">
        <f>F609*0.5*1.3</f>
        <v>0</v>
      </c>
      <c r="T609" s="1565"/>
      <c r="U609" s="1559">
        <f t="shared" ref="U609:U611" si="588">V609+W609+AH609</f>
        <v>0</v>
      </c>
      <c r="V609" s="1566"/>
      <c r="W609" s="1559">
        <f t="shared" ref="W609:W611" si="589">SUM(X609:AG609)</f>
        <v>0</v>
      </c>
      <c r="X609" s="1566"/>
      <c r="Y609" s="1566"/>
      <c r="Z609" s="1566"/>
      <c r="AA609" s="1566"/>
      <c r="AB609" s="1566"/>
      <c r="AC609" s="1566"/>
      <c r="AD609" s="1566"/>
      <c r="AE609" s="1566"/>
      <c r="AF609" s="1566"/>
      <c r="AG609" s="1554">
        <f t="shared" ref="AG609:AG611" si="590">(S609/1.39)*1.49</f>
        <v>0</v>
      </c>
      <c r="AH609" s="1566"/>
      <c r="AI609" s="1561">
        <f t="shared" ref="AI609:AI611" si="591">U609-G609</f>
        <v>0</v>
      </c>
      <c r="AJ609" s="1561">
        <f t="shared" ref="AJ609:AJ611" si="592">AI609*6</f>
        <v>0</v>
      </c>
      <c r="AL609" s="561"/>
      <c r="AM609" s="1526"/>
      <c r="AN609" s="1526"/>
      <c r="AO609" s="1526"/>
      <c r="AP609" s="1526"/>
      <c r="AQ609" s="1526"/>
      <c r="AR609" s="1526"/>
      <c r="AS609" s="1526"/>
      <c r="AT609" s="1526"/>
      <c r="AU609" s="1526"/>
      <c r="AV609" s="1526"/>
      <c r="AW609" s="1526"/>
      <c r="AX609" s="1526"/>
      <c r="AY609" s="1526"/>
      <c r="AZ609" s="1526"/>
      <c r="BA609" s="1526"/>
      <c r="BB609" s="1526"/>
      <c r="BC609" s="1526"/>
      <c r="BD609" s="1526"/>
      <c r="BE609" s="1526"/>
      <c r="BF609" s="1526"/>
      <c r="BG609" s="1526"/>
      <c r="BH609" s="1526"/>
    </row>
    <row r="610" spans="1:60" s="1525" customFormat="1">
      <c r="A610" s="1499"/>
      <c r="B610" s="1535" t="s">
        <v>2548</v>
      </c>
      <c r="C610" s="1368">
        <f>SUM(C641,C671,C702,C732,C784,C814,C844,C874,C904)</f>
        <v>0</v>
      </c>
      <c r="D610" s="1368"/>
      <c r="E610" s="1368"/>
      <c r="F610" s="1368">
        <f>SUM(F641,F671,F702,F732,F784,F814,F844,F874,F904)</f>
        <v>0</v>
      </c>
      <c r="G610" s="1557">
        <f t="shared" si="586"/>
        <v>0</v>
      </c>
      <c r="H610" s="577"/>
      <c r="I610" s="1557">
        <f t="shared" si="587"/>
        <v>0</v>
      </c>
      <c r="J610" s="577"/>
      <c r="K610" s="577"/>
      <c r="L610" s="577"/>
      <c r="M610" s="577"/>
      <c r="N610" s="577"/>
      <c r="O610" s="577"/>
      <c r="P610" s="577"/>
      <c r="Q610" s="577"/>
      <c r="R610" s="577"/>
      <c r="S610" s="1368">
        <f>F610*0.4*1.3</f>
        <v>0</v>
      </c>
      <c r="T610" s="1565"/>
      <c r="U610" s="1559">
        <f t="shared" si="588"/>
        <v>0</v>
      </c>
      <c r="V610" s="1566"/>
      <c r="W610" s="1559">
        <f t="shared" si="589"/>
        <v>0</v>
      </c>
      <c r="X610" s="1566"/>
      <c r="Y610" s="1566"/>
      <c r="Z610" s="1566"/>
      <c r="AA610" s="1566"/>
      <c r="AB610" s="1566"/>
      <c r="AC610" s="1566"/>
      <c r="AD610" s="1566"/>
      <c r="AE610" s="1566"/>
      <c r="AF610" s="1566"/>
      <c r="AG610" s="1554">
        <f t="shared" si="590"/>
        <v>0</v>
      </c>
      <c r="AH610" s="1566"/>
      <c r="AI610" s="1561">
        <f t="shared" si="591"/>
        <v>0</v>
      </c>
      <c r="AJ610" s="1561">
        <f t="shared" si="592"/>
        <v>0</v>
      </c>
      <c r="AL610" s="561"/>
      <c r="AM610" s="1526"/>
      <c r="AN610" s="1526"/>
      <c r="AO610" s="1526"/>
      <c r="AP610" s="1526"/>
      <c r="AQ610" s="1526"/>
      <c r="AR610" s="1526"/>
      <c r="AS610" s="1526"/>
      <c r="AT610" s="1526"/>
      <c r="AU610" s="1526"/>
      <c r="AV610" s="1526"/>
      <c r="AW610" s="1526"/>
      <c r="AX610" s="1526"/>
      <c r="AY610" s="1526"/>
      <c r="AZ610" s="1526"/>
      <c r="BA610" s="1526"/>
      <c r="BB610" s="1526"/>
      <c r="BC610" s="1526"/>
      <c r="BD610" s="1526"/>
      <c r="BE610" s="1526"/>
      <c r="BF610" s="1526"/>
      <c r="BG610" s="1526"/>
      <c r="BH610" s="1526"/>
    </row>
    <row r="611" spans="1:60" s="1525" customFormat="1">
      <c r="A611" s="1499"/>
      <c r="B611" s="1535" t="s">
        <v>2549</v>
      </c>
      <c r="C611" s="1368">
        <f>SUM(C642,C672,C703,C733,C785,C815,C845,C875,C905)</f>
        <v>0</v>
      </c>
      <c r="D611" s="1368"/>
      <c r="E611" s="1368"/>
      <c r="F611" s="1368">
        <f>SUM(F642,F672,F703,F733,F785,F815,F845,F875,F905)</f>
        <v>0</v>
      </c>
      <c r="G611" s="1557">
        <f t="shared" si="586"/>
        <v>0</v>
      </c>
      <c r="H611" s="577"/>
      <c r="I611" s="1557">
        <f t="shared" si="587"/>
        <v>0</v>
      </c>
      <c r="J611" s="577"/>
      <c r="K611" s="577"/>
      <c r="L611" s="577"/>
      <c r="M611" s="577"/>
      <c r="N611" s="577"/>
      <c r="O611" s="577"/>
      <c r="P611" s="577"/>
      <c r="Q611" s="577"/>
      <c r="R611" s="577"/>
      <c r="S611" s="1368">
        <f>F611*0.3*1.3</f>
        <v>0</v>
      </c>
      <c r="T611" s="1565"/>
      <c r="U611" s="1559">
        <f t="shared" si="588"/>
        <v>0</v>
      </c>
      <c r="V611" s="1566"/>
      <c r="W611" s="1559">
        <f t="shared" si="589"/>
        <v>0</v>
      </c>
      <c r="X611" s="1566"/>
      <c r="Y611" s="1566"/>
      <c r="Z611" s="1566"/>
      <c r="AA611" s="1566"/>
      <c r="AB611" s="1566"/>
      <c r="AC611" s="1566"/>
      <c r="AD611" s="1566"/>
      <c r="AE611" s="1566"/>
      <c r="AF611" s="1566"/>
      <c r="AG611" s="1554">
        <f t="shared" si="590"/>
        <v>0</v>
      </c>
      <c r="AH611" s="1566"/>
      <c r="AI611" s="1561">
        <f t="shared" si="591"/>
        <v>0</v>
      </c>
      <c r="AJ611" s="1561">
        <f t="shared" si="592"/>
        <v>0</v>
      </c>
      <c r="AL611" s="561"/>
      <c r="AM611" s="1526"/>
      <c r="AN611" s="1526"/>
      <c r="AO611" s="1526"/>
      <c r="AP611" s="1526"/>
      <c r="AQ611" s="1526"/>
      <c r="AR611" s="1526"/>
      <c r="AS611" s="1526"/>
      <c r="AT611" s="1526"/>
      <c r="AU611" s="1526"/>
      <c r="AV611" s="1526"/>
      <c r="AW611" s="1526"/>
      <c r="AX611" s="1526"/>
      <c r="AY611" s="1526"/>
      <c r="AZ611" s="1526"/>
      <c r="BA611" s="1526"/>
      <c r="BB611" s="1526"/>
      <c r="BC611" s="1526"/>
      <c r="BD611" s="1526"/>
      <c r="BE611" s="1526"/>
      <c r="BF611" s="1526"/>
      <c r="BG611" s="1526"/>
      <c r="BH611" s="1526"/>
    </row>
    <row r="612" spans="1:60" s="1525" customFormat="1">
      <c r="A612" s="1499"/>
      <c r="B612" s="1535"/>
      <c r="C612" s="1451"/>
      <c r="D612" s="1451"/>
      <c r="E612" s="1451"/>
      <c r="F612" s="1451"/>
      <c r="G612" s="1451"/>
      <c r="H612" s="1451"/>
      <c r="I612" s="1451"/>
      <c r="J612" s="1451"/>
      <c r="K612" s="1451"/>
      <c r="L612" s="1451"/>
      <c r="M612" s="1451"/>
      <c r="N612" s="1451"/>
      <c r="O612" s="1451"/>
      <c r="P612" s="1451"/>
      <c r="Q612" s="1451"/>
      <c r="R612" s="1451"/>
      <c r="S612" s="1451"/>
      <c r="T612" s="1451"/>
      <c r="U612" s="1451"/>
      <c r="V612" s="1451"/>
      <c r="W612" s="1451"/>
      <c r="X612" s="1451"/>
      <c r="Y612" s="1451"/>
      <c r="Z612" s="1451"/>
      <c r="AA612" s="1451"/>
      <c r="AB612" s="1451"/>
      <c r="AC612" s="1451"/>
      <c r="AD612" s="1451"/>
      <c r="AE612" s="1451"/>
      <c r="AF612" s="1451"/>
      <c r="AG612" s="1451"/>
      <c r="AH612" s="1451"/>
      <c r="AI612" s="1451"/>
      <c r="AJ612" s="1451"/>
      <c r="AL612" s="561"/>
      <c r="AM612" s="1526"/>
      <c r="AN612" s="1526"/>
      <c r="AO612" s="1526"/>
      <c r="AP612" s="1526"/>
      <c r="AQ612" s="1526"/>
      <c r="AR612" s="1526"/>
      <c r="AS612" s="1526"/>
      <c r="AT612" s="1526"/>
      <c r="AU612" s="1526"/>
      <c r="AV612" s="1526"/>
      <c r="AW612" s="1526"/>
      <c r="AX612" s="1526"/>
      <c r="AY612" s="1526"/>
      <c r="AZ612" s="1526"/>
      <c r="BA612" s="1526"/>
      <c r="BB612" s="1526"/>
      <c r="BC612" s="1526"/>
      <c r="BD612" s="1526"/>
      <c r="BE612" s="1526"/>
      <c r="BF612" s="1526"/>
      <c r="BG612" s="1526"/>
      <c r="BH612" s="1526"/>
    </row>
    <row r="613" spans="1:60" s="1525" customFormat="1">
      <c r="A613" s="558"/>
      <c r="B613" s="1567" t="s">
        <v>2797</v>
      </c>
      <c r="C613" s="1568">
        <f>C614+C634+C635+C639</f>
        <v>0</v>
      </c>
      <c r="D613" s="1568"/>
      <c r="E613" s="1568"/>
      <c r="F613" s="1568">
        <f t="shared" ref="F613:AJ613" si="593">F614+F634+F635+F639</f>
        <v>0</v>
      </c>
      <c r="G613" s="1568">
        <f t="shared" si="593"/>
        <v>0</v>
      </c>
      <c r="H613" s="1568">
        <f t="shared" si="593"/>
        <v>0</v>
      </c>
      <c r="I613" s="1568">
        <f t="shared" si="593"/>
        <v>0</v>
      </c>
      <c r="J613" s="1568">
        <f t="shared" si="593"/>
        <v>0</v>
      </c>
      <c r="K613" s="1568">
        <f t="shared" si="593"/>
        <v>0</v>
      </c>
      <c r="L613" s="1568">
        <f t="shared" si="593"/>
        <v>0</v>
      </c>
      <c r="M613" s="1568">
        <f t="shared" si="593"/>
        <v>0</v>
      </c>
      <c r="N613" s="1568">
        <f t="shared" si="593"/>
        <v>0</v>
      </c>
      <c r="O613" s="1568">
        <f t="shared" si="593"/>
        <v>0</v>
      </c>
      <c r="P613" s="1568">
        <f t="shared" si="593"/>
        <v>0</v>
      </c>
      <c r="Q613" s="1568">
        <f t="shared" si="593"/>
        <v>0</v>
      </c>
      <c r="R613" s="1568">
        <f t="shared" si="593"/>
        <v>0</v>
      </c>
      <c r="S613" s="1568">
        <f t="shared" si="593"/>
        <v>0</v>
      </c>
      <c r="T613" s="1568">
        <f t="shared" si="593"/>
        <v>0</v>
      </c>
      <c r="U613" s="1568">
        <f t="shared" si="593"/>
        <v>0</v>
      </c>
      <c r="V613" s="1568">
        <f t="shared" si="593"/>
        <v>0</v>
      </c>
      <c r="W613" s="1568">
        <f t="shared" si="593"/>
        <v>0</v>
      </c>
      <c r="X613" s="1568">
        <f t="shared" si="593"/>
        <v>0</v>
      </c>
      <c r="Y613" s="1568">
        <f t="shared" si="593"/>
        <v>0</v>
      </c>
      <c r="Z613" s="1568">
        <f t="shared" si="593"/>
        <v>0</v>
      </c>
      <c r="AA613" s="1568">
        <f t="shared" si="593"/>
        <v>0</v>
      </c>
      <c r="AB613" s="1568">
        <f t="shared" si="593"/>
        <v>0</v>
      </c>
      <c r="AC613" s="1568">
        <f t="shared" si="593"/>
        <v>0</v>
      </c>
      <c r="AD613" s="1568">
        <f t="shared" si="593"/>
        <v>0</v>
      </c>
      <c r="AE613" s="1568">
        <f t="shared" si="593"/>
        <v>0</v>
      </c>
      <c r="AF613" s="1568">
        <f t="shared" si="593"/>
        <v>0</v>
      </c>
      <c r="AG613" s="1568">
        <f t="shared" si="593"/>
        <v>0</v>
      </c>
      <c r="AH613" s="1568">
        <f t="shared" si="593"/>
        <v>0</v>
      </c>
      <c r="AI613" s="1568">
        <f t="shared" si="593"/>
        <v>0</v>
      </c>
      <c r="AJ613" s="1568">
        <f t="shared" si="593"/>
        <v>0</v>
      </c>
      <c r="AL613" s="561"/>
      <c r="AM613" s="1526"/>
      <c r="AN613" s="1526"/>
      <c r="AO613" s="1526"/>
      <c r="AP613" s="1526"/>
      <c r="AQ613" s="1526"/>
      <c r="AR613" s="1526"/>
      <c r="AS613" s="1526"/>
      <c r="AT613" s="1526"/>
      <c r="AU613" s="1526"/>
      <c r="AV613" s="1526"/>
      <c r="AW613" s="1526"/>
      <c r="AX613" s="1526"/>
      <c r="AY613" s="1526"/>
      <c r="AZ613" s="1526"/>
      <c r="BA613" s="1526"/>
      <c r="BB613" s="1526"/>
      <c r="BC613" s="1526"/>
      <c r="BD613" s="1526"/>
      <c r="BE613" s="1526"/>
      <c r="BF613" s="1526"/>
      <c r="BG613" s="1526"/>
      <c r="BH613" s="1526"/>
    </row>
    <row r="614" spans="1:60" s="1525" customFormat="1">
      <c r="A614" s="1569" t="s">
        <v>13</v>
      </c>
      <c r="B614" s="1570" t="s">
        <v>2528</v>
      </c>
      <c r="C614" s="1571">
        <f>C616+C621+C623+C624+C625+C626+C627+C628+C629+C630</f>
        <v>0</v>
      </c>
      <c r="D614" s="1571"/>
      <c r="E614" s="1571"/>
      <c r="F614" s="1571">
        <f t="shared" ref="F614:AH614" si="594">F616+F621+F623+F624+F625+F626+F627+F628+F629+F630</f>
        <v>0</v>
      </c>
      <c r="G614" s="1571">
        <f t="shared" si="594"/>
        <v>0</v>
      </c>
      <c r="H614" s="1571">
        <f t="shared" si="594"/>
        <v>0</v>
      </c>
      <c r="I614" s="1571">
        <f t="shared" si="594"/>
        <v>0</v>
      </c>
      <c r="J614" s="1571">
        <f t="shared" si="594"/>
        <v>0</v>
      </c>
      <c r="K614" s="1571">
        <f t="shared" si="594"/>
        <v>0</v>
      </c>
      <c r="L614" s="1571">
        <f t="shared" si="594"/>
        <v>0</v>
      </c>
      <c r="M614" s="1571">
        <f t="shared" si="594"/>
        <v>0</v>
      </c>
      <c r="N614" s="1571">
        <f t="shared" si="594"/>
        <v>0</v>
      </c>
      <c r="O614" s="1571">
        <f t="shared" si="594"/>
        <v>0</v>
      </c>
      <c r="P614" s="1571">
        <f t="shared" si="594"/>
        <v>0</v>
      </c>
      <c r="Q614" s="1571">
        <f t="shared" si="594"/>
        <v>0</v>
      </c>
      <c r="R614" s="1571">
        <f t="shared" si="594"/>
        <v>0</v>
      </c>
      <c r="S614" s="1571">
        <f t="shared" si="594"/>
        <v>0</v>
      </c>
      <c r="T614" s="1571">
        <f t="shared" si="594"/>
        <v>0</v>
      </c>
      <c r="U614" s="1571">
        <f t="shared" si="594"/>
        <v>0</v>
      </c>
      <c r="V614" s="1571">
        <f t="shared" si="594"/>
        <v>0</v>
      </c>
      <c r="W614" s="1571">
        <f t="shared" si="594"/>
        <v>0</v>
      </c>
      <c r="X614" s="1571">
        <f t="shared" si="594"/>
        <v>0</v>
      </c>
      <c r="Y614" s="1571">
        <f t="shared" si="594"/>
        <v>0</v>
      </c>
      <c r="Z614" s="1571">
        <f t="shared" si="594"/>
        <v>0</v>
      </c>
      <c r="AA614" s="1571">
        <f t="shared" si="594"/>
        <v>0</v>
      </c>
      <c r="AB614" s="1571">
        <f t="shared" si="594"/>
        <v>0</v>
      </c>
      <c r="AC614" s="1571">
        <f t="shared" si="594"/>
        <v>0</v>
      </c>
      <c r="AD614" s="1571">
        <f t="shared" si="594"/>
        <v>0</v>
      </c>
      <c r="AE614" s="1571">
        <f t="shared" si="594"/>
        <v>0</v>
      </c>
      <c r="AF614" s="1571">
        <f t="shared" si="594"/>
        <v>0</v>
      </c>
      <c r="AG614" s="1571">
        <f t="shared" si="594"/>
        <v>0</v>
      </c>
      <c r="AH614" s="1571">
        <f t="shared" si="594"/>
        <v>0</v>
      </c>
      <c r="AI614" s="1571">
        <f>AI616+AI621+AI623+AI624+AI625+AI626+AI627+AI628+AI629+AI630</f>
        <v>0</v>
      </c>
      <c r="AJ614" s="1571">
        <f>AJ616+AJ621+AJ623+AJ624+AJ625+AJ626+AJ627+AJ628+AJ629+AJ630</f>
        <v>0</v>
      </c>
      <c r="AL614" s="561"/>
      <c r="AM614" s="1526"/>
      <c r="AN614" s="1526"/>
      <c r="AO614" s="1526"/>
      <c r="AP614" s="1526"/>
      <c r="AQ614" s="1526"/>
      <c r="AR614" s="1526"/>
      <c r="AS614" s="1526"/>
      <c r="AT614" s="1526"/>
      <c r="AU614" s="1526"/>
      <c r="AV614" s="1526"/>
      <c r="AW614" s="1526"/>
      <c r="AX614" s="1526"/>
      <c r="AY614" s="1526"/>
      <c r="AZ614" s="1526"/>
      <c r="BA614" s="1526"/>
      <c r="BB614" s="1526"/>
      <c r="BC614" s="1526"/>
      <c r="BD614" s="1526"/>
      <c r="BE614" s="1526"/>
      <c r="BF614" s="1526"/>
      <c r="BG614" s="1526"/>
      <c r="BH614" s="1526"/>
    </row>
    <row r="615" spans="1:60" s="1525" customFormat="1">
      <c r="A615" s="1572"/>
      <c r="B615" s="1573" t="s">
        <v>2512</v>
      </c>
      <c r="C615" s="1574"/>
      <c r="D615" s="1574"/>
      <c r="E615" s="1574"/>
      <c r="F615" s="1574"/>
      <c r="G615" s="1575"/>
      <c r="H615" s="1574"/>
      <c r="I615" s="1575"/>
      <c r="J615" s="1574"/>
      <c r="K615" s="1574"/>
      <c r="L615" s="1574"/>
      <c r="M615" s="1574"/>
      <c r="N615" s="1574"/>
      <c r="O615" s="1574"/>
      <c r="P615" s="1574"/>
      <c r="Q615" s="1574"/>
      <c r="R615" s="1574"/>
      <c r="S615" s="1574"/>
      <c r="T615" s="1575"/>
      <c r="U615" s="1575"/>
      <c r="V615" s="1575"/>
      <c r="W615" s="1575"/>
      <c r="X615" s="1575"/>
      <c r="Y615" s="1575"/>
      <c r="Z615" s="1575"/>
      <c r="AA615" s="1575"/>
      <c r="AB615" s="1575"/>
      <c r="AC615" s="1575"/>
      <c r="AD615" s="1575"/>
      <c r="AE615" s="1575"/>
      <c r="AF615" s="1575"/>
      <c r="AG615" s="1575"/>
      <c r="AH615" s="1575"/>
      <c r="AI615" s="1575"/>
      <c r="AJ615" s="1575"/>
      <c r="AL615" s="561"/>
      <c r="AM615" s="1526"/>
      <c r="AN615" s="1526"/>
      <c r="AO615" s="1526"/>
      <c r="AP615" s="1526"/>
      <c r="AQ615" s="1526"/>
      <c r="AR615" s="1526"/>
      <c r="AS615" s="1526"/>
      <c r="AT615" s="1526"/>
      <c r="AU615" s="1526"/>
      <c r="AV615" s="1526"/>
      <c r="AW615" s="1526"/>
      <c r="AX615" s="1526"/>
      <c r="AY615" s="1526"/>
      <c r="AZ615" s="1526"/>
      <c r="BA615" s="1526"/>
      <c r="BB615" s="1526"/>
      <c r="BC615" s="1526"/>
      <c r="BD615" s="1526"/>
      <c r="BE615" s="1526"/>
      <c r="BF615" s="1526"/>
      <c r="BG615" s="1526"/>
      <c r="BH615" s="1526"/>
    </row>
    <row r="616" spans="1:60" s="1525" customFormat="1">
      <c r="A616" s="1572">
        <v>1</v>
      </c>
      <c r="B616" s="583" t="s">
        <v>2489</v>
      </c>
      <c r="C616" s="1576">
        <f t="shared" ref="C616:F616" si="595">C617+C619</f>
        <v>0</v>
      </c>
      <c r="D616" s="1576"/>
      <c r="E616" s="1576"/>
      <c r="F616" s="1576">
        <f t="shared" si="595"/>
        <v>0</v>
      </c>
      <c r="G616" s="1576">
        <f>G617+G619</f>
        <v>0</v>
      </c>
      <c r="H616" s="1576">
        <f t="shared" ref="H616:AJ616" si="596">H617+H619</f>
        <v>0</v>
      </c>
      <c r="I616" s="1576">
        <f t="shared" si="596"/>
        <v>0</v>
      </c>
      <c r="J616" s="1576">
        <f t="shared" si="596"/>
        <v>0</v>
      </c>
      <c r="K616" s="1576">
        <f t="shared" si="596"/>
        <v>0</v>
      </c>
      <c r="L616" s="1576">
        <f t="shared" si="596"/>
        <v>0</v>
      </c>
      <c r="M616" s="1576">
        <f t="shared" si="596"/>
        <v>0</v>
      </c>
      <c r="N616" s="1576">
        <f t="shared" si="596"/>
        <v>0</v>
      </c>
      <c r="O616" s="1576">
        <f t="shared" si="596"/>
        <v>0</v>
      </c>
      <c r="P616" s="1576">
        <f t="shared" si="596"/>
        <v>0</v>
      </c>
      <c r="Q616" s="1576">
        <f t="shared" si="596"/>
        <v>0</v>
      </c>
      <c r="R616" s="1576">
        <f t="shared" si="596"/>
        <v>0</v>
      </c>
      <c r="S616" s="1576">
        <f t="shared" si="596"/>
        <v>0</v>
      </c>
      <c r="T616" s="1576">
        <f t="shared" si="596"/>
        <v>0</v>
      </c>
      <c r="U616" s="1576">
        <f t="shared" si="596"/>
        <v>0</v>
      </c>
      <c r="V616" s="1576">
        <f t="shared" si="596"/>
        <v>0</v>
      </c>
      <c r="W616" s="1576">
        <f t="shared" si="596"/>
        <v>0</v>
      </c>
      <c r="X616" s="1576">
        <f t="shared" si="596"/>
        <v>0</v>
      </c>
      <c r="Y616" s="1576">
        <f t="shared" si="596"/>
        <v>0</v>
      </c>
      <c r="Z616" s="1576">
        <f t="shared" si="596"/>
        <v>0</v>
      </c>
      <c r="AA616" s="1576">
        <f t="shared" si="596"/>
        <v>0</v>
      </c>
      <c r="AB616" s="1576">
        <f t="shared" si="596"/>
        <v>0</v>
      </c>
      <c r="AC616" s="1576">
        <f t="shared" si="596"/>
        <v>0</v>
      </c>
      <c r="AD616" s="1576">
        <f t="shared" si="596"/>
        <v>0</v>
      </c>
      <c r="AE616" s="1576">
        <f t="shared" si="596"/>
        <v>0</v>
      </c>
      <c r="AF616" s="1576">
        <f t="shared" si="596"/>
        <v>0</v>
      </c>
      <c r="AG616" s="1576">
        <f t="shared" si="596"/>
        <v>0</v>
      </c>
      <c r="AH616" s="1576">
        <f t="shared" si="596"/>
        <v>0</v>
      </c>
      <c r="AI616" s="1576">
        <f t="shared" si="596"/>
        <v>0</v>
      </c>
      <c r="AJ616" s="1576">
        <f t="shared" si="596"/>
        <v>0</v>
      </c>
      <c r="AL616" s="561"/>
      <c r="AM616" s="1526"/>
      <c r="AN616" s="1526"/>
      <c r="AO616" s="1526"/>
      <c r="AP616" s="1526"/>
      <c r="AQ616" s="1526"/>
      <c r="AR616" s="1526"/>
      <c r="AS616" s="1526"/>
      <c r="AT616" s="1526"/>
      <c r="AU616" s="1526"/>
      <c r="AV616" s="1526"/>
      <c r="AW616" s="1526"/>
      <c r="AX616" s="1526"/>
      <c r="AY616" s="1526"/>
      <c r="AZ616" s="1526"/>
      <c r="BA616" s="1526"/>
      <c r="BB616" s="1526"/>
      <c r="BC616" s="1526"/>
      <c r="BD616" s="1526"/>
      <c r="BE616" s="1526"/>
      <c r="BF616" s="1526"/>
      <c r="BG616" s="1526"/>
      <c r="BH616" s="1526"/>
    </row>
    <row r="617" spans="1:60" s="1525" customFormat="1">
      <c r="A617" s="1572"/>
      <c r="B617" s="584" t="s">
        <v>2490</v>
      </c>
      <c r="C617" s="585"/>
      <c r="D617" s="585"/>
      <c r="E617" s="585"/>
      <c r="F617" s="585"/>
      <c r="G617" s="1575">
        <f t="shared" ref="G617" si="597">H617+I617+T617</f>
        <v>0</v>
      </c>
      <c r="H617" s="585"/>
      <c r="I617" s="1575">
        <f>SUM(J617:S617)</f>
        <v>0</v>
      </c>
      <c r="J617" s="585"/>
      <c r="K617" s="1577"/>
      <c r="L617" s="1365"/>
      <c r="M617" s="1365"/>
      <c r="N617" s="1365"/>
      <c r="O617" s="1365"/>
      <c r="P617" s="1365"/>
      <c r="Q617" s="1365"/>
      <c r="R617" s="1365"/>
      <c r="S617" s="1365"/>
      <c r="T617" s="1576">
        <f t="shared" ref="T617:T629" si="598">(H617+K617+L617+R617)*23.5%</f>
        <v>0</v>
      </c>
      <c r="U617" s="1575">
        <f t="shared" ref="U617:U629" si="599">V617+W617+AH617</f>
        <v>0</v>
      </c>
      <c r="V617" s="1575">
        <f>(H617/1.39)*1.49</f>
        <v>0</v>
      </c>
      <c r="W617" s="1575">
        <f t="shared" ref="W617:W634" si="600">SUM(X617:AG617)</f>
        <v>0</v>
      </c>
      <c r="X617" s="1575">
        <f>(J617/1.39)*1.49</f>
        <v>0</v>
      </c>
      <c r="Y617" s="1575">
        <f>(K617/1.39)*1.49</f>
        <v>0</v>
      </c>
      <c r="Z617" s="1575">
        <f>(L617/1.39)*1.49</f>
        <v>0</v>
      </c>
      <c r="AA617" s="1575">
        <f>(M617/1.39)*1.49</f>
        <v>0</v>
      </c>
      <c r="AB617" s="1575">
        <f t="shared" ref="AB617:AG632" si="601">(N617/1.39)*1.49</f>
        <v>0</v>
      </c>
      <c r="AC617" s="1575">
        <f t="shared" si="601"/>
        <v>0</v>
      </c>
      <c r="AD617" s="1575">
        <f t="shared" si="601"/>
        <v>0</v>
      </c>
      <c r="AE617" s="1575">
        <f t="shared" si="601"/>
        <v>0</v>
      </c>
      <c r="AF617" s="1575">
        <f t="shared" si="601"/>
        <v>0</v>
      </c>
      <c r="AG617" s="1575">
        <f t="shared" si="601"/>
        <v>0</v>
      </c>
      <c r="AH617" s="1575">
        <f>(V617+Y617+Z617+AF617)*23.5%</f>
        <v>0</v>
      </c>
      <c r="AI617" s="1576">
        <f t="shared" ref="AI617:AI629" si="602">U617-G617</f>
        <v>0</v>
      </c>
      <c r="AJ617" s="1576">
        <f t="shared" ref="AJ617:AJ629" si="603">AI617*6</f>
        <v>0</v>
      </c>
      <c r="AL617" s="561"/>
      <c r="AM617" s="1526"/>
      <c r="AN617" s="1526"/>
      <c r="AO617" s="1526"/>
      <c r="AP617" s="1526"/>
      <c r="AQ617" s="1526"/>
      <c r="AR617" s="1526"/>
      <c r="AS617" s="1526"/>
      <c r="AT617" s="1526"/>
      <c r="AU617" s="1526"/>
      <c r="AV617" s="1526"/>
      <c r="AW617" s="1526"/>
      <c r="AX617" s="1526"/>
      <c r="AY617" s="1526"/>
      <c r="AZ617" s="1526"/>
      <c r="BA617" s="1526"/>
      <c r="BB617" s="1526"/>
      <c r="BC617" s="1526"/>
      <c r="BD617" s="1526"/>
      <c r="BE617" s="1526"/>
      <c r="BF617" s="1526"/>
      <c r="BG617" s="1526"/>
      <c r="BH617" s="1526"/>
    </row>
    <row r="618" spans="1:60" s="1525" customFormat="1">
      <c r="A618" s="1578"/>
      <c r="B618" s="586" t="s">
        <v>2529</v>
      </c>
      <c r="C618" s="585"/>
      <c r="D618" s="585"/>
      <c r="E618" s="585"/>
      <c r="F618" s="585"/>
      <c r="G618" s="1576"/>
      <c r="H618" s="585"/>
      <c r="I618" s="1576"/>
      <c r="J618" s="585"/>
      <c r="K618" s="585"/>
      <c r="L618" s="585"/>
      <c r="M618" s="585"/>
      <c r="N618" s="585"/>
      <c r="O618" s="585"/>
      <c r="P618" s="585"/>
      <c r="Q618" s="585"/>
      <c r="R618" s="585"/>
      <c r="S618" s="585"/>
      <c r="T618" s="1576">
        <f t="shared" si="598"/>
        <v>0</v>
      </c>
      <c r="U618" s="1575">
        <f t="shared" si="599"/>
        <v>0</v>
      </c>
      <c r="V618" s="1575">
        <f t="shared" ref="V618:V633" si="604">(H618/1.39)*1.49</f>
        <v>0</v>
      </c>
      <c r="W618" s="1575">
        <f t="shared" si="600"/>
        <v>0</v>
      </c>
      <c r="X618" s="1575">
        <f t="shared" ref="X618:AG633" si="605">(J618/1.39)*1.49</f>
        <v>0</v>
      </c>
      <c r="Y618" s="1575">
        <f t="shared" si="605"/>
        <v>0</v>
      </c>
      <c r="Z618" s="1575">
        <f t="shared" si="605"/>
        <v>0</v>
      </c>
      <c r="AA618" s="1575">
        <f t="shared" si="605"/>
        <v>0</v>
      </c>
      <c r="AB618" s="1575">
        <f t="shared" si="601"/>
        <v>0</v>
      </c>
      <c r="AC618" s="1575">
        <f t="shared" si="601"/>
        <v>0</v>
      </c>
      <c r="AD618" s="1575">
        <f t="shared" si="601"/>
        <v>0</v>
      </c>
      <c r="AE618" s="1575">
        <f t="shared" si="601"/>
        <v>0</v>
      </c>
      <c r="AF618" s="1575">
        <f t="shared" si="601"/>
        <v>0</v>
      </c>
      <c r="AG618" s="1575">
        <f t="shared" si="601"/>
        <v>0</v>
      </c>
      <c r="AH618" s="1575">
        <f t="shared" ref="AH618:AH629" si="606">(V618+Y618+Z618+AF618)*23.5%</f>
        <v>0</v>
      </c>
      <c r="AI618" s="1576">
        <f t="shared" si="602"/>
        <v>0</v>
      </c>
      <c r="AJ618" s="1576">
        <f t="shared" si="603"/>
        <v>0</v>
      </c>
      <c r="AL618" s="561"/>
      <c r="AM618" s="1526"/>
      <c r="AN618" s="1526"/>
      <c r="AO618" s="1526"/>
      <c r="AP618" s="1526"/>
      <c r="AQ618" s="1526"/>
      <c r="AR618" s="1526"/>
      <c r="AS618" s="1526"/>
      <c r="AT618" s="1526"/>
      <c r="AU618" s="1526"/>
      <c r="AV618" s="1526"/>
      <c r="AW618" s="1526"/>
      <c r="AX618" s="1526"/>
      <c r="AY618" s="1526"/>
      <c r="AZ618" s="1526"/>
      <c r="BA618" s="1526"/>
      <c r="BB618" s="1526"/>
      <c r="BC618" s="1526"/>
      <c r="BD618" s="1526"/>
      <c r="BE618" s="1526"/>
      <c r="BF618" s="1526"/>
      <c r="BG618" s="1526"/>
      <c r="BH618" s="1526"/>
    </row>
    <row r="619" spans="1:60" s="1525" customFormat="1">
      <c r="A619" s="1578"/>
      <c r="B619" s="584" t="s">
        <v>2491</v>
      </c>
      <c r="C619" s="585"/>
      <c r="D619" s="585"/>
      <c r="E619" s="585"/>
      <c r="F619" s="585"/>
      <c r="G619" s="1575">
        <f t="shared" ref="G619" si="607">H619+I619+T619</f>
        <v>0</v>
      </c>
      <c r="H619" s="585"/>
      <c r="I619" s="1575">
        <f>SUM(J619:S619)</f>
        <v>0</v>
      </c>
      <c r="J619" s="585"/>
      <c r="K619" s="585"/>
      <c r="L619" s="585"/>
      <c r="M619" s="585"/>
      <c r="N619" s="585"/>
      <c r="O619" s="585"/>
      <c r="P619" s="585"/>
      <c r="Q619" s="585"/>
      <c r="R619" s="585"/>
      <c r="S619" s="585"/>
      <c r="T619" s="1576">
        <f t="shared" si="598"/>
        <v>0</v>
      </c>
      <c r="U619" s="1575">
        <f t="shared" si="599"/>
        <v>0</v>
      </c>
      <c r="V619" s="1575">
        <f t="shared" si="604"/>
        <v>0</v>
      </c>
      <c r="W619" s="1575">
        <f t="shared" si="600"/>
        <v>0</v>
      </c>
      <c r="X619" s="1575">
        <f t="shared" si="605"/>
        <v>0</v>
      </c>
      <c r="Y619" s="1575">
        <f t="shared" si="605"/>
        <v>0</v>
      </c>
      <c r="Z619" s="1575">
        <f t="shared" si="605"/>
        <v>0</v>
      </c>
      <c r="AA619" s="1575">
        <f t="shared" si="605"/>
        <v>0</v>
      </c>
      <c r="AB619" s="1575">
        <f t="shared" si="601"/>
        <v>0</v>
      </c>
      <c r="AC619" s="1575">
        <f t="shared" si="601"/>
        <v>0</v>
      </c>
      <c r="AD619" s="1575">
        <f t="shared" si="601"/>
        <v>0</v>
      </c>
      <c r="AE619" s="1575">
        <f t="shared" si="601"/>
        <v>0</v>
      </c>
      <c r="AF619" s="1575">
        <f t="shared" si="601"/>
        <v>0</v>
      </c>
      <c r="AG619" s="1575">
        <f t="shared" si="601"/>
        <v>0</v>
      </c>
      <c r="AH619" s="1575">
        <f t="shared" si="606"/>
        <v>0</v>
      </c>
      <c r="AI619" s="1576">
        <f t="shared" si="602"/>
        <v>0</v>
      </c>
      <c r="AJ619" s="1576">
        <f t="shared" si="603"/>
        <v>0</v>
      </c>
      <c r="AL619" s="561"/>
      <c r="AM619" s="1526"/>
      <c r="AN619" s="1526"/>
      <c r="AO619" s="1526"/>
      <c r="AP619" s="1526"/>
      <c r="AQ619" s="1526"/>
      <c r="AR619" s="1526"/>
      <c r="AS619" s="1526"/>
      <c r="AT619" s="1526"/>
      <c r="AU619" s="1526"/>
      <c r="AV619" s="1526"/>
      <c r="AW619" s="1526"/>
      <c r="AX619" s="1526"/>
      <c r="AY619" s="1526"/>
      <c r="AZ619" s="1526"/>
      <c r="BA619" s="1526"/>
      <c r="BB619" s="1526"/>
      <c r="BC619" s="1526"/>
      <c r="BD619" s="1526"/>
      <c r="BE619" s="1526"/>
      <c r="BF619" s="1526"/>
      <c r="BG619" s="1526"/>
      <c r="BH619" s="1526"/>
    </row>
    <row r="620" spans="1:60" s="1525" customFormat="1">
      <c r="A620" s="1578"/>
      <c r="B620" s="586" t="s">
        <v>2529</v>
      </c>
      <c r="C620" s="585"/>
      <c r="D620" s="585"/>
      <c r="E620" s="585"/>
      <c r="F620" s="585"/>
      <c r="G620" s="1576"/>
      <c r="H620" s="585"/>
      <c r="I620" s="1576"/>
      <c r="J620" s="585"/>
      <c r="K620" s="585"/>
      <c r="L620" s="585"/>
      <c r="M620" s="585"/>
      <c r="N620" s="585"/>
      <c r="O620" s="585"/>
      <c r="P620" s="585"/>
      <c r="Q620" s="585"/>
      <c r="R620" s="585"/>
      <c r="S620" s="585"/>
      <c r="T620" s="1576">
        <f t="shared" si="598"/>
        <v>0</v>
      </c>
      <c r="U620" s="1575">
        <f t="shared" si="599"/>
        <v>0</v>
      </c>
      <c r="V620" s="1575">
        <f t="shared" si="604"/>
        <v>0</v>
      </c>
      <c r="W620" s="1575">
        <f t="shared" si="600"/>
        <v>0</v>
      </c>
      <c r="X620" s="1575">
        <f t="shared" si="605"/>
        <v>0</v>
      </c>
      <c r="Y620" s="1575">
        <f t="shared" si="605"/>
        <v>0</v>
      </c>
      <c r="Z620" s="1575">
        <f t="shared" si="605"/>
        <v>0</v>
      </c>
      <c r="AA620" s="1575">
        <f t="shared" si="605"/>
        <v>0</v>
      </c>
      <c r="AB620" s="1575">
        <f t="shared" si="601"/>
        <v>0</v>
      </c>
      <c r="AC620" s="1575">
        <f t="shared" si="601"/>
        <v>0</v>
      </c>
      <c r="AD620" s="1575">
        <f t="shared" si="601"/>
        <v>0</v>
      </c>
      <c r="AE620" s="1575">
        <f t="shared" si="601"/>
        <v>0</v>
      </c>
      <c r="AF620" s="1575">
        <f t="shared" si="601"/>
        <v>0</v>
      </c>
      <c r="AG620" s="1575">
        <f t="shared" si="601"/>
        <v>0</v>
      </c>
      <c r="AH620" s="1575">
        <f t="shared" si="606"/>
        <v>0</v>
      </c>
      <c r="AI620" s="1576">
        <f t="shared" si="602"/>
        <v>0</v>
      </c>
      <c r="AJ620" s="1576">
        <f t="shared" si="603"/>
        <v>0</v>
      </c>
      <c r="AL620" s="561"/>
      <c r="AM620" s="1526"/>
      <c r="AN620" s="1526"/>
      <c r="AO620" s="1526"/>
      <c r="AP620" s="1526"/>
      <c r="AQ620" s="1526"/>
      <c r="AR620" s="1526"/>
      <c r="AS620" s="1526"/>
      <c r="AT620" s="1526"/>
      <c r="AU620" s="1526"/>
      <c r="AV620" s="1526"/>
      <c r="AW620" s="1526"/>
      <c r="AX620" s="1526"/>
      <c r="AY620" s="1526"/>
      <c r="AZ620" s="1526"/>
      <c r="BA620" s="1526"/>
      <c r="BB620" s="1526"/>
      <c r="BC620" s="1526"/>
      <c r="BD620" s="1526"/>
      <c r="BE620" s="1526"/>
      <c r="BF620" s="1526"/>
      <c r="BG620" s="1526"/>
      <c r="BH620" s="1526"/>
    </row>
    <row r="621" spans="1:60" s="1525" customFormat="1">
      <c r="A621" s="1572">
        <v>2</v>
      </c>
      <c r="B621" s="583" t="s">
        <v>2237</v>
      </c>
      <c r="C621" s="585"/>
      <c r="D621" s="585"/>
      <c r="E621" s="585"/>
      <c r="F621" s="585"/>
      <c r="G621" s="1575">
        <f t="shared" ref="G621:G629" si="608">H621+I621+T621</f>
        <v>0</v>
      </c>
      <c r="H621" s="585"/>
      <c r="I621" s="1575">
        <f>SUM(J621:S621)</f>
        <v>0</v>
      </c>
      <c r="J621" s="585"/>
      <c r="K621" s="585"/>
      <c r="L621" s="585"/>
      <c r="M621" s="585"/>
      <c r="N621" s="585"/>
      <c r="O621" s="585"/>
      <c r="P621" s="585"/>
      <c r="Q621" s="585"/>
      <c r="R621" s="585"/>
      <c r="S621" s="585"/>
      <c r="T621" s="1576">
        <f t="shared" si="598"/>
        <v>0</v>
      </c>
      <c r="U621" s="1575">
        <f t="shared" si="599"/>
        <v>0</v>
      </c>
      <c r="V621" s="1575">
        <f t="shared" si="604"/>
        <v>0</v>
      </c>
      <c r="W621" s="1575">
        <f t="shared" si="600"/>
        <v>0</v>
      </c>
      <c r="X621" s="1575">
        <f t="shared" si="605"/>
        <v>0</v>
      </c>
      <c r="Y621" s="1575">
        <f t="shared" si="605"/>
        <v>0</v>
      </c>
      <c r="Z621" s="1575">
        <f t="shared" si="605"/>
        <v>0</v>
      </c>
      <c r="AA621" s="1575">
        <f t="shared" si="605"/>
        <v>0</v>
      </c>
      <c r="AB621" s="1575">
        <f t="shared" si="601"/>
        <v>0</v>
      </c>
      <c r="AC621" s="1575">
        <f t="shared" si="601"/>
        <v>0</v>
      </c>
      <c r="AD621" s="1575">
        <f t="shared" si="601"/>
        <v>0</v>
      </c>
      <c r="AE621" s="1575">
        <f t="shared" si="601"/>
        <v>0</v>
      </c>
      <c r="AF621" s="1575">
        <f t="shared" si="601"/>
        <v>0</v>
      </c>
      <c r="AG621" s="1575">
        <f t="shared" si="601"/>
        <v>0</v>
      </c>
      <c r="AH621" s="1575">
        <f t="shared" si="606"/>
        <v>0</v>
      </c>
      <c r="AI621" s="1576">
        <f t="shared" si="602"/>
        <v>0</v>
      </c>
      <c r="AJ621" s="1576">
        <f t="shared" si="603"/>
        <v>0</v>
      </c>
      <c r="AL621" s="561"/>
      <c r="AM621" s="1526"/>
      <c r="AN621" s="1526"/>
      <c r="AO621" s="1526"/>
      <c r="AP621" s="1526"/>
      <c r="AQ621" s="1526"/>
      <c r="AR621" s="1526"/>
      <c r="AS621" s="1526"/>
      <c r="AT621" s="1526"/>
      <c r="AU621" s="1526"/>
      <c r="AV621" s="1526"/>
      <c r="AW621" s="1526"/>
      <c r="AX621" s="1526"/>
      <c r="AY621" s="1526"/>
      <c r="AZ621" s="1526"/>
      <c r="BA621" s="1526"/>
      <c r="BB621" s="1526"/>
      <c r="BC621" s="1526"/>
      <c r="BD621" s="1526"/>
      <c r="BE621" s="1526"/>
      <c r="BF621" s="1526"/>
      <c r="BG621" s="1526"/>
      <c r="BH621" s="1526"/>
    </row>
    <row r="622" spans="1:60" s="1525" customFormat="1">
      <c r="A622" s="1578"/>
      <c r="B622" s="586" t="s">
        <v>2529</v>
      </c>
      <c r="C622" s="585"/>
      <c r="D622" s="585"/>
      <c r="E622" s="585"/>
      <c r="F622" s="585"/>
      <c r="G622" s="1576"/>
      <c r="H622" s="585"/>
      <c r="I622" s="1576"/>
      <c r="J622" s="585"/>
      <c r="K622" s="585"/>
      <c r="L622" s="585"/>
      <c r="M622" s="585"/>
      <c r="N622" s="585"/>
      <c r="O622" s="585"/>
      <c r="P622" s="585"/>
      <c r="Q622" s="585"/>
      <c r="R622" s="585"/>
      <c r="S622" s="585"/>
      <c r="T622" s="1576">
        <f t="shared" si="598"/>
        <v>0</v>
      </c>
      <c r="U622" s="1575">
        <f t="shared" si="599"/>
        <v>0</v>
      </c>
      <c r="V622" s="1575">
        <f t="shared" si="604"/>
        <v>0</v>
      </c>
      <c r="W622" s="1575">
        <f t="shared" si="600"/>
        <v>0</v>
      </c>
      <c r="X622" s="1575">
        <f t="shared" si="605"/>
        <v>0</v>
      </c>
      <c r="Y622" s="1575">
        <f t="shared" si="605"/>
        <v>0</v>
      </c>
      <c r="Z622" s="1575">
        <f t="shared" si="605"/>
        <v>0</v>
      </c>
      <c r="AA622" s="1575">
        <f t="shared" si="605"/>
        <v>0</v>
      </c>
      <c r="AB622" s="1575">
        <f t="shared" si="601"/>
        <v>0</v>
      </c>
      <c r="AC622" s="1575" t="s">
        <v>2530</v>
      </c>
      <c r="AD622" s="1575">
        <f t="shared" si="601"/>
        <v>0</v>
      </c>
      <c r="AE622" s="1575">
        <f t="shared" si="601"/>
        <v>0</v>
      </c>
      <c r="AF622" s="1575">
        <f t="shared" si="601"/>
        <v>0</v>
      </c>
      <c r="AG622" s="1575">
        <f t="shared" si="601"/>
        <v>0</v>
      </c>
      <c r="AH622" s="1575">
        <f t="shared" si="606"/>
        <v>0</v>
      </c>
      <c r="AI622" s="1576">
        <f t="shared" si="602"/>
        <v>0</v>
      </c>
      <c r="AJ622" s="1576">
        <f t="shared" si="603"/>
        <v>0</v>
      </c>
      <c r="AL622" s="561"/>
      <c r="AM622" s="1526"/>
      <c r="AN622" s="1526"/>
      <c r="AO622" s="1526"/>
      <c r="AP622" s="1526"/>
      <c r="AQ622" s="1526"/>
      <c r="AR622" s="1526"/>
      <c r="AS622" s="1526"/>
      <c r="AT622" s="1526"/>
      <c r="AU622" s="1526"/>
      <c r="AV622" s="1526"/>
      <c r="AW622" s="1526"/>
      <c r="AX622" s="1526"/>
      <c r="AY622" s="1526"/>
      <c r="AZ622" s="1526"/>
      <c r="BA622" s="1526"/>
      <c r="BB622" s="1526"/>
      <c r="BC622" s="1526"/>
      <c r="BD622" s="1526"/>
      <c r="BE622" s="1526"/>
      <c r="BF622" s="1526"/>
      <c r="BG622" s="1526"/>
      <c r="BH622" s="1526"/>
    </row>
    <row r="623" spans="1:60" s="1525" customFormat="1">
      <c r="A623" s="1572">
        <v>3</v>
      </c>
      <c r="B623" s="583" t="s">
        <v>2531</v>
      </c>
      <c r="C623" s="585"/>
      <c r="D623" s="585"/>
      <c r="E623" s="585"/>
      <c r="F623" s="585"/>
      <c r="G623" s="1575">
        <f t="shared" si="608"/>
        <v>0</v>
      </c>
      <c r="H623" s="585"/>
      <c r="I623" s="1575">
        <f t="shared" ref="I623:I629" si="609">SUM(J623:S623)</f>
        <v>0</v>
      </c>
      <c r="J623" s="585"/>
      <c r="K623" s="585"/>
      <c r="L623" s="585"/>
      <c r="M623" s="585"/>
      <c r="N623" s="585"/>
      <c r="O623" s="585"/>
      <c r="P623" s="585"/>
      <c r="Q623" s="585"/>
      <c r="R623" s="585"/>
      <c r="S623" s="585"/>
      <c r="T623" s="1576">
        <f t="shared" si="598"/>
        <v>0</v>
      </c>
      <c r="U623" s="1575">
        <f t="shared" si="599"/>
        <v>0</v>
      </c>
      <c r="V623" s="1575">
        <f t="shared" si="604"/>
        <v>0</v>
      </c>
      <c r="W623" s="1575">
        <f t="shared" si="600"/>
        <v>0</v>
      </c>
      <c r="X623" s="1575">
        <f t="shared" si="605"/>
        <v>0</v>
      </c>
      <c r="Y623" s="1575">
        <f t="shared" si="605"/>
        <v>0</v>
      </c>
      <c r="Z623" s="1575">
        <f t="shared" si="605"/>
        <v>0</v>
      </c>
      <c r="AA623" s="1575">
        <f t="shared" si="605"/>
        <v>0</v>
      </c>
      <c r="AB623" s="1575">
        <f t="shared" si="601"/>
        <v>0</v>
      </c>
      <c r="AC623" s="1575">
        <f t="shared" si="601"/>
        <v>0</v>
      </c>
      <c r="AD623" s="1575">
        <f t="shared" si="601"/>
        <v>0</v>
      </c>
      <c r="AE623" s="1575">
        <f t="shared" si="601"/>
        <v>0</v>
      </c>
      <c r="AF623" s="1575">
        <f t="shared" si="601"/>
        <v>0</v>
      </c>
      <c r="AG623" s="1575">
        <f t="shared" si="601"/>
        <v>0</v>
      </c>
      <c r="AH623" s="1575">
        <f t="shared" si="606"/>
        <v>0</v>
      </c>
      <c r="AI623" s="1576">
        <f t="shared" si="602"/>
        <v>0</v>
      </c>
      <c r="AJ623" s="1576">
        <f t="shared" si="603"/>
        <v>0</v>
      </c>
      <c r="AL623" s="561"/>
      <c r="AM623" s="1526"/>
      <c r="AN623" s="1526"/>
      <c r="AO623" s="1526"/>
      <c r="AP623" s="1526"/>
      <c r="AQ623" s="1526"/>
      <c r="AR623" s="1526"/>
      <c r="AS623" s="1526"/>
      <c r="AT623" s="1526"/>
      <c r="AU623" s="1526"/>
      <c r="AV623" s="1526"/>
      <c r="AW623" s="1526"/>
      <c r="AX623" s="1526"/>
      <c r="AY623" s="1526"/>
      <c r="AZ623" s="1526"/>
      <c r="BA623" s="1526"/>
      <c r="BB623" s="1526"/>
      <c r="BC623" s="1526"/>
      <c r="BD623" s="1526"/>
      <c r="BE623" s="1526"/>
      <c r="BF623" s="1526"/>
      <c r="BG623" s="1526"/>
      <c r="BH623" s="1526"/>
    </row>
    <row r="624" spans="1:60" s="1525" customFormat="1">
      <c r="A624" s="1572">
        <v>4</v>
      </c>
      <c r="B624" s="583" t="s">
        <v>2532</v>
      </c>
      <c r="C624" s="585"/>
      <c r="D624" s="585"/>
      <c r="E624" s="585"/>
      <c r="F624" s="585"/>
      <c r="G624" s="1575">
        <f t="shared" si="608"/>
        <v>0</v>
      </c>
      <c r="H624" s="585"/>
      <c r="I624" s="1575">
        <f t="shared" si="609"/>
        <v>0</v>
      </c>
      <c r="J624" s="585"/>
      <c r="K624" s="585"/>
      <c r="L624" s="585"/>
      <c r="M624" s="585"/>
      <c r="N624" s="585"/>
      <c r="O624" s="585"/>
      <c r="P624" s="585"/>
      <c r="Q624" s="585"/>
      <c r="R624" s="585"/>
      <c r="S624" s="585"/>
      <c r="T624" s="1576">
        <f t="shared" si="598"/>
        <v>0</v>
      </c>
      <c r="U624" s="1575">
        <f t="shared" si="599"/>
        <v>0</v>
      </c>
      <c r="V624" s="1575">
        <f t="shared" si="604"/>
        <v>0</v>
      </c>
      <c r="W624" s="1575">
        <f t="shared" si="600"/>
        <v>0</v>
      </c>
      <c r="X624" s="1575">
        <f t="shared" si="605"/>
        <v>0</v>
      </c>
      <c r="Y624" s="1575">
        <f t="shared" si="605"/>
        <v>0</v>
      </c>
      <c r="Z624" s="1575">
        <f t="shared" si="605"/>
        <v>0</v>
      </c>
      <c r="AA624" s="1575">
        <f t="shared" si="605"/>
        <v>0</v>
      </c>
      <c r="AB624" s="1575">
        <f t="shared" si="601"/>
        <v>0</v>
      </c>
      <c r="AC624" s="1575">
        <f t="shared" si="601"/>
        <v>0</v>
      </c>
      <c r="AD624" s="1575">
        <f t="shared" si="601"/>
        <v>0</v>
      </c>
      <c r="AE624" s="1575">
        <f t="shared" si="601"/>
        <v>0</v>
      </c>
      <c r="AF624" s="1575">
        <f t="shared" si="601"/>
        <v>0</v>
      </c>
      <c r="AG624" s="1575">
        <f t="shared" si="601"/>
        <v>0</v>
      </c>
      <c r="AH624" s="1575">
        <f t="shared" si="606"/>
        <v>0</v>
      </c>
      <c r="AI624" s="1576">
        <f t="shared" si="602"/>
        <v>0</v>
      </c>
      <c r="AJ624" s="1576">
        <f t="shared" si="603"/>
        <v>0</v>
      </c>
      <c r="AL624" s="561"/>
      <c r="AM624" s="1526"/>
      <c r="AN624" s="1526"/>
      <c r="AO624" s="1526"/>
      <c r="AP624" s="1526"/>
      <c r="AQ624" s="1526"/>
      <c r="AR624" s="1526"/>
      <c r="AS624" s="1526"/>
      <c r="AT624" s="1526"/>
      <c r="AU624" s="1526"/>
      <c r="AV624" s="1526"/>
      <c r="AW624" s="1526"/>
      <c r="AX624" s="1526"/>
      <c r="AY624" s="1526"/>
      <c r="AZ624" s="1526"/>
      <c r="BA624" s="1526"/>
      <c r="BB624" s="1526"/>
      <c r="BC624" s="1526"/>
      <c r="BD624" s="1526"/>
      <c r="BE624" s="1526"/>
      <c r="BF624" s="1526"/>
      <c r="BG624" s="1526"/>
      <c r="BH624" s="1526"/>
    </row>
    <row r="625" spans="1:60" s="1525" customFormat="1">
      <c r="A625" s="1572">
        <v>5</v>
      </c>
      <c r="B625" s="583" t="s">
        <v>2533</v>
      </c>
      <c r="C625" s="585"/>
      <c r="D625" s="585"/>
      <c r="E625" s="585"/>
      <c r="F625" s="585"/>
      <c r="G625" s="1575">
        <f t="shared" si="608"/>
        <v>0</v>
      </c>
      <c r="H625" s="585"/>
      <c r="I625" s="1575">
        <f t="shared" si="609"/>
        <v>0</v>
      </c>
      <c r="J625" s="585"/>
      <c r="K625" s="585"/>
      <c r="L625" s="585"/>
      <c r="M625" s="585"/>
      <c r="N625" s="585"/>
      <c r="O625" s="585"/>
      <c r="P625" s="585"/>
      <c r="Q625" s="585"/>
      <c r="R625" s="585"/>
      <c r="S625" s="585"/>
      <c r="T625" s="1576">
        <f t="shared" si="598"/>
        <v>0</v>
      </c>
      <c r="U625" s="1575">
        <f t="shared" si="599"/>
        <v>0</v>
      </c>
      <c r="V625" s="1575">
        <f t="shared" si="604"/>
        <v>0</v>
      </c>
      <c r="W625" s="1575">
        <f t="shared" si="600"/>
        <v>0</v>
      </c>
      <c r="X625" s="1575">
        <f t="shared" si="605"/>
        <v>0</v>
      </c>
      <c r="Y625" s="1575">
        <f t="shared" si="605"/>
        <v>0</v>
      </c>
      <c r="Z625" s="1575">
        <f t="shared" si="605"/>
        <v>0</v>
      </c>
      <c r="AA625" s="1575">
        <f t="shared" si="605"/>
        <v>0</v>
      </c>
      <c r="AB625" s="1575">
        <f t="shared" si="601"/>
        <v>0</v>
      </c>
      <c r="AC625" s="1575">
        <f t="shared" si="601"/>
        <v>0</v>
      </c>
      <c r="AD625" s="1575">
        <f t="shared" si="601"/>
        <v>0</v>
      </c>
      <c r="AE625" s="1575">
        <f t="shared" si="601"/>
        <v>0</v>
      </c>
      <c r="AF625" s="1575">
        <f t="shared" si="601"/>
        <v>0</v>
      </c>
      <c r="AG625" s="1575">
        <f t="shared" si="601"/>
        <v>0</v>
      </c>
      <c r="AH625" s="1575">
        <f t="shared" si="606"/>
        <v>0</v>
      </c>
      <c r="AI625" s="1576">
        <f t="shared" si="602"/>
        <v>0</v>
      </c>
      <c r="AJ625" s="1576">
        <f t="shared" si="603"/>
        <v>0</v>
      </c>
      <c r="AL625" s="561"/>
      <c r="AM625" s="1526"/>
      <c r="AN625" s="1526"/>
      <c r="AO625" s="1526"/>
      <c r="AP625" s="1526"/>
      <c r="AQ625" s="1526"/>
      <c r="AR625" s="1526"/>
      <c r="AS625" s="1526"/>
      <c r="AT625" s="1526"/>
      <c r="AU625" s="1526"/>
      <c r="AV625" s="1526"/>
      <c r="AW625" s="1526"/>
      <c r="AX625" s="1526"/>
      <c r="AY625" s="1526"/>
      <c r="AZ625" s="1526"/>
      <c r="BA625" s="1526"/>
      <c r="BB625" s="1526"/>
      <c r="BC625" s="1526"/>
      <c r="BD625" s="1526"/>
      <c r="BE625" s="1526"/>
      <c r="BF625" s="1526"/>
      <c r="BG625" s="1526"/>
      <c r="BH625" s="1526"/>
    </row>
    <row r="626" spans="1:60" s="1525" customFormat="1">
      <c r="A626" s="1572">
        <v>6</v>
      </c>
      <c r="B626" s="583" t="s">
        <v>2534</v>
      </c>
      <c r="C626" s="585"/>
      <c r="D626" s="585"/>
      <c r="E626" s="585"/>
      <c r="F626" s="585"/>
      <c r="G626" s="1575">
        <f t="shared" si="608"/>
        <v>0</v>
      </c>
      <c r="H626" s="585"/>
      <c r="I626" s="1575">
        <f t="shared" si="609"/>
        <v>0</v>
      </c>
      <c r="J626" s="585"/>
      <c r="K626" s="585"/>
      <c r="L626" s="585"/>
      <c r="M626" s="585"/>
      <c r="N626" s="585"/>
      <c r="O626" s="585"/>
      <c r="P626" s="585"/>
      <c r="Q626" s="585"/>
      <c r="R626" s="585"/>
      <c r="S626" s="585"/>
      <c r="T626" s="1576">
        <f t="shared" si="598"/>
        <v>0</v>
      </c>
      <c r="U626" s="1575">
        <f t="shared" si="599"/>
        <v>0</v>
      </c>
      <c r="V626" s="1575">
        <f t="shared" si="604"/>
        <v>0</v>
      </c>
      <c r="W626" s="1575">
        <f t="shared" si="600"/>
        <v>0</v>
      </c>
      <c r="X626" s="1575">
        <f t="shared" si="605"/>
        <v>0</v>
      </c>
      <c r="Y626" s="1575">
        <f t="shared" si="605"/>
        <v>0</v>
      </c>
      <c r="Z626" s="1575">
        <f t="shared" si="605"/>
        <v>0</v>
      </c>
      <c r="AA626" s="1575">
        <f t="shared" si="605"/>
        <v>0</v>
      </c>
      <c r="AB626" s="1575">
        <f t="shared" si="601"/>
        <v>0</v>
      </c>
      <c r="AC626" s="1575">
        <f t="shared" si="601"/>
        <v>0</v>
      </c>
      <c r="AD626" s="1575">
        <f t="shared" si="601"/>
        <v>0</v>
      </c>
      <c r="AE626" s="1575">
        <f t="shared" si="601"/>
        <v>0</v>
      </c>
      <c r="AF626" s="1575">
        <f t="shared" si="601"/>
        <v>0</v>
      </c>
      <c r="AG626" s="1575">
        <f t="shared" si="601"/>
        <v>0</v>
      </c>
      <c r="AH626" s="1575">
        <f t="shared" si="606"/>
        <v>0</v>
      </c>
      <c r="AI626" s="1576">
        <f t="shared" si="602"/>
        <v>0</v>
      </c>
      <c r="AJ626" s="1576">
        <f t="shared" si="603"/>
        <v>0</v>
      </c>
      <c r="AL626" s="561"/>
      <c r="AM626" s="1526"/>
      <c r="AN626" s="1526"/>
      <c r="AO626" s="1526"/>
      <c r="AP626" s="1526"/>
      <c r="AQ626" s="1526"/>
      <c r="AR626" s="1526"/>
      <c r="AS626" s="1526"/>
      <c r="AT626" s="1526"/>
      <c r="AU626" s="1526"/>
      <c r="AV626" s="1526"/>
      <c r="AW626" s="1526"/>
      <c r="AX626" s="1526"/>
      <c r="AY626" s="1526"/>
      <c r="AZ626" s="1526"/>
      <c r="BA626" s="1526"/>
      <c r="BB626" s="1526"/>
      <c r="BC626" s="1526"/>
      <c r="BD626" s="1526"/>
      <c r="BE626" s="1526"/>
      <c r="BF626" s="1526"/>
      <c r="BG626" s="1526"/>
      <c r="BH626" s="1526"/>
    </row>
    <row r="627" spans="1:60" s="1525" customFormat="1">
      <c r="A627" s="1572">
        <v>7</v>
      </c>
      <c r="B627" s="583" t="s">
        <v>2535</v>
      </c>
      <c r="C627" s="585"/>
      <c r="D627" s="585"/>
      <c r="E627" s="585"/>
      <c r="F627" s="585"/>
      <c r="G627" s="1575">
        <f t="shared" si="608"/>
        <v>0</v>
      </c>
      <c r="H627" s="585"/>
      <c r="I627" s="1575">
        <f t="shared" si="609"/>
        <v>0</v>
      </c>
      <c r="J627" s="585"/>
      <c r="K627" s="585"/>
      <c r="L627" s="585"/>
      <c r="M627" s="585"/>
      <c r="N627" s="585"/>
      <c r="O627" s="585"/>
      <c r="P627" s="585"/>
      <c r="Q627" s="585"/>
      <c r="R627" s="585"/>
      <c r="S627" s="585"/>
      <c r="T627" s="1576">
        <f t="shared" si="598"/>
        <v>0</v>
      </c>
      <c r="U627" s="1575">
        <f t="shared" si="599"/>
        <v>0</v>
      </c>
      <c r="V627" s="1575">
        <f t="shared" si="604"/>
        <v>0</v>
      </c>
      <c r="W627" s="1575">
        <f t="shared" si="600"/>
        <v>0</v>
      </c>
      <c r="X627" s="1575">
        <f t="shared" si="605"/>
        <v>0</v>
      </c>
      <c r="Y627" s="1575">
        <f t="shared" si="605"/>
        <v>0</v>
      </c>
      <c r="Z627" s="1575">
        <f t="shared" si="605"/>
        <v>0</v>
      </c>
      <c r="AA627" s="1575">
        <f t="shared" si="605"/>
        <v>0</v>
      </c>
      <c r="AB627" s="1575">
        <f t="shared" si="601"/>
        <v>0</v>
      </c>
      <c r="AC627" s="1575">
        <f t="shared" si="601"/>
        <v>0</v>
      </c>
      <c r="AD627" s="1575">
        <f t="shared" si="601"/>
        <v>0</v>
      </c>
      <c r="AE627" s="1575">
        <f t="shared" si="601"/>
        <v>0</v>
      </c>
      <c r="AF627" s="1575">
        <f t="shared" si="601"/>
        <v>0</v>
      </c>
      <c r="AG627" s="1575">
        <f t="shared" si="601"/>
        <v>0</v>
      </c>
      <c r="AH627" s="1575">
        <f t="shared" si="606"/>
        <v>0</v>
      </c>
      <c r="AI627" s="1576">
        <f t="shared" si="602"/>
        <v>0</v>
      </c>
      <c r="AJ627" s="1576">
        <f t="shared" si="603"/>
        <v>0</v>
      </c>
      <c r="AL627" s="561"/>
      <c r="AM627" s="1526"/>
      <c r="AN627" s="1526"/>
      <c r="AO627" s="1526"/>
      <c r="AP627" s="1526"/>
      <c r="AQ627" s="1526"/>
      <c r="AR627" s="1526"/>
      <c r="AS627" s="1526"/>
      <c r="AT627" s="1526"/>
      <c r="AU627" s="1526"/>
      <c r="AV627" s="1526"/>
      <c r="AW627" s="1526"/>
      <c r="AX627" s="1526"/>
      <c r="AY627" s="1526"/>
      <c r="AZ627" s="1526"/>
      <c r="BA627" s="1526"/>
      <c r="BB627" s="1526"/>
      <c r="BC627" s="1526"/>
      <c r="BD627" s="1526"/>
      <c r="BE627" s="1526"/>
      <c r="BF627" s="1526"/>
      <c r="BG627" s="1526"/>
      <c r="BH627" s="1526"/>
    </row>
    <row r="628" spans="1:60" s="1525" customFormat="1">
      <c r="A628" s="1572">
        <v>8</v>
      </c>
      <c r="B628" s="587" t="s">
        <v>2536</v>
      </c>
      <c r="C628" s="585"/>
      <c r="D628" s="585"/>
      <c r="E628" s="585"/>
      <c r="F628" s="585"/>
      <c r="G628" s="1575">
        <f t="shared" si="608"/>
        <v>0</v>
      </c>
      <c r="H628" s="585"/>
      <c r="I628" s="1575">
        <f t="shared" si="609"/>
        <v>0</v>
      </c>
      <c r="J628" s="585"/>
      <c r="K628" s="585"/>
      <c r="L628" s="585"/>
      <c r="M628" s="585"/>
      <c r="N628" s="585"/>
      <c r="O628" s="585"/>
      <c r="P628" s="585"/>
      <c r="Q628" s="585"/>
      <c r="R628" s="585"/>
      <c r="S628" s="585"/>
      <c r="T628" s="1576">
        <f t="shared" si="598"/>
        <v>0</v>
      </c>
      <c r="U628" s="1575">
        <f t="shared" si="599"/>
        <v>0</v>
      </c>
      <c r="V628" s="1575">
        <f t="shared" si="604"/>
        <v>0</v>
      </c>
      <c r="W628" s="1575">
        <f t="shared" si="600"/>
        <v>0</v>
      </c>
      <c r="X628" s="1575">
        <f t="shared" si="605"/>
        <v>0</v>
      </c>
      <c r="Y628" s="1575">
        <f t="shared" si="605"/>
        <v>0</v>
      </c>
      <c r="Z628" s="1575">
        <f t="shared" si="605"/>
        <v>0</v>
      </c>
      <c r="AA628" s="1575">
        <f t="shared" si="605"/>
        <v>0</v>
      </c>
      <c r="AB628" s="1575">
        <f t="shared" si="601"/>
        <v>0</v>
      </c>
      <c r="AC628" s="1575">
        <f t="shared" si="601"/>
        <v>0</v>
      </c>
      <c r="AD628" s="1575">
        <f t="shared" si="601"/>
        <v>0</v>
      </c>
      <c r="AE628" s="1575">
        <f t="shared" si="601"/>
        <v>0</v>
      </c>
      <c r="AF628" s="1575">
        <f t="shared" si="601"/>
        <v>0</v>
      </c>
      <c r="AG628" s="1575">
        <f t="shared" si="601"/>
        <v>0</v>
      </c>
      <c r="AH628" s="1575">
        <f t="shared" si="606"/>
        <v>0</v>
      </c>
      <c r="AI628" s="1576">
        <f t="shared" si="602"/>
        <v>0</v>
      </c>
      <c r="AJ628" s="1576">
        <f t="shared" si="603"/>
        <v>0</v>
      </c>
      <c r="AL628" s="561"/>
      <c r="AM628" s="1526"/>
      <c r="AN628" s="1526"/>
      <c r="AO628" s="1526"/>
      <c r="AP628" s="1526"/>
      <c r="AQ628" s="1526"/>
      <c r="AR628" s="1526"/>
      <c r="AS628" s="1526"/>
      <c r="AT628" s="1526"/>
      <c r="AU628" s="1526"/>
      <c r="AV628" s="1526"/>
      <c r="AW628" s="1526"/>
      <c r="AX628" s="1526"/>
      <c r="AY628" s="1526"/>
      <c r="AZ628" s="1526"/>
      <c r="BA628" s="1526"/>
      <c r="BB628" s="1526"/>
      <c r="BC628" s="1526"/>
      <c r="BD628" s="1526"/>
      <c r="BE628" s="1526"/>
      <c r="BF628" s="1526"/>
      <c r="BG628" s="1526"/>
      <c r="BH628" s="1526"/>
    </row>
    <row r="629" spans="1:60" s="1525" customFormat="1">
      <c r="A629" s="1572">
        <v>9</v>
      </c>
      <c r="B629" s="587" t="s">
        <v>2537</v>
      </c>
      <c r="C629" s="585"/>
      <c r="D629" s="585"/>
      <c r="E629" s="585"/>
      <c r="F629" s="585"/>
      <c r="G629" s="1575">
        <f t="shared" si="608"/>
        <v>0</v>
      </c>
      <c r="H629" s="585"/>
      <c r="I629" s="1575">
        <f t="shared" si="609"/>
        <v>0</v>
      </c>
      <c r="J629" s="585"/>
      <c r="K629" s="585"/>
      <c r="L629" s="585"/>
      <c r="M629" s="585"/>
      <c r="N629" s="585"/>
      <c r="O629" s="585"/>
      <c r="P629" s="585"/>
      <c r="Q629" s="585"/>
      <c r="R629" s="585"/>
      <c r="S629" s="585"/>
      <c r="T629" s="1576">
        <f t="shared" si="598"/>
        <v>0</v>
      </c>
      <c r="U629" s="1575">
        <f t="shared" si="599"/>
        <v>0</v>
      </c>
      <c r="V629" s="1575">
        <f t="shared" si="604"/>
        <v>0</v>
      </c>
      <c r="W629" s="1575">
        <f t="shared" si="600"/>
        <v>0</v>
      </c>
      <c r="X629" s="1575">
        <f t="shared" si="605"/>
        <v>0</v>
      </c>
      <c r="Y629" s="1575">
        <f t="shared" si="605"/>
        <v>0</v>
      </c>
      <c r="Z629" s="1575">
        <f t="shared" si="605"/>
        <v>0</v>
      </c>
      <c r="AA629" s="1575">
        <f t="shared" si="605"/>
        <v>0</v>
      </c>
      <c r="AB629" s="1575">
        <f t="shared" si="601"/>
        <v>0</v>
      </c>
      <c r="AC629" s="1575">
        <f t="shared" si="601"/>
        <v>0</v>
      </c>
      <c r="AD629" s="1575">
        <f t="shared" si="601"/>
        <v>0</v>
      </c>
      <c r="AE629" s="1575">
        <f t="shared" si="601"/>
        <v>0</v>
      </c>
      <c r="AF629" s="1575">
        <f t="shared" si="601"/>
        <v>0</v>
      </c>
      <c r="AG629" s="1575">
        <f t="shared" si="601"/>
        <v>0</v>
      </c>
      <c r="AH629" s="1575">
        <f t="shared" si="606"/>
        <v>0</v>
      </c>
      <c r="AI629" s="1576">
        <f t="shared" si="602"/>
        <v>0</v>
      </c>
      <c r="AJ629" s="1576">
        <f t="shared" si="603"/>
        <v>0</v>
      </c>
      <c r="AL629" s="561"/>
      <c r="AM629" s="1526"/>
      <c r="AN629" s="1526"/>
      <c r="AO629" s="1526"/>
      <c r="AP629" s="1526"/>
      <c r="AQ629" s="1526"/>
      <c r="AR629" s="1526"/>
      <c r="AS629" s="1526"/>
      <c r="AT629" s="1526"/>
      <c r="AU629" s="1526"/>
      <c r="AV629" s="1526"/>
      <c r="AW629" s="1526"/>
      <c r="AX629" s="1526"/>
      <c r="AY629" s="1526"/>
      <c r="AZ629" s="1526"/>
      <c r="BA629" s="1526"/>
      <c r="BB629" s="1526"/>
      <c r="BC629" s="1526"/>
      <c r="BD629" s="1526"/>
      <c r="BE629" s="1526"/>
      <c r="BF629" s="1526"/>
      <c r="BG629" s="1526"/>
      <c r="BH629" s="1526"/>
    </row>
    <row r="630" spans="1:60" s="1525" customFormat="1">
      <c r="A630" s="1572">
        <v>10</v>
      </c>
      <c r="B630" s="583" t="s">
        <v>2492</v>
      </c>
      <c r="C630" s="1576">
        <f>SUM(C631:C633)</f>
        <v>0</v>
      </c>
      <c r="D630" s="1576"/>
      <c r="E630" s="1576"/>
      <c r="F630" s="1576">
        <f t="shared" ref="F630:AJ630" si="610">SUM(F631:F633)</f>
        <v>0</v>
      </c>
      <c r="G630" s="1576">
        <f t="shared" si="610"/>
        <v>0</v>
      </c>
      <c r="H630" s="1576">
        <f t="shared" si="610"/>
        <v>0</v>
      </c>
      <c r="I630" s="1576">
        <f t="shared" si="610"/>
        <v>0</v>
      </c>
      <c r="J630" s="1576">
        <f t="shared" si="610"/>
        <v>0</v>
      </c>
      <c r="K630" s="1576">
        <f t="shared" si="610"/>
        <v>0</v>
      </c>
      <c r="L630" s="1576">
        <f t="shared" si="610"/>
        <v>0</v>
      </c>
      <c r="M630" s="1576">
        <f t="shared" si="610"/>
        <v>0</v>
      </c>
      <c r="N630" s="1576">
        <f t="shared" si="610"/>
        <v>0</v>
      </c>
      <c r="O630" s="1576">
        <f t="shared" si="610"/>
        <v>0</v>
      </c>
      <c r="P630" s="1576">
        <f t="shared" si="610"/>
        <v>0</v>
      </c>
      <c r="Q630" s="1576">
        <f t="shared" si="610"/>
        <v>0</v>
      </c>
      <c r="R630" s="1576">
        <f t="shared" si="610"/>
        <v>0</v>
      </c>
      <c r="S630" s="1576">
        <f t="shared" si="610"/>
        <v>0</v>
      </c>
      <c r="T630" s="1576">
        <f t="shared" si="610"/>
        <v>0</v>
      </c>
      <c r="U630" s="1576">
        <f t="shared" si="610"/>
        <v>0</v>
      </c>
      <c r="V630" s="1576">
        <f t="shared" si="610"/>
        <v>0</v>
      </c>
      <c r="W630" s="1576">
        <f t="shared" si="610"/>
        <v>0</v>
      </c>
      <c r="X630" s="1576">
        <f t="shared" si="610"/>
        <v>0</v>
      </c>
      <c r="Y630" s="1576">
        <f t="shared" si="610"/>
        <v>0</v>
      </c>
      <c r="Z630" s="1576">
        <f t="shared" si="610"/>
        <v>0</v>
      </c>
      <c r="AA630" s="1576">
        <f t="shared" si="610"/>
        <v>0</v>
      </c>
      <c r="AB630" s="1576">
        <f t="shared" si="610"/>
        <v>0</v>
      </c>
      <c r="AC630" s="1576">
        <f t="shared" si="610"/>
        <v>0</v>
      </c>
      <c r="AD630" s="1576">
        <f t="shared" si="610"/>
        <v>0</v>
      </c>
      <c r="AE630" s="1576">
        <f t="shared" si="610"/>
        <v>0</v>
      </c>
      <c r="AF630" s="1576">
        <f t="shared" si="610"/>
        <v>0</v>
      </c>
      <c r="AG630" s="1576">
        <f t="shared" si="610"/>
        <v>0</v>
      </c>
      <c r="AH630" s="1576">
        <f t="shared" si="610"/>
        <v>0</v>
      </c>
      <c r="AI630" s="1576">
        <f t="shared" si="610"/>
        <v>0</v>
      </c>
      <c r="AJ630" s="1576">
        <f t="shared" si="610"/>
        <v>0</v>
      </c>
      <c r="AL630" s="561"/>
      <c r="AM630" s="1526"/>
      <c r="AN630" s="1526"/>
      <c r="AO630" s="1526"/>
      <c r="AP630" s="1526"/>
      <c r="AQ630" s="1526"/>
      <c r="AR630" s="1526"/>
      <c r="AS630" s="1526"/>
      <c r="AT630" s="1526"/>
      <c r="AU630" s="1526"/>
      <c r="AV630" s="1526"/>
      <c r="AW630" s="1526"/>
      <c r="AX630" s="1526"/>
      <c r="AY630" s="1526"/>
      <c r="AZ630" s="1526"/>
      <c r="BA630" s="1526"/>
      <c r="BB630" s="1526"/>
      <c r="BC630" s="1526"/>
      <c r="BD630" s="1526"/>
      <c r="BE630" s="1526"/>
      <c r="BF630" s="1526"/>
      <c r="BG630" s="1526"/>
      <c r="BH630" s="1526"/>
    </row>
    <row r="631" spans="1:60" s="1525" customFormat="1">
      <c r="A631" s="1579"/>
      <c r="B631" s="588" t="s">
        <v>2538</v>
      </c>
      <c r="C631" s="589"/>
      <c r="D631" s="589"/>
      <c r="E631" s="589"/>
      <c r="F631" s="589"/>
      <c r="G631" s="1580">
        <f t="shared" ref="G631:G634" si="611">H631+I631+T631</f>
        <v>0</v>
      </c>
      <c r="H631" s="589"/>
      <c r="I631" s="1580">
        <f t="shared" ref="I631:I634" si="612">SUM(J631:S631)</f>
        <v>0</v>
      </c>
      <c r="J631" s="589"/>
      <c r="K631" s="589"/>
      <c r="L631" s="589"/>
      <c r="M631" s="589"/>
      <c r="N631" s="589"/>
      <c r="O631" s="589"/>
      <c r="P631" s="589">
        <f>(H631+K631+L631)*25%</f>
        <v>0</v>
      </c>
      <c r="Q631" s="589"/>
      <c r="R631" s="589"/>
      <c r="S631" s="589"/>
      <c r="T631" s="1576">
        <f>(H631+K631+L631+R631)*22.5%</f>
        <v>0</v>
      </c>
      <c r="U631" s="1580">
        <f t="shared" ref="U631:U634" si="613">V631+W631+AH631</f>
        <v>0</v>
      </c>
      <c r="V631" s="1575">
        <f t="shared" si="604"/>
        <v>0</v>
      </c>
      <c r="W631" s="1575">
        <f t="shared" si="600"/>
        <v>0</v>
      </c>
      <c r="X631" s="1575">
        <f t="shared" si="605"/>
        <v>0</v>
      </c>
      <c r="Y631" s="1575">
        <f t="shared" si="605"/>
        <v>0</v>
      </c>
      <c r="Z631" s="1575">
        <f t="shared" si="605"/>
        <v>0</v>
      </c>
      <c r="AA631" s="1575">
        <f t="shared" si="605"/>
        <v>0</v>
      </c>
      <c r="AB631" s="1575">
        <f t="shared" si="601"/>
        <v>0</v>
      </c>
      <c r="AC631" s="1575">
        <f t="shared" si="601"/>
        <v>0</v>
      </c>
      <c r="AD631" s="1575">
        <f t="shared" si="601"/>
        <v>0</v>
      </c>
      <c r="AE631" s="1575">
        <f t="shared" si="601"/>
        <v>0</v>
      </c>
      <c r="AF631" s="1575">
        <f t="shared" si="601"/>
        <v>0</v>
      </c>
      <c r="AG631" s="1575">
        <f t="shared" si="601"/>
        <v>0</v>
      </c>
      <c r="AH631" s="1575">
        <f>(V631+Y631+Z631+AF631)*22.5%</f>
        <v>0</v>
      </c>
      <c r="AI631" s="1581">
        <f t="shared" ref="AI631:AI633" si="614">U631-G631</f>
        <v>0</v>
      </c>
      <c r="AJ631" s="1581">
        <f t="shared" ref="AJ631:AJ633" si="615">AI631*6</f>
        <v>0</v>
      </c>
      <c r="AL631" s="561"/>
      <c r="AM631" s="1526"/>
      <c r="AN631" s="1526"/>
      <c r="AO631" s="1526"/>
      <c r="AP631" s="1526"/>
      <c r="AQ631" s="1526"/>
      <c r="AR631" s="1526"/>
      <c r="AS631" s="1526"/>
      <c r="AT631" s="1526"/>
      <c r="AU631" s="1526"/>
      <c r="AV631" s="1526"/>
      <c r="AW631" s="1526"/>
      <c r="AX631" s="1526"/>
      <c r="AY631" s="1526"/>
      <c r="AZ631" s="1526"/>
      <c r="BA631" s="1526"/>
      <c r="BB631" s="1526"/>
      <c r="BC631" s="1526"/>
      <c r="BD631" s="1526"/>
      <c r="BE631" s="1526"/>
      <c r="BF631" s="1526"/>
      <c r="BG631" s="1526"/>
      <c r="BH631" s="1526"/>
    </row>
    <row r="632" spans="1:60" s="1525" customFormat="1">
      <c r="A632" s="1579"/>
      <c r="B632" s="588" t="s">
        <v>2539</v>
      </c>
      <c r="C632" s="589"/>
      <c r="D632" s="589"/>
      <c r="E632" s="589"/>
      <c r="F632" s="589"/>
      <c r="G632" s="1580">
        <f t="shared" si="611"/>
        <v>0</v>
      </c>
      <c r="H632" s="589"/>
      <c r="I632" s="1580">
        <f t="shared" si="612"/>
        <v>0</v>
      </c>
      <c r="J632" s="589"/>
      <c r="K632" s="589"/>
      <c r="L632" s="589"/>
      <c r="M632" s="589"/>
      <c r="N632" s="589"/>
      <c r="O632" s="589"/>
      <c r="P632" s="589">
        <f>(H632+K632+L632)*25%</f>
        <v>0</v>
      </c>
      <c r="Q632" s="589"/>
      <c r="R632" s="589"/>
      <c r="S632" s="589"/>
      <c r="T632" s="1576">
        <f>(H632+K632+L632+R632)*22.5%</f>
        <v>0</v>
      </c>
      <c r="U632" s="1580">
        <f t="shared" si="613"/>
        <v>0</v>
      </c>
      <c r="V632" s="1575">
        <f t="shared" si="604"/>
        <v>0</v>
      </c>
      <c r="W632" s="1575">
        <f t="shared" si="600"/>
        <v>0</v>
      </c>
      <c r="X632" s="1575">
        <f t="shared" si="605"/>
        <v>0</v>
      </c>
      <c r="Y632" s="1575">
        <f t="shared" si="605"/>
        <v>0</v>
      </c>
      <c r="Z632" s="1575">
        <f t="shared" si="605"/>
        <v>0</v>
      </c>
      <c r="AA632" s="1575">
        <f t="shared" si="605"/>
        <v>0</v>
      </c>
      <c r="AB632" s="1575">
        <f t="shared" si="601"/>
        <v>0</v>
      </c>
      <c r="AC632" s="1575">
        <f t="shared" si="601"/>
        <v>0</v>
      </c>
      <c r="AD632" s="1575">
        <f t="shared" si="601"/>
        <v>0</v>
      </c>
      <c r="AE632" s="1575">
        <f t="shared" si="601"/>
        <v>0</v>
      </c>
      <c r="AF632" s="1575">
        <f t="shared" si="601"/>
        <v>0</v>
      </c>
      <c r="AG632" s="1575">
        <f t="shared" si="601"/>
        <v>0</v>
      </c>
      <c r="AH632" s="1575">
        <f>(V632+Y632+Z632+AF632)*22.5%</f>
        <v>0</v>
      </c>
      <c r="AI632" s="1581">
        <f t="shared" si="614"/>
        <v>0</v>
      </c>
      <c r="AJ632" s="1581">
        <f t="shared" si="615"/>
        <v>0</v>
      </c>
      <c r="AL632" s="561"/>
      <c r="AM632" s="1526"/>
      <c r="AN632" s="1526"/>
      <c r="AO632" s="1526"/>
      <c r="AP632" s="1526"/>
      <c r="AQ632" s="1526"/>
      <c r="AR632" s="1526"/>
      <c r="AS632" s="1526"/>
      <c r="AT632" s="1526"/>
      <c r="AU632" s="1526"/>
      <c r="AV632" s="1526"/>
      <c r="AW632" s="1526"/>
      <c r="AX632" s="1526"/>
      <c r="AY632" s="1526"/>
      <c r="AZ632" s="1526"/>
      <c r="BA632" s="1526"/>
      <c r="BB632" s="1526"/>
      <c r="BC632" s="1526"/>
      <c r="BD632" s="1526"/>
      <c r="BE632" s="1526"/>
      <c r="BF632" s="1526"/>
      <c r="BG632" s="1526"/>
      <c r="BH632" s="1526"/>
    </row>
    <row r="633" spans="1:60" s="1525" customFormat="1">
      <c r="A633" s="1579"/>
      <c r="B633" s="588" t="s">
        <v>2540</v>
      </c>
      <c r="C633" s="589"/>
      <c r="D633" s="589"/>
      <c r="E633" s="589"/>
      <c r="F633" s="589"/>
      <c r="G633" s="1580">
        <f t="shared" si="611"/>
        <v>0</v>
      </c>
      <c r="H633" s="589"/>
      <c r="I633" s="1580">
        <f t="shared" si="612"/>
        <v>0</v>
      </c>
      <c r="J633" s="589"/>
      <c r="K633" s="589"/>
      <c r="L633" s="589"/>
      <c r="M633" s="589"/>
      <c r="N633" s="589"/>
      <c r="O633" s="589"/>
      <c r="P633" s="589">
        <f>(H633+K633+L633)*25%</f>
        <v>0</v>
      </c>
      <c r="Q633" s="589">
        <f>(H633+K633+L633)*30%</f>
        <v>0</v>
      </c>
      <c r="R633" s="589"/>
      <c r="S633" s="589"/>
      <c r="T633" s="1576">
        <f>(H633+K633+L633+R633)*22.5%</f>
        <v>0</v>
      </c>
      <c r="U633" s="1580">
        <f t="shared" si="613"/>
        <v>0</v>
      </c>
      <c r="V633" s="1575">
        <f t="shared" si="604"/>
        <v>0</v>
      </c>
      <c r="W633" s="1575">
        <f t="shared" si="600"/>
        <v>0</v>
      </c>
      <c r="X633" s="1575">
        <f t="shared" si="605"/>
        <v>0</v>
      </c>
      <c r="Y633" s="1575">
        <f t="shared" si="605"/>
        <v>0</v>
      </c>
      <c r="Z633" s="1575">
        <f t="shared" si="605"/>
        <v>0</v>
      </c>
      <c r="AA633" s="1575">
        <f t="shared" si="605"/>
        <v>0</v>
      </c>
      <c r="AB633" s="1575">
        <f t="shared" si="605"/>
        <v>0</v>
      </c>
      <c r="AC633" s="1575">
        <f t="shared" si="605"/>
        <v>0</v>
      </c>
      <c r="AD633" s="1575">
        <f t="shared" si="605"/>
        <v>0</v>
      </c>
      <c r="AE633" s="1575">
        <f t="shared" si="605"/>
        <v>0</v>
      </c>
      <c r="AF633" s="1575">
        <f t="shared" si="605"/>
        <v>0</v>
      </c>
      <c r="AG633" s="1575">
        <f t="shared" si="605"/>
        <v>0</v>
      </c>
      <c r="AH633" s="1575">
        <f>(V633+Y633+Z633+AF633)*22.5%</f>
        <v>0</v>
      </c>
      <c r="AI633" s="1581">
        <f t="shared" si="614"/>
        <v>0</v>
      </c>
      <c r="AJ633" s="1581">
        <f t="shared" si="615"/>
        <v>0</v>
      </c>
      <c r="AL633" s="561"/>
      <c r="AM633" s="1526"/>
      <c r="AN633" s="1526"/>
      <c r="AO633" s="1526"/>
      <c r="AP633" s="1526"/>
      <c r="AQ633" s="1526"/>
      <c r="AR633" s="1526"/>
      <c r="AS633" s="1526"/>
      <c r="AT633" s="1526"/>
      <c r="AU633" s="1526"/>
      <c r="AV633" s="1526"/>
      <c r="AW633" s="1526"/>
      <c r="AX633" s="1526"/>
      <c r="AY633" s="1526"/>
      <c r="AZ633" s="1526"/>
      <c r="BA633" s="1526"/>
      <c r="BB633" s="1526"/>
      <c r="BC633" s="1526"/>
      <c r="BD633" s="1526"/>
      <c r="BE633" s="1526"/>
      <c r="BF633" s="1526"/>
      <c r="BG633" s="1526"/>
      <c r="BH633" s="1526"/>
    </row>
    <row r="634" spans="1:60" s="1525" customFormat="1" ht="31.5">
      <c r="A634" s="1582" t="s">
        <v>65</v>
      </c>
      <c r="B634" s="1359" t="s">
        <v>2541</v>
      </c>
      <c r="C634" s="591"/>
      <c r="D634" s="591"/>
      <c r="E634" s="591"/>
      <c r="F634" s="591"/>
      <c r="G634" s="1571">
        <f t="shared" si="611"/>
        <v>0</v>
      </c>
      <c r="H634" s="591"/>
      <c r="I634" s="1571">
        <f t="shared" si="612"/>
        <v>0</v>
      </c>
      <c r="J634" s="591"/>
      <c r="K634" s="591"/>
      <c r="L634" s="591"/>
      <c r="M634" s="591"/>
      <c r="N634" s="591"/>
      <c r="O634" s="591"/>
      <c r="P634" s="591">
        <f>(H634+K634+L634)*25%</f>
        <v>0</v>
      </c>
      <c r="Q634" s="591"/>
      <c r="R634" s="591"/>
      <c r="S634" s="591"/>
      <c r="T634" s="1583">
        <f>(H634+K634+L634+R634)*22.5%</f>
        <v>0</v>
      </c>
      <c r="U634" s="1571">
        <f t="shared" si="613"/>
        <v>0</v>
      </c>
      <c r="V634" s="1571">
        <f>(H634/1.39)*1.49</f>
        <v>0</v>
      </c>
      <c r="W634" s="1571">
        <f t="shared" si="600"/>
        <v>0</v>
      </c>
      <c r="X634" s="1571">
        <f>(J634/1.39)*1.49</f>
        <v>0</v>
      </c>
      <c r="Y634" s="1571">
        <f t="shared" ref="Y634:AG634" si="616">(K634/1.39)*1.49</f>
        <v>0</v>
      </c>
      <c r="Z634" s="1571">
        <f t="shared" si="616"/>
        <v>0</v>
      </c>
      <c r="AA634" s="1571">
        <f t="shared" si="616"/>
        <v>0</v>
      </c>
      <c r="AB634" s="1571">
        <f t="shared" si="616"/>
        <v>0</v>
      </c>
      <c r="AC634" s="1571">
        <f t="shared" si="616"/>
        <v>0</v>
      </c>
      <c r="AD634" s="1571">
        <f t="shared" si="616"/>
        <v>0</v>
      </c>
      <c r="AE634" s="1571">
        <f t="shared" si="616"/>
        <v>0</v>
      </c>
      <c r="AF634" s="1571">
        <f t="shared" si="616"/>
        <v>0</v>
      </c>
      <c r="AG634" s="1571">
        <f t="shared" si="616"/>
        <v>0</v>
      </c>
      <c r="AH634" s="1571">
        <f>(V634+Y634+Z634+AF634)*22.5%</f>
        <v>0</v>
      </c>
      <c r="AI634" s="1583">
        <f>U634-G634</f>
        <v>0</v>
      </c>
      <c r="AJ634" s="1583">
        <f>AI634*6</f>
        <v>0</v>
      </c>
      <c r="AL634" s="561"/>
      <c r="AM634" s="1526"/>
      <c r="AN634" s="1526"/>
      <c r="AO634" s="1526"/>
      <c r="AP634" s="1526"/>
      <c r="AQ634" s="1526"/>
      <c r="AR634" s="1526"/>
      <c r="AS634" s="1526"/>
      <c r="AT634" s="1526"/>
      <c r="AU634" s="1526"/>
      <c r="AV634" s="1526"/>
      <c r="AW634" s="1526"/>
      <c r="AX634" s="1526"/>
      <c r="AY634" s="1526"/>
      <c r="AZ634" s="1526"/>
      <c r="BA634" s="1526"/>
      <c r="BB634" s="1526"/>
      <c r="BC634" s="1526"/>
      <c r="BD634" s="1526"/>
      <c r="BE634" s="1526"/>
      <c r="BF634" s="1526"/>
      <c r="BG634" s="1526"/>
      <c r="BH634" s="1526"/>
    </row>
    <row r="635" spans="1:60" s="1525" customFormat="1">
      <c r="A635" s="1582" t="s">
        <v>14</v>
      </c>
      <c r="B635" s="590" t="s">
        <v>2542</v>
      </c>
      <c r="C635" s="1583">
        <f>SUM(C636:C638)</f>
        <v>0</v>
      </c>
      <c r="D635" s="1583"/>
      <c r="E635" s="1583"/>
      <c r="F635" s="1583">
        <f t="shared" ref="F635:AJ635" si="617">SUM(F636:F638)</f>
        <v>0</v>
      </c>
      <c r="G635" s="1583">
        <f t="shared" si="617"/>
        <v>0</v>
      </c>
      <c r="H635" s="1583">
        <f t="shared" si="617"/>
        <v>0</v>
      </c>
      <c r="I635" s="1583">
        <f t="shared" si="617"/>
        <v>0</v>
      </c>
      <c r="J635" s="1583">
        <f t="shared" si="617"/>
        <v>0</v>
      </c>
      <c r="K635" s="1583">
        <f t="shared" si="617"/>
        <v>0</v>
      </c>
      <c r="L635" s="1583">
        <f t="shared" si="617"/>
        <v>0</v>
      </c>
      <c r="M635" s="1583">
        <f t="shared" si="617"/>
        <v>0</v>
      </c>
      <c r="N635" s="1583">
        <f t="shared" si="617"/>
        <v>0</v>
      </c>
      <c r="O635" s="1583">
        <f t="shared" si="617"/>
        <v>0</v>
      </c>
      <c r="P635" s="1583">
        <f t="shared" si="617"/>
        <v>0</v>
      </c>
      <c r="Q635" s="1583">
        <f t="shared" si="617"/>
        <v>0</v>
      </c>
      <c r="R635" s="1583">
        <f t="shared" si="617"/>
        <v>0</v>
      </c>
      <c r="S635" s="1583">
        <f t="shared" si="617"/>
        <v>0</v>
      </c>
      <c r="T635" s="1583">
        <f t="shared" si="617"/>
        <v>0</v>
      </c>
      <c r="U635" s="1583">
        <f t="shared" si="617"/>
        <v>0</v>
      </c>
      <c r="V635" s="1583">
        <f t="shared" si="617"/>
        <v>0</v>
      </c>
      <c r="W635" s="1583">
        <f t="shared" si="617"/>
        <v>0</v>
      </c>
      <c r="X635" s="1583">
        <f t="shared" si="617"/>
        <v>0</v>
      </c>
      <c r="Y635" s="1583">
        <f t="shared" si="617"/>
        <v>0</v>
      </c>
      <c r="Z635" s="1583">
        <f t="shared" si="617"/>
        <v>0</v>
      </c>
      <c r="AA635" s="1583">
        <f t="shared" si="617"/>
        <v>0</v>
      </c>
      <c r="AB635" s="1583">
        <f t="shared" si="617"/>
        <v>0</v>
      </c>
      <c r="AC635" s="1583">
        <f t="shared" si="617"/>
        <v>0</v>
      </c>
      <c r="AD635" s="1583">
        <f t="shared" si="617"/>
        <v>0</v>
      </c>
      <c r="AE635" s="1583">
        <f t="shared" si="617"/>
        <v>0</v>
      </c>
      <c r="AF635" s="1583">
        <f t="shared" si="617"/>
        <v>0</v>
      </c>
      <c r="AG635" s="1583">
        <f t="shared" si="617"/>
        <v>0</v>
      </c>
      <c r="AH635" s="1583">
        <f t="shared" si="617"/>
        <v>0</v>
      </c>
      <c r="AI635" s="1583">
        <f t="shared" si="617"/>
        <v>0</v>
      </c>
      <c r="AJ635" s="1583">
        <f t="shared" si="617"/>
        <v>0</v>
      </c>
      <c r="AL635" s="561"/>
      <c r="AM635" s="1526"/>
      <c r="AN635" s="1526"/>
      <c r="AO635" s="1526"/>
      <c r="AP635" s="1526"/>
      <c r="AQ635" s="1526"/>
      <c r="AR635" s="1526"/>
      <c r="AS635" s="1526"/>
      <c r="AT635" s="1526"/>
      <c r="AU635" s="1526"/>
      <c r="AV635" s="1526"/>
      <c r="AW635" s="1526"/>
      <c r="AX635" s="1526"/>
      <c r="AY635" s="1526"/>
      <c r="AZ635" s="1526"/>
      <c r="BA635" s="1526"/>
      <c r="BB635" s="1526"/>
      <c r="BC635" s="1526"/>
      <c r="BD635" s="1526"/>
      <c r="BE635" s="1526"/>
      <c r="BF635" s="1526"/>
      <c r="BG635" s="1526"/>
      <c r="BH635" s="1526"/>
    </row>
    <row r="636" spans="1:60" s="1525" customFormat="1">
      <c r="A636" s="1579"/>
      <c r="B636" s="588" t="s">
        <v>2543</v>
      </c>
      <c r="C636" s="589"/>
      <c r="D636" s="589"/>
      <c r="E636" s="589"/>
      <c r="F636" s="589"/>
      <c r="G636" s="1580">
        <f t="shared" ref="G636:G638" si="618">H636+I636+T636</f>
        <v>0</v>
      </c>
      <c r="H636" s="589"/>
      <c r="I636" s="1580">
        <f t="shared" ref="I636:I638" si="619">SUM(J636:S636)</f>
        <v>0</v>
      </c>
      <c r="J636" s="589"/>
      <c r="K636" s="589"/>
      <c r="L636" s="589"/>
      <c r="M636" s="589"/>
      <c r="N636" s="589"/>
      <c r="O636" s="589"/>
      <c r="P636" s="589"/>
      <c r="Q636" s="589"/>
      <c r="R636" s="589"/>
      <c r="S636" s="592">
        <f>F636*0.5*1.3</f>
        <v>0</v>
      </c>
      <c r="T636" s="1576"/>
      <c r="U636" s="1580">
        <f t="shared" ref="U636:U638" si="620">V636+W636+AH636</f>
        <v>0</v>
      </c>
      <c r="V636" s="1575"/>
      <c r="W636" s="1580">
        <f t="shared" ref="W636:W638" si="621">SUM(X636:AG636)</f>
        <v>0</v>
      </c>
      <c r="X636" s="1575"/>
      <c r="Y636" s="1575"/>
      <c r="Z636" s="1575"/>
      <c r="AA636" s="1575"/>
      <c r="AB636" s="1575"/>
      <c r="AC636" s="1575"/>
      <c r="AD636" s="1575"/>
      <c r="AE636" s="1575"/>
      <c r="AF636" s="1575"/>
      <c r="AG636" s="1575">
        <f t="shared" ref="AG636:AG642" si="622">(S636/1.39)*1.49</f>
        <v>0</v>
      </c>
      <c r="AH636" s="1575"/>
      <c r="AI636" s="1581">
        <f t="shared" ref="AI636:AI638" si="623">U636-G636</f>
        <v>0</v>
      </c>
      <c r="AJ636" s="1581">
        <f t="shared" ref="AJ636:AJ638" si="624">AI636*6</f>
        <v>0</v>
      </c>
      <c r="AL636" s="561"/>
      <c r="AM636" s="1526"/>
      <c r="AN636" s="1526"/>
      <c r="AO636" s="1526"/>
      <c r="AP636" s="1526"/>
      <c r="AQ636" s="1526"/>
      <c r="AR636" s="1526"/>
      <c r="AS636" s="1526"/>
      <c r="AT636" s="1526"/>
      <c r="AU636" s="1526"/>
      <c r="AV636" s="1526"/>
      <c r="AW636" s="1526"/>
      <c r="AX636" s="1526"/>
      <c r="AY636" s="1526"/>
      <c r="AZ636" s="1526"/>
      <c r="BA636" s="1526"/>
      <c r="BB636" s="1526"/>
      <c r="BC636" s="1526"/>
      <c r="BD636" s="1526"/>
      <c r="BE636" s="1526"/>
      <c r="BF636" s="1526"/>
      <c r="BG636" s="1526"/>
      <c r="BH636" s="1526"/>
    </row>
    <row r="637" spans="1:60" s="1525" customFormat="1">
      <c r="A637" s="1579"/>
      <c r="B637" s="588" t="s">
        <v>2544</v>
      </c>
      <c r="C637" s="589"/>
      <c r="D637" s="589"/>
      <c r="E637" s="589"/>
      <c r="F637" s="589"/>
      <c r="G637" s="1580">
        <f t="shared" si="618"/>
        <v>0</v>
      </c>
      <c r="H637" s="589"/>
      <c r="I637" s="1580">
        <f t="shared" si="619"/>
        <v>0</v>
      </c>
      <c r="J637" s="589"/>
      <c r="K637" s="589"/>
      <c r="L637" s="589"/>
      <c r="M637" s="589"/>
      <c r="N637" s="589"/>
      <c r="O637" s="589"/>
      <c r="P637" s="589"/>
      <c r="Q637" s="589"/>
      <c r="R637" s="589"/>
      <c r="S637" s="589">
        <f>F637*0.4*1.39</f>
        <v>0</v>
      </c>
      <c r="T637" s="1576"/>
      <c r="U637" s="1580">
        <f t="shared" si="620"/>
        <v>0</v>
      </c>
      <c r="V637" s="1575"/>
      <c r="W637" s="1580">
        <f t="shared" si="621"/>
        <v>0</v>
      </c>
      <c r="X637" s="1575"/>
      <c r="Y637" s="1575"/>
      <c r="Z637" s="1575"/>
      <c r="AA637" s="1575"/>
      <c r="AB637" s="1575"/>
      <c r="AC637" s="1575"/>
      <c r="AD637" s="1575"/>
      <c r="AE637" s="1575"/>
      <c r="AF637" s="1575"/>
      <c r="AG637" s="1575">
        <f t="shared" si="622"/>
        <v>0</v>
      </c>
      <c r="AH637" s="1575"/>
      <c r="AI637" s="1581">
        <f t="shared" si="623"/>
        <v>0</v>
      </c>
      <c r="AJ637" s="1581">
        <f t="shared" si="624"/>
        <v>0</v>
      </c>
      <c r="AL637" s="561"/>
      <c r="AM637" s="1526"/>
      <c r="AN637" s="1526"/>
      <c r="AO637" s="1526"/>
      <c r="AP637" s="1526"/>
      <c r="AQ637" s="1526"/>
      <c r="AR637" s="1526"/>
      <c r="AS637" s="1526"/>
      <c r="AT637" s="1526"/>
      <c r="AU637" s="1526"/>
      <c r="AV637" s="1526"/>
      <c r="AW637" s="1526"/>
      <c r="AX637" s="1526"/>
      <c r="AY637" s="1526"/>
      <c r="AZ637" s="1526"/>
      <c r="BA637" s="1526"/>
      <c r="BB637" s="1526"/>
      <c r="BC637" s="1526"/>
      <c r="BD637" s="1526"/>
      <c r="BE637" s="1526"/>
      <c r="BF637" s="1526"/>
      <c r="BG637" s="1526"/>
      <c r="BH637" s="1526"/>
    </row>
    <row r="638" spans="1:60" s="1525" customFormat="1">
      <c r="A638" s="1579"/>
      <c r="B638" s="588" t="s">
        <v>2545</v>
      </c>
      <c r="C638" s="589"/>
      <c r="D638" s="589"/>
      <c r="E638" s="589"/>
      <c r="F638" s="589"/>
      <c r="G638" s="1580">
        <f t="shared" si="618"/>
        <v>0</v>
      </c>
      <c r="H638" s="589"/>
      <c r="I638" s="1580">
        <f t="shared" si="619"/>
        <v>0</v>
      </c>
      <c r="J638" s="589"/>
      <c r="K638" s="589"/>
      <c r="L638" s="589"/>
      <c r="M638" s="589"/>
      <c r="N638" s="589"/>
      <c r="O638" s="589"/>
      <c r="P638" s="589"/>
      <c r="Q638" s="589"/>
      <c r="R638" s="589"/>
      <c r="S638" s="589">
        <f>F638*0.3*1.39</f>
        <v>0</v>
      </c>
      <c r="T638" s="1576"/>
      <c r="U638" s="1580">
        <f t="shared" si="620"/>
        <v>0</v>
      </c>
      <c r="V638" s="1575"/>
      <c r="W638" s="1580">
        <f t="shared" si="621"/>
        <v>0</v>
      </c>
      <c r="X638" s="1575"/>
      <c r="Y638" s="1575"/>
      <c r="Z638" s="1575"/>
      <c r="AA638" s="1575"/>
      <c r="AB638" s="1575"/>
      <c r="AC638" s="1575"/>
      <c r="AD638" s="1575"/>
      <c r="AE638" s="1575"/>
      <c r="AF638" s="1575"/>
      <c r="AG638" s="1575">
        <f t="shared" si="622"/>
        <v>0</v>
      </c>
      <c r="AH638" s="1575"/>
      <c r="AI638" s="1581">
        <f t="shared" si="623"/>
        <v>0</v>
      </c>
      <c r="AJ638" s="1581">
        <f t="shared" si="624"/>
        <v>0</v>
      </c>
      <c r="AL638" s="561"/>
      <c r="AM638" s="1526"/>
      <c r="AN638" s="1526"/>
      <c r="AO638" s="1526"/>
      <c r="AP638" s="1526"/>
      <c r="AQ638" s="1526"/>
      <c r="AR638" s="1526"/>
      <c r="AS638" s="1526"/>
      <c r="AT638" s="1526"/>
      <c r="AU638" s="1526"/>
      <c r="AV638" s="1526"/>
      <c r="AW638" s="1526"/>
      <c r="AX638" s="1526"/>
      <c r="AY638" s="1526"/>
      <c r="AZ638" s="1526"/>
      <c r="BA638" s="1526"/>
      <c r="BB638" s="1526"/>
      <c r="BC638" s="1526"/>
      <c r="BD638" s="1526"/>
      <c r="BE638" s="1526"/>
      <c r="BF638" s="1526"/>
      <c r="BG638" s="1526"/>
      <c r="BH638" s="1526"/>
    </row>
    <row r="639" spans="1:60" s="1525" customFormat="1">
      <c r="A639" s="1582" t="s">
        <v>18</v>
      </c>
      <c r="B639" s="590" t="s">
        <v>2546</v>
      </c>
      <c r="C639" s="1583">
        <f>SUM(C640:C642)</f>
        <v>0</v>
      </c>
      <c r="D639" s="1583"/>
      <c r="E639" s="1583"/>
      <c r="F639" s="1583">
        <f t="shared" ref="F639:AJ639" si="625">SUM(F640:F642)</f>
        <v>0</v>
      </c>
      <c r="G639" s="1583">
        <f t="shared" si="625"/>
        <v>0</v>
      </c>
      <c r="H639" s="1583">
        <f t="shared" si="625"/>
        <v>0</v>
      </c>
      <c r="I639" s="1583">
        <f t="shared" si="625"/>
        <v>0</v>
      </c>
      <c r="J639" s="1583">
        <f t="shared" si="625"/>
        <v>0</v>
      </c>
      <c r="K639" s="1583">
        <f t="shared" si="625"/>
        <v>0</v>
      </c>
      <c r="L639" s="1583">
        <f t="shared" si="625"/>
        <v>0</v>
      </c>
      <c r="M639" s="1583">
        <f t="shared" si="625"/>
        <v>0</v>
      </c>
      <c r="N639" s="1583">
        <f t="shared" si="625"/>
        <v>0</v>
      </c>
      <c r="O639" s="1583">
        <f t="shared" si="625"/>
        <v>0</v>
      </c>
      <c r="P639" s="1583">
        <f t="shared" si="625"/>
        <v>0</v>
      </c>
      <c r="Q639" s="1583">
        <f t="shared" si="625"/>
        <v>0</v>
      </c>
      <c r="R639" s="1583">
        <f t="shared" si="625"/>
        <v>0</v>
      </c>
      <c r="S639" s="1583">
        <f t="shared" si="625"/>
        <v>0</v>
      </c>
      <c r="T639" s="1583">
        <f t="shared" si="625"/>
        <v>0</v>
      </c>
      <c r="U639" s="1583">
        <f t="shared" si="625"/>
        <v>0</v>
      </c>
      <c r="V639" s="1583">
        <f t="shared" si="625"/>
        <v>0</v>
      </c>
      <c r="W639" s="1583">
        <f t="shared" si="625"/>
        <v>0</v>
      </c>
      <c r="X639" s="1583">
        <f t="shared" si="625"/>
        <v>0</v>
      </c>
      <c r="Y639" s="1583">
        <f t="shared" si="625"/>
        <v>0</v>
      </c>
      <c r="Z639" s="1583">
        <f t="shared" si="625"/>
        <v>0</v>
      </c>
      <c r="AA639" s="1583">
        <f t="shared" si="625"/>
        <v>0</v>
      </c>
      <c r="AB639" s="1583">
        <f t="shared" si="625"/>
        <v>0</v>
      </c>
      <c r="AC639" s="1583">
        <f t="shared" si="625"/>
        <v>0</v>
      </c>
      <c r="AD639" s="1583">
        <f t="shared" si="625"/>
        <v>0</v>
      </c>
      <c r="AE639" s="1583">
        <f t="shared" si="625"/>
        <v>0</v>
      </c>
      <c r="AF639" s="1583">
        <f t="shared" si="625"/>
        <v>0</v>
      </c>
      <c r="AG639" s="1583">
        <f t="shared" si="625"/>
        <v>0</v>
      </c>
      <c r="AH639" s="1583">
        <f t="shared" si="625"/>
        <v>0</v>
      </c>
      <c r="AI639" s="1583">
        <f t="shared" si="625"/>
        <v>0</v>
      </c>
      <c r="AJ639" s="1583">
        <f t="shared" si="625"/>
        <v>0</v>
      </c>
      <c r="AL639" s="561"/>
      <c r="AM639" s="1526"/>
      <c r="AN639" s="1526"/>
      <c r="AO639" s="1526"/>
      <c r="AP639" s="1526"/>
      <c r="AQ639" s="1526"/>
      <c r="AR639" s="1526"/>
      <c r="AS639" s="1526"/>
      <c r="AT639" s="1526"/>
      <c r="AU639" s="1526"/>
      <c r="AV639" s="1526"/>
      <c r="AW639" s="1526"/>
      <c r="AX639" s="1526"/>
      <c r="AY639" s="1526"/>
      <c r="AZ639" s="1526"/>
      <c r="BA639" s="1526"/>
      <c r="BB639" s="1526"/>
      <c r="BC639" s="1526"/>
      <c r="BD639" s="1526"/>
      <c r="BE639" s="1526"/>
      <c r="BF639" s="1526"/>
      <c r="BG639" s="1526"/>
      <c r="BH639" s="1526"/>
    </row>
    <row r="640" spans="1:60" s="1525" customFormat="1">
      <c r="A640" s="1579"/>
      <c r="B640" s="588" t="s">
        <v>2547</v>
      </c>
      <c r="C640" s="589"/>
      <c r="D640" s="589"/>
      <c r="E640" s="589"/>
      <c r="F640" s="589"/>
      <c r="G640" s="1580">
        <f t="shared" ref="G640:G642" si="626">H640+I640+T640</f>
        <v>0</v>
      </c>
      <c r="H640" s="589"/>
      <c r="I640" s="1580">
        <f t="shared" ref="I640:I642" si="627">SUM(J640:S640)</f>
        <v>0</v>
      </c>
      <c r="J640" s="589"/>
      <c r="K640" s="589"/>
      <c r="L640" s="589"/>
      <c r="M640" s="589"/>
      <c r="N640" s="589"/>
      <c r="O640" s="589"/>
      <c r="P640" s="589"/>
      <c r="Q640" s="589"/>
      <c r="R640" s="589"/>
      <c r="S640" s="589">
        <f>F640*0.5*1.3</f>
        <v>0</v>
      </c>
      <c r="T640" s="1576"/>
      <c r="U640" s="1580">
        <f t="shared" ref="U640:U642" si="628">V640+W640+AH640</f>
        <v>0</v>
      </c>
      <c r="V640" s="1575"/>
      <c r="W640" s="1580">
        <f t="shared" ref="W640:W642" si="629">SUM(X640:AG640)</f>
        <v>0</v>
      </c>
      <c r="X640" s="1575"/>
      <c r="Y640" s="1575"/>
      <c r="Z640" s="1575"/>
      <c r="AA640" s="1575"/>
      <c r="AB640" s="1575"/>
      <c r="AC640" s="1575"/>
      <c r="AD640" s="1575"/>
      <c r="AE640" s="1575"/>
      <c r="AF640" s="1575"/>
      <c r="AG640" s="1575">
        <f t="shared" si="622"/>
        <v>0</v>
      </c>
      <c r="AH640" s="1575"/>
      <c r="AI640" s="1581">
        <f t="shared" ref="AI640:AI642" si="630">U640-G640</f>
        <v>0</v>
      </c>
      <c r="AJ640" s="1581">
        <f t="shared" ref="AJ640:AJ642" si="631">AI640*6</f>
        <v>0</v>
      </c>
      <c r="AL640" s="561"/>
      <c r="AM640" s="1526"/>
      <c r="AN640" s="1526"/>
      <c r="AO640" s="1526"/>
      <c r="AP640" s="1526"/>
      <c r="AQ640" s="1526"/>
      <c r="AR640" s="1526"/>
      <c r="AS640" s="1526"/>
      <c r="AT640" s="1526"/>
      <c r="AU640" s="1526"/>
      <c r="AV640" s="1526"/>
      <c r="AW640" s="1526"/>
      <c r="AX640" s="1526"/>
      <c r="AY640" s="1526"/>
      <c r="AZ640" s="1526"/>
      <c r="BA640" s="1526"/>
      <c r="BB640" s="1526"/>
      <c r="BC640" s="1526"/>
      <c r="BD640" s="1526"/>
      <c r="BE640" s="1526"/>
      <c r="BF640" s="1526"/>
      <c r="BG640" s="1526"/>
      <c r="BH640" s="1526"/>
    </row>
    <row r="641" spans="1:60" s="1525" customFormat="1">
      <c r="A641" s="1579"/>
      <c r="B641" s="588" t="s">
        <v>2548</v>
      </c>
      <c r="C641" s="589"/>
      <c r="D641" s="589"/>
      <c r="E641" s="589"/>
      <c r="F641" s="589"/>
      <c r="G641" s="1580">
        <f t="shared" si="626"/>
        <v>0</v>
      </c>
      <c r="H641" s="589"/>
      <c r="I641" s="1580">
        <f t="shared" si="627"/>
        <v>0</v>
      </c>
      <c r="J641" s="589"/>
      <c r="K641" s="589"/>
      <c r="L641" s="589"/>
      <c r="M641" s="589"/>
      <c r="N641" s="589"/>
      <c r="O641" s="589"/>
      <c r="P641" s="589"/>
      <c r="Q641" s="589"/>
      <c r="R641" s="589"/>
      <c r="S641" s="589">
        <f>F641*0.4*1.39</f>
        <v>0</v>
      </c>
      <c r="T641" s="1576"/>
      <c r="U641" s="1580">
        <f t="shared" si="628"/>
        <v>0</v>
      </c>
      <c r="V641" s="1575"/>
      <c r="W641" s="1580">
        <f t="shared" si="629"/>
        <v>0</v>
      </c>
      <c r="X641" s="1575"/>
      <c r="Y641" s="1575"/>
      <c r="Z641" s="1575"/>
      <c r="AA641" s="1575"/>
      <c r="AB641" s="1575"/>
      <c r="AC641" s="1575"/>
      <c r="AD641" s="1575"/>
      <c r="AE641" s="1575"/>
      <c r="AF641" s="1575"/>
      <c r="AG641" s="1575">
        <f t="shared" si="622"/>
        <v>0</v>
      </c>
      <c r="AH641" s="1575"/>
      <c r="AI641" s="1581">
        <f t="shared" si="630"/>
        <v>0</v>
      </c>
      <c r="AJ641" s="1581">
        <f t="shared" si="631"/>
        <v>0</v>
      </c>
      <c r="AL641" s="561"/>
      <c r="AM641" s="1526"/>
      <c r="AN641" s="1526"/>
      <c r="AO641" s="1526"/>
      <c r="AP641" s="1526"/>
      <c r="AQ641" s="1526"/>
      <c r="AR641" s="1526"/>
      <c r="AS641" s="1526"/>
      <c r="AT641" s="1526"/>
      <c r="AU641" s="1526"/>
      <c r="AV641" s="1526"/>
      <c r="AW641" s="1526"/>
      <c r="AX641" s="1526"/>
      <c r="AY641" s="1526"/>
      <c r="AZ641" s="1526"/>
      <c r="BA641" s="1526"/>
      <c r="BB641" s="1526"/>
      <c r="BC641" s="1526"/>
      <c r="BD641" s="1526"/>
      <c r="BE641" s="1526"/>
      <c r="BF641" s="1526"/>
      <c r="BG641" s="1526"/>
      <c r="BH641" s="1526"/>
    </row>
    <row r="642" spans="1:60" s="1525" customFormat="1">
      <c r="A642" s="1579"/>
      <c r="B642" s="588" t="s">
        <v>2549</v>
      </c>
      <c r="C642" s="589"/>
      <c r="D642" s="589"/>
      <c r="E642" s="589"/>
      <c r="F642" s="589"/>
      <c r="G642" s="1580">
        <f t="shared" si="626"/>
        <v>0</v>
      </c>
      <c r="H642" s="589"/>
      <c r="I642" s="1580">
        <f t="shared" si="627"/>
        <v>0</v>
      </c>
      <c r="J642" s="589"/>
      <c r="K642" s="589"/>
      <c r="L642" s="589"/>
      <c r="M642" s="589"/>
      <c r="N642" s="589"/>
      <c r="O642" s="589"/>
      <c r="P642" s="589"/>
      <c r="Q642" s="589"/>
      <c r="R642" s="589"/>
      <c r="S642" s="589">
        <f>F642*0.3*1.39</f>
        <v>0</v>
      </c>
      <c r="T642" s="1576"/>
      <c r="U642" s="1580">
        <f t="shared" si="628"/>
        <v>0</v>
      </c>
      <c r="V642" s="1575"/>
      <c r="W642" s="1580">
        <f t="shared" si="629"/>
        <v>0</v>
      </c>
      <c r="X642" s="1575"/>
      <c r="Y642" s="1575"/>
      <c r="Z642" s="1575"/>
      <c r="AA642" s="1575"/>
      <c r="AB642" s="1575"/>
      <c r="AC642" s="1575"/>
      <c r="AD642" s="1575"/>
      <c r="AE642" s="1575"/>
      <c r="AF642" s="1575"/>
      <c r="AG642" s="1575">
        <f t="shared" si="622"/>
        <v>0</v>
      </c>
      <c r="AH642" s="1575"/>
      <c r="AI642" s="1581">
        <f t="shared" si="630"/>
        <v>0</v>
      </c>
      <c r="AJ642" s="1581">
        <f t="shared" si="631"/>
        <v>0</v>
      </c>
      <c r="AL642" s="561"/>
      <c r="AM642" s="1526"/>
      <c r="AN642" s="1526"/>
      <c r="AO642" s="1526"/>
      <c r="AP642" s="1526"/>
      <c r="AQ642" s="1526"/>
      <c r="AR642" s="1526"/>
      <c r="AS642" s="1526"/>
      <c r="AT642" s="1526"/>
      <c r="AU642" s="1526"/>
      <c r="AV642" s="1526"/>
      <c r="AW642" s="1526"/>
      <c r="AX642" s="1526"/>
      <c r="AY642" s="1526"/>
      <c r="AZ642" s="1526"/>
      <c r="BA642" s="1526"/>
      <c r="BB642" s="1526"/>
      <c r="BC642" s="1526"/>
      <c r="BD642" s="1526"/>
      <c r="BE642" s="1526"/>
      <c r="BF642" s="1526"/>
      <c r="BG642" s="1526"/>
      <c r="BH642" s="1526"/>
    </row>
    <row r="643" spans="1:60" s="1525" customFormat="1">
      <c r="A643" s="558"/>
      <c r="B643" s="1584" t="s">
        <v>2798</v>
      </c>
      <c r="C643" s="1568">
        <f>C644+C664+C665+C669</f>
        <v>0</v>
      </c>
      <c r="D643" s="1568"/>
      <c r="E643" s="1568"/>
      <c r="F643" s="1568">
        <f t="shared" ref="F643:AJ643" si="632">F644+F664+F665+F669</f>
        <v>0</v>
      </c>
      <c r="G643" s="1568">
        <f t="shared" si="632"/>
        <v>0</v>
      </c>
      <c r="H643" s="1568">
        <f t="shared" si="632"/>
        <v>0</v>
      </c>
      <c r="I643" s="1568">
        <f t="shared" si="632"/>
        <v>0</v>
      </c>
      <c r="J643" s="1568">
        <f t="shared" si="632"/>
        <v>0</v>
      </c>
      <c r="K643" s="1568">
        <f t="shared" si="632"/>
        <v>0</v>
      </c>
      <c r="L643" s="1568">
        <f t="shared" si="632"/>
        <v>0</v>
      </c>
      <c r="M643" s="1568">
        <f t="shared" si="632"/>
        <v>0</v>
      </c>
      <c r="N643" s="1568">
        <f t="shared" si="632"/>
        <v>0</v>
      </c>
      <c r="O643" s="1568">
        <f t="shared" si="632"/>
        <v>0</v>
      </c>
      <c r="P643" s="1568">
        <f t="shared" si="632"/>
        <v>0</v>
      </c>
      <c r="Q643" s="1568">
        <f t="shared" si="632"/>
        <v>0</v>
      </c>
      <c r="R643" s="1568">
        <f t="shared" si="632"/>
        <v>0</v>
      </c>
      <c r="S643" s="1568">
        <f t="shared" si="632"/>
        <v>0</v>
      </c>
      <c r="T643" s="1568">
        <f t="shared" si="632"/>
        <v>0</v>
      </c>
      <c r="U643" s="1568">
        <f t="shared" si="632"/>
        <v>0</v>
      </c>
      <c r="V643" s="1568">
        <f t="shared" si="632"/>
        <v>0</v>
      </c>
      <c r="W643" s="1568">
        <f t="shared" si="632"/>
        <v>0</v>
      </c>
      <c r="X643" s="1568">
        <f t="shared" si="632"/>
        <v>0</v>
      </c>
      <c r="Y643" s="1568">
        <f t="shared" si="632"/>
        <v>0</v>
      </c>
      <c r="Z643" s="1568">
        <f t="shared" si="632"/>
        <v>0</v>
      </c>
      <c r="AA643" s="1568">
        <f t="shared" si="632"/>
        <v>0</v>
      </c>
      <c r="AB643" s="1568">
        <f t="shared" si="632"/>
        <v>0</v>
      </c>
      <c r="AC643" s="1568">
        <f t="shared" si="632"/>
        <v>0</v>
      </c>
      <c r="AD643" s="1568">
        <f t="shared" si="632"/>
        <v>0</v>
      </c>
      <c r="AE643" s="1568">
        <f t="shared" si="632"/>
        <v>0</v>
      </c>
      <c r="AF643" s="1568">
        <f t="shared" si="632"/>
        <v>0</v>
      </c>
      <c r="AG643" s="1568">
        <f t="shared" si="632"/>
        <v>0</v>
      </c>
      <c r="AH643" s="1568">
        <f t="shared" si="632"/>
        <v>0</v>
      </c>
      <c r="AI643" s="1568">
        <f t="shared" si="632"/>
        <v>0</v>
      </c>
      <c r="AJ643" s="1568">
        <f t="shared" si="632"/>
        <v>0</v>
      </c>
      <c r="AL643" s="561"/>
      <c r="AM643" s="1526"/>
      <c r="AN643" s="1526"/>
      <c r="AO643" s="1526"/>
      <c r="AP643" s="1526"/>
      <c r="AQ643" s="1526"/>
      <c r="AR643" s="1526"/>
      <c r="AS643" s="1526"/>
      <c r="AT643" s="1526"/>
      <c r="AU643" s="1526"/>
      <c r="AV643" s="1526"/>
      <c r="AW643" s="1526"/>
      <c r="AX643" s="1526"/>
      <c r="AY643" s="1526"/>
      <c r="AZ643" s="1526"/>
      <c r="BA643" s="1526"/>
      <c r="BB643" s="1526"/>
      <c r="BC643" s="1526"/>
      <c r="BD643" s="1526"/>
      <c r="BE643" s="1526"/>
      <c r="BF643" s="1526"/>
      <c r="BG643" s="1526"/>
      <c r="BH643" s="1526"/>
    </row>
    <row r="644" spans="1:60" s="1525" customFormat="1">
      <c r="A644" s="1433" t="s">
        <v>13</v>
      </c>
      <c r="B644" s="1585" t="s">
        <v>2528</v>
      </c>
      <c r="C644" s="1438">
        <f>C646+C651+C653+C654+C655+C656+C657+C658+C659+C660</f>
        <v>0</v>
      </c>
      <c r="D644" s="1438"/>
      <c r="E644" s="1438"/>
      <c r="F644" s="1438">
        <f t="shared" ref="F644:AH644" si="633">F646+F651+F653+F654+F655+F656+F657+F658+F659+F660</f>
        <v>0</v>
      </c>
      <c r="G644" s="1438">
        <f t="shared" si="633"/>
        <v>0</v>
      </c>
      <c r="H644" s="1438">
        <f t="shared" si="633"/>
        <v>0</v>
      </c>
      <c r="I644" s="1438">
        <f t="shared" si="633"/>
        <v>0</v>
      </c>
      <c r="J644" s="1438">
        <f t="shared" si="633"/>
        <v>0</v>
      </c>
      <c r="K644" s="1438">
        <f t="shared" si="633"/>
        <v>0</v>
      </c>
      <c r="L644" s="1438">
        <f t="shared" si="633"/>
        <v>0</v>
      </c>
      <c r="M644" s="1438">
        <f t="shared" si="633"/>
        <v>0</v>
      </c>
      <c r="N644" s="1438">
        <f t="shared" si="633"/>
        <v>0</v>
      </c>
      <c r="O644" s="1438">
        <f t="shared" si="633"/>
        <v>0</v>
      </c>
      <c r="P644" s="1438">
        <f t="shared" si="633"/>
        <v>0</v>
      </c>
      <c r="Q644" s="1438">
        <f t="shared" si="633"/>
        <v>0</v>
      </c>
      <c r="R644" s="1438">
        <f t="shared" si="633"/>
        <v>0</v>
      </c>
      <c r="S644" s="1438">
        <f t="shared" si="633"/>
        <v>0</v>
      </c>
      <c r="T644" s="1438">
        <f t="shared" si="633"/>
        <v>0</v>
      </c>
      <c r="U644" s="1438">
        <f t="shared" si="633"/>
        <v>0</v>
      </c>
      <c r="V644" s="1438">
        <f t="shared" si="633"/>
        <v>0</v>
      </c>
      <c r="W644" s="1438">
        <f t="shared" si="633"/>
        <v>0</v>
      </c>
      <c r="X644" s="1438">
        <f t="shared" si="633"/>
        <v>0</v>
      </c>
      <c r="Y644" s="1438">
        <f t="shared" si="633"/>
        <v>0</v>
      </c>
      <c r="Z644" s="1438">
        <f t="shared" si="633"/>
        <v>0</v>
      </c>
      <c r="AA644" s="1438">
        <f t="shared" si="633"/>
        <v>0</v>
      </c>
      <c r="AB644" s="1438">
        <f t="shared" si="633"/>
        <v>0</v>
      </c>
      <c r="AC644" s="1438">
        <f t="shared" si="633"/>
        <v>0</v>
      </c>
      <c r="AD644" s="1438">
        <f t="shared" si="633"/>
        <v>0</v>
      </c>
      <c r="AE644" s="1438">
        <f t="shared" si="633"/>
        <v>0</v>
      </c>
      <c r="AF644" s="1438">
        <f t="shared" si="633"/>
        <v>0</v>
      </c>
      <c r="AG644" s="1438">
        <f t="shared" si="633"/>
        <v>0</v>
      </c>
      <c r="AH644" s="1438">
        <f t="shared" si="633"/>
        <v>0</v>
      </c>
      <c r="AI644" s="1438">
        <f>AI646+AI651+AI653+AI654+AI655+AI656+AI657+AI658+AI659+AI660</f>
        <v>0</v>
      </c>
      <c r="AJ644" s="1438">
        <f>AJ646+AJ651+AJ653+AJ654+AJ655+AJ656+AJ657+AJ658+AJ659+AJ660</f>
        <v>0</v>
      </c>
      <c r="AL644" s="561"/>
      <c r="AM644" s="1526"/>
      <c r="AN644" s="1526"/>
      <c r="AO644" s="1526"/>
      <c r="AP644" s="1526"/>
      <c r="AQ644" s="1526"/>
      <c r="AR644" s="1526"/>
      <c r="AS644" s="1526"/>
      <c r="AT644" s="1526"/>
      <c r="AU644" s="1526"/>
      <c r="AV644" s="1526"/>
      <c r="AW644" s="1526"/>
      <c r="AX644" s="1526"/>
      <c r="AY644" s="1526"/>
      <c r="AZ644" s="1526"/>
      <c r="BA644" s="1526"/>
      <c r="BB644" s="1526"/>
      <c r="BC644" s="1526"/>
      <c r="BD644" s="1526"/>
      <c r="BE644" s="1526"/>
      <c r="BF644" s="1526"/>
      <c r="BG644" s="1526"/>
      <c r="BH644" s="1526"/>
    </row>
    <row r="645" spans="1:60" s="1525" customFormat="1">
      <c r="A645" s="1375"/>
      <c r="B645" s="1439" t="s">
        <v>2512</v>
      </c>
      <c r="C645" s="1440"/>
      <c r="D645" s="1440"/>
      <c r="E645" s="1440"/>
      <c r="F645" s="1440"/>
      <c r="G645" s="1553"/>
      <c r="H645" s="1440"/>
      <c r="I645" s="1553"/>
      <c r="J645" s="1440"/>
      <c r="K645" s="1440"/>
      <c r="L645" s="1440"/>
      <c r="M645" s="1440"/>
      <c r="N645" s="1440"/>
      <c r="O645" s="1440"/>
      <c r="P645" s="1440"/>
      <c r="Q645" s="1440"/>
      <c r="R645" s="1440"/>
      <c r="S645" s="1440"/>
      <c r="T645" s="1553"/>
      <c r="U645" s="1554"/>
      <c r="V645" s="1554"/>
      <c r="W645" s="1554"/>
      <c r="X645" s="1554"/>
      <c r="Y645" s="1554"/>
      <c r="Z645" s="1554"/>
      <c r="AA645" s="1554"/>
      <c r="AB645" s="1554"/>
      <c r="AC645" s="1554"/>
      <c r="AD645" s="1554"/>
      <c r="AE645" s="1554"/>
      <c r="AF645" s="1554"/>
      <c r="AG645" s="1554"/>
      <c r="AH645" s="1554"/>
      <c r="AI645" s="1554"/>
      <c r="AJ645" s="1554"/>
      <c r="AL645" s="561"/>
      <c r="AM645" s="1526"/>
      <c r="AN645" s="1526"/>
      <c r="AO645" s="1526"/>
      <c r="AP645" s="1526"/>
      <c r="AQ645" s="1526"/>
      <c r="AR645" s="1526"/>
      <c r="AS645" s="1526"/>
      <c r="AT645" s="1526"/>
      <c r="AU645" s="1526"/>
      <c r="AV645" s="1526"/>
      <c r="AW645" s="1526"/>
      <c r="AX645" s="1526"/>
      <c r="AY645" s="1526"/>
      <c r="AZ645" s="1526"/>
      <c r="BA645" s="1526"/>
      <c r="BB645" s="1526"/>
      <c r="BC645" s="1526"/>
      <c r="BD645" s="1526"/>
      <c r="BE645" s="1526"/>
      <c r="BF645" s="1526"/>
      <c r="BG645" s="1526"/>
      <c r="BH645" s="1526"/>
    </row>
    <row r="646" spans="1:60" s="1525" customFormat="1">
      <c r="A646" s="1375">
        <v>1</v>
      </c>
      <c r="B646" s="1376" t="s">
        <v>2489</v>
      </c>
      <c r="C646" s="1365">
        <f t="shared" ref="C646:AJ646" si="634">C647+C649</f>
        <v>0</v>
      </c>
      <c r="D646" s="1365"/>
      <c r="E646" s="1365"/>
      <c r="F646" s="1365">
        <f t="shared" si="634"/>
        <v>0</v>
      </c>
      <c r="G646" s="1555">
        <f t="shared" si="634"/>
        <v>0</v>
      </c>
      <c r="H646" s="1365">
        <f t="shared" si="634"/>
        <v>0</v>
      </c>
      <c r="I646" s="1555">
        <f t="shared" si="634"/>
        <v>0</v>
      </c>
      <c r="J646" s="1555">
        <f t="shared" si="634"/>
        <v>0</v>
      </c>
      <c r="K646" s="1555">
        <f t="shared" si="634"/>
        <v>0</v>
      </c>
      <c r="L646" s="1555">
        <f t="shared" si="634"/>
        <v>0</v>
      </c>
      <c r="M646" s="1555">
        <f t="shared" si="634"/>
        <v>0</v>
      </c>
      <c r="N646" s="1555">
        <f t="shared" si="634"/>
        <v>0</v>
      </c>
      <c r="O646" s="1555">
        <f t="shared" si="634"/>
        <v>0</v>
      </c>
      <c r="P646" s="1555">
        <f t="shared" si="634"/>
        <v>0</v>
      </c>
      <c r="Q646" s="1555">
        <f t="shared" si="634"/>
        <v>0</v>
      </c>
      <c r="R646" s="1555">
        <f t="shared" si="634"/>
        <v>0</v>
      </c>
      <c r="S646" s="1555">
        <f t="shared" si="634"/>
        <v>0</v>
      </c>
      <c r="T646" s="1555">
        <f t="shared" si="634"/>
        <v>0</v>
      </c>
      <c r="U646" s="1556">
        <f t="shared" si="634"/>
        <v>0</v>
      </c>
      <c r="V646" s="1556">
        <f t="shared" si="634"/>
        <v>0</v>
      </c>
      <c r="W646" s="1556">
        <f t="shared" si="634"/>
        <v>0</v>
      </c>
      <c r="X646" s="1556">
        <f t="shared" si="634"/>
        <v>0</v>
      </c>
      <c r="Y646" s="1556">
        <f t="shared" si="634"/>
        <v>0</v>
      </c>
      <c r="Z646" s="1556">
        <f t="shared" si="634"/>
        <v>0</v>
      </c>
      <c r="AA646" s="1556">
        <f t="shared" si="634"/>
        <v>0</v>
      </c>
      <c r="AB646" s="1556">
        <f t="shared" si="634"/>
        <v>0</v>
      </c>
      <c r="AC646" s="1556">
        <f t="shared" si="634"/>
        <v>0</v>
      </c>
      <c r="AD646" s="1556">
        <f t="shared" si="634"/>
        <v>0</v>
      </c>
      <c r="AE646" s="1556">
        <f t="shared" si="634"/>
        <v>0</v>
      </c>
      <c r="AF646" s="1556">
        <f t="shared" si="634"/>
        <v>0</v>
      </c>
      <c r="AG646" s="1556">
        <f t="shared" si="634"/>
        <v>0</v>
      </c>
      <c r="AH646" s="1556">
        <f t="shared" si="634"/>
        <v>0</v>
      </c>
      <c r="AI646" s="1556">
        <f t="shared" si="634"/>
        <v>0</v>
      </c>
      <c r="AJ646" s="1556">
        <f t="shared" si="634"/>
        <v>0</v>
      </c>
      <c r="AL646" s="561"/>
      <c r="AM646" s="1526"/>
      <c r="AN646" s="1526"/>
      <c r="AO646" s="1526"/>
      <c r="AP646" s="1526"/>
      <c r="AQ646" s="1526"/>
      <c r="AR646" s="1526"/>
      <c r="AS646" s="1526"/>
      <c r="AT646" s="1526"/>
      <c r="AU646" s="1526"/>
      <c r="AV646" s="1526"/>
      <c r="AW646" s="1526"/>
      <c r="AX646" s="1526"/>
      <c r="AY646" s="1526"/>
      <c r="AZ646" s="1526"/>
      <c r="BA646" s="1526"/>
      <c r="BB646" s="1526"/>
      <c r="BC646" s="1526"/>
      <c r="BD646" s="1526"/>
      <c r="BE646" s="1526"/>
      <c r="BF646" s="1526"/>
      <c r="BG646" s="1526"/>
      <c r="BH646" s="1526"/>
    </row>
    <row r="647" spans="1:60" s="1525" customFormat="1">
      <c r="A647" s="1375"/>
      <c r="B647" s="1449" t="s">
        <v>2490</v>
      </c>
      <c r="C647" s="1365"/>
      <c r="D647" s="1365"/>
      <c r="E647" s="1365"/>
      <c r="F647" s="1365"/>
      <c r="G647" s="1553">
        <f>H647+I647+T647</f>
        <v>0</v>
      </c>
      <c r="H647" s="1365"/>
      <c r="I647" s="1553">
        <f>SUM(J647:S647)</f>
        <v>0</v>
      </c>
      <c r="J647" s="1365"/>
      <c r="K647" s="1365"/>
      <c r="L647" s="1365"/>
      <c r="M647" s="1365"/>
      <c r="N647" s="1365"/>
      <c r="O647" s="1365"/>
      <c r="P647" s="1365"/>
      <c r="Q647" s="1365"/>
      <c r="R647" s="1365"/>
      <c r="S647" s="1365"/>
      <c r="T647" s="1555">
        <f t="shared" ref="T647:T659" si="635">(H647+K647+L647+R647)*23.5%</f>
        <v>0</v>
      </c>
      <c r="U647" s="1554">
        <f t="shared" ref="U647:U659" si="636">V647+W647+AH647</f>
        <v>0</v>
      </c>
      <c r="V647" s="1554">
        <f>(H647/1.39)*1.49</f>
        <v>0</v>
      </c>
      <c r="W647" s="1554">
        <f t="shared" ref="W647:W664" si="637">SUM(X647:AG647)</f>
        <v>0</v>
      </c>
      <c r="X647" s="1554">
        <f>(J647/1.39)*1.49</f>
        <v>0</v>
      </c>
      <c r="Y647" s="1554">
        <f>(K647/1.39)*1.49</f>
        <v>0</v>
      </c>
      <c r="Z647" s="1554">
        <f>(L647/1.39)*1.49</f>
        <v>0</v>
      </c>
      <c r="AA647" s="1554">
        <f>(M647/1.39)*1.49</f>
        <v>0</v>
      </c>
      <c r="AB647" s="1554">
        <f t="shared" ref="AB647:AG662" si="638">(N647/1.39)*1.49</f>
        <v>0</v>
      </c>
      <c r="AC647" s="1554">
        <f t="shared" si="638"/>
        <v>0</v>
      </c>
      <c r="AD647" s="1554">
        <f t="shared" si="638"/>
        <v>0</v>
      </c>
      <c r="AE647" s="1554">
        <f t="shared" si="638"/>
        <v>0</v>
      </c>
      <c r="AF647" s="1554">
        <f t="shared" si="638"/>
        <v>0</v>
      </c>
      <c r="AG647" s="1554">
        <f t="shared" si="638"/>
        <v>0</v>
      </c>
      <c r="AH647" s="1554">
        <f>(V647+Y647+Z647+AF647)*23.5%</f>
        <v>0</v>
      </c>
      <c r="AI647" s="1556">
        <f t="shared" ref="AI647:AI659" si="639">U647-G647</f>
        <v>0</v>
      </c>
      <c r="AJ647" s="1556">
        <f t="shared" ref="AJ647:AJ663" si="640">AI647*6</f>
        <v>0</v>
      </c>
      <c r="AL647" s="561"/>
      <c r="AM647" s="1526"/>
      <c r="AN647" s="1526"/>
      <c r="AO647" s="1526"/>
      <c r="AP647" s="1526"/>
      <c r="AQ647" s="1526"/>
      <c r="AR647" s="1526"/>
      <c r="AS647" s="1526"/>
      <c r="AT647" s="1526"/>
      <c r="AU647" s="1526"/>
      <c r="AV647" s="1526"/>
      <c r="AW647" s="1526"/>
      <c r="AX647" s="1526"/>
      <c r="AY647" s="1526"/>
      <c r="AZ647" s="1526"/>
      <c r="BA647" s="1526"/>
      <c r="BB647" s="1526"/>
      <c r="BC647" s="1526"/>
      <c r="BD647" s="1526"/>
      <c r="BE647" s="1526"/>
      <c r="BF647" s="1526"/>
      <c r="BG647" s="1526"/>
      <c r="BH647" s="1526"/>
    </row>
    <row r="648" spans="1:60" s="1525" customFormat="1">
      <c r="A648" s="1456"/>
      <c r="B648" s="1535" t="s">
        <v>2529</v>
      </c>
      <c r="C648" s="1365"/>
      <c r="D648" s="1365"/>
      <c r="E648" s="1365"/>
      <c r="F648" s="1365"/>
      <c r="G648" s="1555"/>
      <c r="H648" s="1365"/>
      <c r="I648" s="1555"/>
      <c r="J648" s="1365"/>
      <c r="K648" s="1365"/>
      <c r="L648" s="1365"/>
      <c r="M648" s="1365"/>
      <c r="N648" s="1365"/>
      <c r="O648" s="1365"/>
      <c r="P648" s="1365"/>
      <c r="Q648" s="1365"/>
      <c r="R648" s="1365"/>
      <c r="S648" s="1365"/>
      <c r="T648" s="1555">
        <f t="shared" si="635"/>
        <v>0</v>
      </c>
      <c r="U648" s="1554">
        <f t="shared" si="636"/>
        <v>0</v>
      </c>
      <c r="V648" s="1554">
        <f t="shared" ref="V648:V663" si="641">(H648/1.39)*1.49</f>
        <v>0</v>
      </c>
      <c r="W648" s="1554">
        <f t="shared" si="637"/>
        <v>0</v>
      </c>
      <c r="X648" s="1554">
        <f t="shared" ref="X648:AG663" si="642">(J648/1.39)*1.49</f>
        <v>0</v>
      </c>
      <c r="Y648" s="1554">
        <f t="shared" si="642"/>
        <v>0</v>
      </c>
      <c r="Z648" s="1554">
        <f t="shared" si="642"/>
        <v>0</v>
      </c>
      <c r="AA648" s="1554">
        <f t="shared" si="642"/>
        <v>0</v>
      </c>
      <c r="AB648" s="1554">
        <f t="shared" si="638"/>
        <v>0</v>
      </c>
      <c r="AC648" s="1554">
        <f t="shared" si="638"/>
        <v>0</v>
      </c>
      <c r="AD648" s="1554">
        <f t="shared" si="638"/>
        <v>0</v>
      </c>
      <c r="AE648" s="1554">
        <f t="shared" si="638"/>
        <v>0</v>
      </c>
      <c r="AF648" s="1554">
        <f t="shared" si="638"/>
        <v>0</v>
      </c>
      <c r="AG648" s="1554">
        <f t="shared" si="638"/>
        <v>0</v>
      </c>
      <c r="AH648" s="1554">
        <f t="shared" ref="AH648:AH659" si="643">(V648+Y648+Z648+AF648)*23.5%</f>
        <v>0</v>
      </c>
      <c r="AI648" s="1556">
        <f t="shared" si="639"/>
        <v>0</v>
      </c>
      <c r="AJ648" s="1556">
        <f t="shared" si="640"/>
        <v>0</v>
      </c>
      <c r="AL648" s="561"/>
      <c r="AM648" s="1526"/>
      <c r="AN648" s="1526"/>
      <c r="AO648" s="1526"/>
      <c r="AP648" s="1526"/>
      <c r="AQ648" s="1526"/>
      <c r="AR648" s="1526"/>
      <c r="AS648" s="1526"/>
      <c r="AT648" s="1526"/>
      <c r="AU648" s="1526"/>
      <c r="AV648" s="1526"/>
      <c r="AW648" s="1526"/>
      <c r="AX648" s="1526"/>
      <c r="AY648" s="1526"/>
      <c r="AZ648" s="1526"/>
      <c r="BA648" s="1526"/>
      <c r="BB648" s="1526"/>
      <c r="BC648" s="1526"/>
      <c r="BD648" s="1526"/>
      <c r="BE648" s="1526"/>
      <c r="BF648" s="1526"/>
      <c r="BG648" s="1526"/>
      <c r="BH648" s="1526"/>
    </row>
    <row r="649" spans="1:60" s="1525" customFormat="1">
      <c r="A649" s="1456"/>
      <c r="B649" s="1449" t="s">
        <v>2491</v>
      </c>
      <c r="C649" s="1365"/>
      <c r="D649" s="1365"/>
      <c r="E649" s="1365"/>
      <c r="F649" s="1365"/>
      <c r="G649" s="1553">
        <f t="shared" ref="G649" si="644">H649+I649+T649</f>
        <v>0</v>
      </c>
      <c r="H649" s="1365"/>
      <c r="I649" s="1553">
        <f>SUM(J649:S649)</f>
        <v>0</v>
      </c>
      <c r="J649" s="1365"/>
      <c r="K649" s="1365"/>
      <c r="L649" s="1365"/>
      <c r="M649" s="1365"/>
      <c r="N649" s="1365"/>
      <c r="O649" s="1365"/>
      <c r="P649" s="1365"/>
      <c r="Q649" s="1365"/>
      <c r="R649" s="1365"/>
      <c r="S649" s="1365"/>
      <c r="T649" s="1555">
        <f t="shared" si="635"/>
        <v>0</v>
      </c>
      <c r="U649" s="1554">
        <f t="shared" si="636"/>
        <v>0</v>
      </c>
      <c r="V649" s="1554">
        <f t="shared" si="641"/>
        <v>0</v>
      </c>
      <c r="W649" s="1554">
        <f t="shared" si="637"/>
        <v>0</v>
      </c>
      <c r="X649" s="1554">
        <f t="shared" si="642"/>
        <v>0</v>
      </c>
      <c r="Y649" s="1554">
        <f t="shared" si="642"/>
        <v>0</v>
      </c>
      <c r="Z649" s="1554">
        <f t="shared" si="642"/>
        <v>0</v>
      </c>
      <c r="AA649" s="1554">
        <f t="shared" si="642"/>
        <v>0</v>
      </c>
      <c r="AB649" s="1554">
        <f t="shared" si="638"/>
        <v>0</v>
      </c>
      <c r="AC649" s="1554">
        <f t="shared" si="638"/>
        <v>0</v>
      </c>
      <c r="AD649" s="1554">
        <f t="shared" si="638"/>
        <v>0</v>
      </c>
      <c r="AE649" s="1554">
        <f t="shared" si="638"/>
        <v>0</v>
      </c>
      <c r="AF649" s="1554">
        <f t="shared" si="638"/>
        <v>0</v>
      </c>
      <c r="AG649" s="1554">
        <f t="shared" si="638"/>
        <v>0</v>
      </c>
      <c r="AH649" s="1554">
        <f t="shared" si="643"/>
        <v>0</v>
      </c>
      <c r="AI649" s="1556">
        <f t="shared" si="639"/>
        <v>0</v>
      </c>
      <c r="AJ649" s="1556">
        <f t="shared" si="640"/>
        <v>0</v>
      </c>
      <c r="AL649" s="561"/>
      <c r="AM649" s="1526"/>
      <c r="AN649" s="1526"/>
      <c r="AO649" s="1526"/>
      <c r="AP649" s="1526"/>
      <c r="AQ649" s="1526"/>
      <c r="AR649" s="1526"/>
      <c r="AS649" s="1526"/>
      <c r="AT649" s="1526"/>
      <c r="AU649" s="1526"/>
      <c r="AV649" s="1526"/>
      <c r="AW649" s="1526"/>
      <c r="AX649" s="1526"/>
      <c r="AY649" s="1526"/>
      <c r="AZ649" s="1526"/>
      <c r="BA649" s="1526"/>
      <c r="BB649" s="1526"/>
      <c r="BC649" s="1526"/>
      <c r="BD649" s="1526"/>
      <c r="BE649" s="1526"/>
      <c r="BF649" s="1526"/>
      <c r="BG649" s="1526"/>
      <c r="BH649" s="1526"/>
    </row>
    <row r="650" spans="1:60" s="1525" customFormat="1">
      <c r="A650" s="1456"/>
      <c r="B650" s="1535" t="s">
        <v>2529</v>
      </c>
      <c r="C650" s="1365"/>
      <c r="D650" s="1365"/>
      <c r="E650" s="1365"/>
      <c r="F650" s="1365"/>
      <c r="G650" s="1555"/>
      <c r="H650" s="1365"/>
      <c r="I650" s="1555"/>
      <c r="J650" s="1365"/>
      <c r="K650" s="1365"/>
      <c r="L650" s="1365"/>
      <c r="M650" s="1365"/>
      <c r="N650" s="1365"/>
      <c r="O650" s="1365"/>
      <c r="P650" s="1365"/>
      <c r="Q650" s="1365"/>
      <c r="R650" s="1365"/>
      <c r="S650" s="1365"/>
      <c r="T650" s="1555">
        <f t="shared" si="635"/>
        <v>0</v>
      </c>
      <c r="U650" s="1554">
        <f t="shared" si="636"/>
        <v>0</v>
      </c>
      <c r="V650" s="1554">
        <f t="shared" si="641"/>
        <v>0</v>
      </c>
      <c r="W650" s="1554">
        <f t="shared" si="637"/>
        <v>0</v>
      </c>
      <c r="X650" s="1554">
        <f t="shared" si="642"/>
        <v>0</v>
      </c>
      <c r="Y650" s="1554">
        <f t="shared" si="642"/>
        <v>0</v>
      </c>
      <c r="Z650" s="1554">
        <f t="shared" si="642"/>
        <v>0</v>
      </c>
      <c r="AA650" s="1554">
        <f t="shared" si="642"/>
        <v>0</v>
      </c>
      <c r="AB650" s="1554">
        <f t="shared" si="638"/>
        <v>0</v>
      </c>
      <c r="AC650" s="1554">
        <f t="shared" si="638"/>
        <v>0</v>
      </c>
      <c r="AD650" s="1554">
        <f t="shared" si="638"/>
        <v>0</v>
      </c>
      <c r="AE650" s="1554">
        <f t="shared" si="638"/>
        <v>0</v>
      </c>
      <c r="AF650" s="1554">
        <f t="shared" si="638"/>
        <v>0</v>
      </c>
      <c r="AG650" s="1554">
        <f t="shared" si="638"/>
        <v>0</v>
      </c>
      <c r="AH650" s="1554">
        <f t="shared" si="643"/>
        <v>0</v>
      </c>
      <c r="AI650" s="1556">
        <f t="shared" si="639"/>
        <v>0</v>
      </c>
      <c r="AJ650" s="1556">
        <f t="shared" si="640"/>
        <v>0</v>
      </c>
      <c r="AL650" s="561"/>
      <c r="AM650" s="1526"/>
      <c r="AN650" s="1526"/>
      <c r="AO650" s="1526"/>
      <c r="AP650" s="1526"/>
      <c r="AQ650" s="1526"/>
      <c r="AR650" s="1526"/>
      <c r="AS650" s="1526"/>
      <c r="AT650" s="1526"/>
      <c r="AU650" s="1526"/>
      <c r="AV650" s="1526"/>
      <c r="AW650" s="1526"/>
      <c r="AX650" s="1526"/>
      <c r="AY650" s="1526"/>
      <c r="AZ650" s="1526"/>
      <c r="BA650" s="1526"/>
      <c r="BB650" s="1526"/>
      <c r="BC650" s="1526"/>
      <c r="BD650" s="1526"/>
      <c r="BE650" s="1526"/>
      <c r="BF650" s="1526"/>
      <c r="BG650" s="1526"/>
      <c r="BH650" s="1526"/>
    </row>
    <row r="651" spans="1:60" s="1525" customFormat="1">
      <c r="A651" s="1375">
        <v>2</v>
      </c>
      <c r="B651" s="1376" t="s">
        <v>2237</v>
      </c>
      <c r="C651" s="1365"/>
      <c r="D651" s="1365"/>
      <c r="E651" s="1365"/>
      <c r="F651" s="1365"/>
      <c r="G651" s="1553">
        <f t="shared" ref="G651:G659" si="645">H651+I651+T651</f>
        <v>0</v>
      </c>
      <c r="H651" s="1365"/>
      <c r="I651" s="1553">
        <f>SUM(J651:S651)</f>
        <v>0</v>
      </c>
      <c r="J651" s="1365"/>
      <c r="K651" s="1365"/>
      <c r="L651" s="1365"/>
      <c r="M651" s="1365"/>
      <c r="N651" s="1365"/>
      <c r="O651" s="1365"/>
      <c r="P651" s="1365"/>
      <c r="Q651" s="1365"/>
      <c r="R651" s="1365"/>
      <c r="S651" s="1365"/>
      <c r="T651" s="1555">
        <f t="shared" si="635"/>
        <v>0</v>
      </c>
      <c r="U651" s="1554">
        <f t="shared" si="636"/>
        <v>0</v>
      </c>
      <c r="V651" s="1554">
        <f t="shared" si="641"/>
        <v>0</v>
      </c>
      <c r="W651" s="1554">
        <f t="shared" si="637"/>
        <v>0</v>
      </c>
      <c r="X651" s="1554">
        <f t="shared" si="642"/>
        <v>0</v>
      </c>
      <c r="Y651" s="1554">
        <f t="shared" si="642"/>
        <v>0</v>
      </c>
      <c r="Z651" s="1554">
        <f t="shared" si="642"/>
        <v>0</v>
      </c>
      <c r="AA651" s="1554">
        <f t="shared" si="642"/>
        <v>0</v>
      </c>
      <c r="AB651" s="1554">
        <f t="shared" si="638"/>
        <v>0</v>
      </c>
      <c r="AC651" s="1554">
        <f t="shared" si="638"/>
        <v>0</v>
      </c>
      <c r="AD651" s="1554">
        <f t="shared" si="638"/>
        <v>0</v>
      </c>
      <c r="AE651" s="1554">
        <f t="shared" si="638"/>
        <v>0</v>
      </c>
      <c r="AF651" s="1554">
        <f t="shared" si="638"/>
        <v>0</v>
      </c>
      <c r="AG651" s="1554">
        <f t="shared" si="638"/>
        <v>0</v>
      </c>
      <c r="AH651" s="1554">
        <f t="shared" si="643"/>
        <v>0</v>
      </c>
      <c r="AI651" s="1556">
        <f t="shared" si="639"/>
        <v>0</v>
      </c>
      <c r="AJ651" s="1556">
        <f t="shared" si="640"/>
        <v>0</v>
      </c>
      <c r="AL651" s="561"/>
      <c r="AM651" s="1526"/>
      <c r="AN651" s="1526"/>
      <c r="AO651" s="1526"/>
      <c r="AP651" s="1526"/>
      <c r="AQ651" s="1526"/>
      <c r="AR651" s="1526"/>
      <c r="AS651" s="1526"/>
      <c r="AT651" s="1526"/>
      <c r="AU651" s="1526"/>
      <c r="AV651" s="1526"/>
      <c r="AW651" s="1526"/>
      <c r="AX651" s="1526"/>
      <c r="AY651" s="1526"/>
      <c r="AZ651" s="1526"/>
      <c r="BA651" s="1526"/>
      <c r="BB651" s="1526"/>
      <c r="BC651" s="1526"/>
      <c r="BD651" s="1526"/>
      <c r="BE651" s="1526"/>
      <c r="BF651" s="1526"/>
      <c r="BG651" s="1526"/>
      <c r="BH651" s="1526"/>
    </row>
    <row r="652" spans="1:60" s="1525" customFormat="1">
      <c r="A652" s="1456"/>
      <c r="B652" s="1535" t="s">
        <v>2529</v>
      </c>
      <c r="C652" s="1365"/>
      <c r="D652" s="1365"/>
      <c r="E652" s="1365"/>
      <c r="F652" s="1365"/>
      <c r="G652" s="1555"/>
      <c r="H652" s="1365"/>
      <c r="I652" s="1555"/>
      <c r="J652" s="1365"/>
      <c r="K652" s="1365"/>
      <c r="L652" s="1365"/>
      <c r="M652" s="1365"/>
      <c r="N652" s="1365"/>
      <c r="O652" s="1365"/>
      <c r="P652" s="1365"/>
      <c r="Q652" s="1365"/>
      <c r="R652" s="1365"/>
      <c r="S652" s="1365"/>
      <c r="T652" s="1555">
        <f t="shared" si="635"/>
        <v>0</v>
      </c>
      <c r="U652" s="1554">
        <f t="shared" si="636"/>
        <v>0</v>
      </c>
      <c r="V652" s="1554">
        <f t="shared" si="641"/>
        <v>0</v>
      </c>
      <c r="W652" s="1554">
        <f t="shared" si="637"/>
        <v>0</v>
      </c>
      <c r="X652" s="1554">
        <f t="shared" si="642"/>
        <v>0</v>
      </c>
      <c r="Y652" s="1554">
        <f t="shared" si="642"/>
        <v>0</v>
      </c>
      <c r="Z652" s="1554">
        <f t="shared" si="642"/>
        <v>0</v>
      </c>
      <c r="AA652" s="1554">
        <f t="shared" si="642"/>
        <v>0</v>
      </c>
      <c r="AB652" s="1554">
        <f t="shared" si="638"/>
        <v>0</v>
      </c>
      <c r="AC652" s="1554" t="s">
        <v>2530</v>
      </c>
      <c r="AD652" s="1554">
        <f t="shared" si="638"/>
        <v>0</v>
      </c>
      <c r="AE652" s="1554">
        <f t="shared" si="638"/>
        <v>0</v>
      </c>
      <c r="AF652" s="1554">
        <f t="shared" si="638"/>
        <v>0</v>
      </c>
      <c r="AG652" s="1554">
        <f t="shared" si="638"/>
        <v>0</v>
      </c>
      <c r="AH652" s="1554">
        <f t="shared" si="643"/>
        <v>0</v>
      </c>
      <c r="AI652" s="1556">
        <f t="shared" si="639"/>
        <v>0</v>
      </c>
      <c r="AJ652" s="1556">
        <f t="shared" si="640"/>
        <v>0</v>
      </c>
      <c r="AL652" s="561"/>
      <c r="AM652" s="1526"/>
      <c r="AN652" s="1526"/>
      <c r="AO652" s="1526"/>
      <c r="AP652" s="1526"/>
      <c r="AQ652" s="1526"/>
      <c r="AR652" s="1526"/>
      <c r="AS652" s="1526"/>
      <c r="AT652" s="1526"/>
      <c r="AU652" s="1526"/>
      <c r="AV652" s="1526"/>
      <c r="AW652" s="1526"/>
      <c r="AX652" s="1526"/>
      <c r="AY652" s="1526"/>
      <c r="AZ652" s="1526"/>
      <c r="BA652" s="1526"/>
      <c r="BB652" s="1526"/>
      <c r="BC652" s="1526"/>
      <c r="BD652" s="1526"/>
      <c r="BE652" s="1526"/>
      <c r="BF652" s="1526"/>
      <c r="BG652" s="1526"/>
      <c r="BH652" s="1526"/>
    </row>
    <row r="653" spans="1:60" s="1525" customFormat="1">
      <c r="A653" s="1375">
        <v>3</v>
      </c>
      <c r="B653" s="1376" t="s">
        <v>2531</v>
      </c>
      <c r="C653" s="1365"/>
      <c r="D653" s="1365"/>
      <c r="E653" s="1365"/>
      <c r="F653" s="1365"/>
      <c r="G653" s="1553">
        <f t="shared" si="645"/>
        <v>0</v>
      </c>
      <c r="H653" s="1365"/>
      <c r="I653" s="1553">
        <f t="shared" ref="I653:I659" si="646">SUM(J653:S653)</f>
        <v>0</v>
      </c>
      <c r="J653" s="1365"/>
      <c r="K653" s="1365"/>
      <c r="L653" s="1365"/>
      <c r="M653" s="1365"/>
      <c r="N653" s="1365"/>
      <c r="O653" s="1365"/>
      <c r="P653" s="1365"/>
      <c r="Q653" s="1365"/>
      <c r="R653" s="1365"/>
      <c r="S653" s="1365"/>
      <c r="T653" s="1555">
        <f t="shared" si="635"/>
        <v>0</v>
      </c>
      <c r="U653" s="1554">
        <f t="shared" si="636"/>
        <v>0</v>
      </c>
      <c r="V653" s="1554">
        <f t="shared" si="641"/>
        <v>0</v>
      </c>
      <c r="W653" s="1554">
        <f t="shared" si="637"/>
        <v>0</v>
      </c>
      <c r="X653" s="1554">
        <f t="shared" si="642"/>
        <v>0</v>
      </c>
      <c r="Y653" s="1554">
        <f t="shared" si="642"/>
        <v>0</v>
      </c>
      <c r="Z653" s="1554">
        <f t="shared" si="642"/>
        <v>0</v>
      </c>
      <c r="AA653" s="1554">
        <f t="shared" si="642"/>
        <v>0</v>
      </c>
      <c r="AB653" s="1554">
        <f t="shared" si="638"/>
        <v>0</v>
      </c>
      <c r="AC653" s="1554">
        <f t="shared" si="638"/>
        <v>0</v>
      </c>
      <c r="AD653" s="1554">
        <f t="shared" si="638"/>
        <v>0</v>
      </c>
      <c r="AE653" s="1554">
        <f t="shared" si="638"/>
        <v>0</v>
      </c>
      <c r="AF653" s="1554">
        <f t="shared" si="638"/>
        <v>0</v>
      </c>
      <c r="AG653" s="1554">
        <f t="shared" si="638"/>
        <v>0</v>
      </c>
      <c r="AH653" s="1554">
        <f t="shared" si="643"/>
        <v>0</v>
      </c>
      <c r="AI653" s="1556">
        <f t="shared" si="639"/>
        <v>0</v>
      </c>
      <c r="AJ653" s="1556">
        <f t="shared" si="640"/>
        <v>0</v>
      </c>
      <c r="AL653" s="561"/>
      <c r="AM653" s="1526"/>
      <c r="AN653" s="1526"/>
      <c r="AO653" s="1526"/>
      <c r="AP653" s="1526"/>
      <c r="AQ653" s="1526"/>
      <c r="AR653" s="1526"/>
      <c r="AS653" s="1526"/>
      <c r="AT653" s="1526"/>
      <c r="AU653" s="1526"/>
      <c r="AV653" s="1526"/>
      <c r="AW653" s="1526"/>
      <c r="AX653" s="1526"/>
      <c r="AY653" s="1526"/>
      <c r="AZ653" s="1526"/>
      <c r="BA653" s="1526"/>
      <c r="BB653" s="1526"/>
      <c r="BC653" s="1526"/>
      <c r="BD653" s="1526"/>
      <c r="BE653" s="1526"/>
      <c r="BF653" s="1526"/>
      <c r="BG653" s="1526"/>
      <c r="BH653" s="1526"/>
    </row>
    <row r="654" spans="1:60" s="1525" customFormat="1">
      <c r="A654" s="1375">
        <v>4</v>
      </c>
      <c r="B654" s="1376" t="s">
        <v>2532</v>
      </c>
      <c r="C654" s="1365"/>
      <c r="D654" s="1365"/>
      <c r="E654" s="1365"/>
      <c r="F654" s="1365"/>
      <c r="G654" s="1553">
        <f t="shared" si="645"/>
        <v>0</v>
      </c>
      <c r="H654" s="1365"/>
      <c r="I654" s="1553">
        <f t="shared" si="646"/>
        <v>0</v>
      </c>
      <c r="J654" s="1365"/>
      <c r="K654" s="1493"/>
      <c r="L654" s="1493"/>
      <c r="M654" s="1365"/>
      <c r="N654" s="1365"/>
      <c r="O654" s="1365"/>
      <c r="P654" s="1365"/>
      <c r="Q654" s="1365"/>
      <c r="R654" s="1365"/>
      <c r="S654" s="1365"/>
      <c r="T654" s="1586">
        <f t="shared" si="635"/>
        <v>0</v>
      </c>
      <c r="U654" s="1587">
        <f t="shared" si="636"/>
        <v>0</v>
      </c>
      <c r="V654" s="1587">
        <f t="shared" si="641"/>
        <v>0</v>
      </c>
      <c r="W654" s="1587">
        <f t="shared" si="637"/>
        <v>0</v>
      </c>
      <c r="X654" s="1554">
        <f t="shared" si="642"/>
        <v>0</v>
      </c>
      <c r="Y654" s="1587">
        <f t="shared" si="642"/>
        <v>0</v>
      </c>
      <c r="Z654" s="1587">
        <f t="shared" si="642"/>
        <v>0</v>
      </c>
      <c r="AA654" s="1554">
        <f t="shared" si="642"/>
        <v>0</v>
      </c>
      <c r="AB654" s="1554">
        <f t="shared" si="638"/>
        <v>0</v>
      </c>
      <c r="AC654" s="1554">
        <f t="shared" si="638"/>
        <v>0</v>
      </c>
      <c r="AD654" s="1554">
        <f t="shared" si="638"/>
        <v>0</v>
      </c>
      <c r="AE654" s="1554">
        <f t="shared" si="638"/>
        <v>0</v>
      </c>
      <c r="AF654" s="1554">
        <f t="shared" si="638"/>
        <v>0</v>
      </c>
      <c r="AG654" s="1554">
        <f t="shared" si="638"/>
        <v>0</v>
      </c>
      <c r="AH654" s="1587">
        <f t="shared" si="643"/>
        <v>0</v>
      </c>
      <c r="AI654" s="1588">
        <f t="shared" si="639"/>
        <v>0</v>
      </c>
      <c r="AJ654" s="1588">
        <f t="shared" si="640"/>
        <v>0</v>
      </c>
      <c r="AL654" s="561"/>
      <c r="AM654" s="1526"/>
      <c r="AN654" s="1526"/>
      <c r="AO654" s="1526"/>
      <c r="AP654" s="1526"/>
      <c r="AQ654" s="1526"/>
      <c r="AR654" s="1526"/>
      <c r="AS654" s="1526"/>
      <c r="AT654" s="1526"/>
      <c r="AU654" s="1526"/>
      <c r="AV654" s="1526"/>
      <c r="AW654" s="1526"/>
      <c r="AX654" s="1526"/>
      <c r="AY654" s="1526"/>
      <c r="AZ654" s="1526"/>
      <c r="BA654" s="1526"/>
      <c r="BB654" s="1526"/>
      <c r="BC654" s="1526"/>
      <c r="BD654" s="1526"/>
      <c r="BE654" s="1526"/>
      <c r="BF654" s="1526"/>
      <c r="BG654" s="1526"/>
      <c r="BH654" s="1526"/>
    </row>
    <row r="655" spans="1:60" s="1525" customFormat="1">
      <c r="A655" s="1375">
        <v>5</v>
      </c>
      <c r="B655" s="1376" t="s">
        <v>2533</v>
      </c>
      <c r="C655" s="1365"/>
      <c r="D655" s="1365"/>
      <c r="E655" s="1365"/>
      <c r="F655" s="1365"/>
      <c r="G655" s="1553">
        <f t="shared" si="645"/>
        <v>0</v>
      </c>
      <c r="H655" s="1365"/>
      <c r="I655" s="1553">
        <f t="shared" si="646"/>
        <v>0</v>
      </c>
      <c r="J655" s="1365"/>
      <c r="K655" s="1365"/>
      <c r="L655" s="1365"/>
      <c r="M655" s="1365"/>
      <c r="N655" s="1365"/>
      <c r="O655" s="1365"/>
      <c r="P655" s="1365"/>
      <c r="Q655" s="1365"/>
      <c r="R655" s="1365"/>
      <c r="S655" s="1365"/>
      <c r="T655" s="1555">
        <f t="shared" si="635"/>
        <v>0</v>
      </c>
      <c r="U655" s="1554">
        <f t="shared" si="636"/>
        <v>0</v>
      </c>
      <c r="V655" s="1554">
        <f t="shared" si="641"/>
        <v>0</v>
      </c>
      <c r="W655" s="1554">
        <f t="shared" si="637"/>
        <v>0</v>
      </c>
      <c r="X655" s="1554">
        <f t="shared" si="642"/>
        <v>0</v>
      </c>
      <c r="Y655" s="1554">
        <f t="shared" si="642"/>
        <v>0</v>
      </c>
      <c r="Z655" s="1554">
        <f t="shared" si="642"/>
        <v>0</v>
      </c>
      <c r="AA655" s="1554">
        <f t="shared" si="642"/>
        <v>0</v>
      </c>
      <c r="AB655" s="1554">
        <f t="shared" si="638"/>
        <v>0</v>
      </c>
      <c r="AC655" s="1554">
        <f t="shared" si="638"/>
        <v>0</v>
      </c>
      <c r="AD655" s="1554">
        <f t="shared" si="638"/>
        <v>0</v>
      </c>
      <c r="AE655" s="1554">
        <f t="shared" si="638"/>
        <v>0</v>
      </c>
      <c r="AF655" s="1554">
        <f t="shared" si="638"/>
        <v>0</v>
      </c>
      <c r="AG655" s="1554">
        <f t="shared" si="638"/>
        <v>0</v>
      </c>
      <c r="AH655" s="1554">
        <f t="shared" si="643"/>
        <v>0</v>
      </c>
      <c r="AI655" s="1556">
        <f t="shared" si="639"/>
        <v>0</v>
      </c>
      <c r="AJ655" s="1556">
        <f t="shared" si="640"/>
        <v>0</v>
      </c>
      <c r="AL655" s="561"/>
      <c r="AM655" s="1526"/>
      <c r="AN655" s="1526"/>
      <c r="AO655" s="1526"/>
      <c r="AP655" s="1526"/>
      <c r="AQ655" s="1526"/>
      <c r="AR655" s="1526"/>
      <c r="AS655" s="1526"/>
      <c r="AT655" s="1526"/>
      <c r="AU655" s="1526"/>
      <c r="AV655" s="1526"/>
      <c r="AW655" s="1526"/>
      <c r="AX655" s="1526"/>
      <c r="AY655" s="1526"/>
      <c r="AZ655" s="1526"/>
      <c r="BA655" s="1526"/>
      <c r="BB655" s="1526"/>
      <c r="BC655" s="1526"/>
      <c r="BD655" s="1526"/>
      <c r="BE655" s="1526"/>
      <c r="BF655" s="1526"/>
      <c r="BG655" s="1526"/>
      <c r="BH655" s="1526"/>
    </row>
    <row r="656" spans="1:60" s="1525" customFormat="1">
      <c r="A656" s="1375">
        <v>6</v>
      </c>
      <c r="B656" s="1376" t="s">
        <v>2534</v>
      </c>
      <c r="C656" s="1365"/>
      <c r="D656" s="1365"/>
      <c r="E656" s="1365"/>
      <c r="F656" s="1365"/>
      <c r="G656" s="1553">
        <f t="shared" si="645"/>
        <v>0</v>
      </c>
      <c r="H656" s="1365"/>
      <c r="I656" s="1553">
        <f t="shared" si="646"/>
        <v>0</v>
      </c>
      <c r="J656" s="1365"/>
      <c r="K656" s="1365"/>
      <c r="L656" s="1365"/>
      <c r="M656" s="1365"/>
      <c r="N656" s="1365"/>
      <c r="O656" s="1365"/>
      <c r="P656" s="1365"/>
      <c r="Q656" s="1365"/>
      <c r="R656" s="1365"/>
      <c r="S656" s="1365"/>
      <c r="T656" s="1555">
        <f t="shared" si="635"/>
        <v>0</v>
      </c>
      <c r="U656" s="1554">
        <f t="shared" si="636"/>
        <v>0</v>
      </c>
      <c r="V656" s="1554">
        <f t="shared" si="641"/>
        <v>0</v>
      </c>
      <c r="W656" s="1554">
        <f t="shared" si="637"/>
        <v>0</v>
      </c>
      <c r="X656" s="1554">
        <f t="shared" si="642"/>
        <v>0</v>
      </c>
      <c r="Y656" s="1554">
        <f t="shared" si="642"/>
        <v>0</v>
      </c>
      <c r="Z656" s="1554">
        <f t="shared" si="642"/>
        <v>0</v>
      </c>
      <c r="AA656" s="1554">
        <f t="shared" si="642"/>
        <v>0</v>
      </c>
      <c r="AB656" s="1554">
        <f t="shared" si="638"/>
        <v>0</v>
      </c>
      <c r="AC656" s="1554">
        <f t="shared" si="638"/>
        <v>0</v>
      </c>
      <c r="AD656" s="1554">
        <f t="shared" si="638"/>
        <v>0</v>
      </c>
      <c r="AE656" s="1554">
        <f t="shared" si="638"/>
        <v>0</v>
      </c>
      <c r="AF656" s="1554">
        <f t="shared" si="638"/>
        <v>0</v>
      </c>
      <c r="AG656" s="1554">
        <f t="shared" si="638"/>
        <v>0</v>
      </c>
      <c r="AH656" s="1554">
        <f t="shared" si="643"/>
        <v>0</v>
      </c>
      <c r="AI656" s="1556">
        <f t="shared" si="639"/>
        <v>0</v>
      </c>
      <c r="AJ656" s="1556">
        <f t="shared" si="640"/>
        <v>0</v>
      </c>
      <c r="AL656" s="561"/>
      <c r="AM656" s="1526"/>
      <c r="AN656" s="1526"/>
      <c r="AO656" s="1526"/>
      <c r="AP656" s="1526"/>
      <c r="AQ656" s="1526"/>
      <c r="AR656" s="1526"/>
      <c r="AS656" s="1526"/>
      <c r="AT656" s="1526"/>
      <c r="AU656" s="1526"/>
      <c r="AV656" s="1526"/>
      <c r="AW656" s="1526"/>
      <c r="AX656" s="1526"/>
      <c r="AY656" s="1526"/>
      <c r="AZ656" s="1526"/>
      <c r="BA656" s="1526"/>
      <c r="BB656" s="1526"/>
      <c r="BC656" s="1526"/>
      <c r="BD656" s="1526"/>
      <c r="BE656" s="1526"/>
      <c r="BF656" s="1526"/>
      <c r="BG656" s="1526"/>
      <c r="BH656" s="1526"/>
    </row>
    <row r="657" spans="1:60" s="1525" customFormat="1">
      <c r="A657" s="1375">
        <v>7</v>
      </c>
      <c r="B657" s="1376" t="s">
        <v>2535</v>
      </c>
      <c r="C657" s="1365"/>
      <c r="D657" s="1365"/>
      <c r="E657" s="1365"/>
      <c r="F657" s="1365"/>
      <c r="G657" s="1589">
        <f t="shared" si="645"/>
        <v>0</v>
      </c>
      <c r="H657" s="1493"/>
      <c r="I657" s="1589">
        <f t="shared" si="646"/>
        <v>0</v>
      </c>
      <c r="J657" s="1493"/>
      <c r="K657" s="1493"/>
      <c r="L657" s="1493"/>
      <c r="M657" s="1493"/>
      <c r="N657" s="1493"/>
      <c r="O657" s="1493"/>
      <c r="P657" s="1493"/>
      <c r="Q657" s="1493"/>
      <c r="R657" s="1493"/>
      <c r="S657" s="1493"/>
      <c r="T657" s="1555">
        <f t="shared" si="635"/>
        <v>0</v>
      </c>
      <c r="U657" s="1587">
        <f t="shared" si="636"/>
        <v>0</v>
      </c>
      <c r="V657" s="1587">
        <f t="shared" si="641"/>
        <v>0</v>
      </c>
      <c r="W657" s="1587">
        <f t="shared" si="637"/>
        <v>0</v>
      </c>
      <c r="X657" s="1587">
        <f t="shared" si="642"/>
        <v>0</v>
      </c>
      <c r="Y657" s="1587">
        <f t="shared" si="642"/>
        <v>0</v>
      </c>
      <c r="Z657" s="1587">
        <f t="shared" si="642"/>
        <v>0</v>
      </c>
      <c r="AA657" s="1587">
        <f t="shared" si="642"/>
        <v>0</v>
      </c>
      <c r="AB657" s="1587">
        <f t="shared" si="638"/>
        <v>0</v>
      </c>
      <c r="AC657" s="1587">
        <f t="shared" si="638"/>
        <v>0</v>
      </c>
      <c r="AD657" s="1587">
        <f t="shared" si="638"/>
        <v>0</v>
      </c>
      <c r="AE657" s="1587">
        <f t="shared" si="638"/>
        <v>0</v>
      </c>
      <c r="AF657" s="1587">
        <f t="shared" si="638"/>
        <v>0</v>
      </c>
      <c r="AG657" s="1587">
        <f t="shared" si="638"/>
        <v>0</v>
      </c>
      <c r="AH657" s="1554">
        <f t="shared" si="643"/>
        <v>0</v>
      </c>
      <c r="AI657" s="1588">
        <f t="shared" si="639"/>
        <v>0</v>
      </c>
      <c r="AJ657" s="1588">
        <f t="shared" si="640"/>
        <v>0</v>
      </c>
      <c r="AL657" s="561"/>
      <c r="AM657" s="1526"/>
      <c r="AN657" s="1526"/>
      <c r="AO657" s="1526"/>
      <c r="AP657" s="1526"/>
      <c r="AQ657" s="1526"/>
      <c r="AR657" s="1526"/>
      <c r="AS657" s="1526"/>
      <c r="AT657" s="1526"/>
      <c r="AU657" s="1526"/>
      <c r="AV657" s="1526"/>
      <c r="AW657" s="1526"/>
      <c r="AX657" s="1526"/>
      <c r="AY657" s="1526"/>
      <c r="AZ657" s="1526"/>
      <c r="BA657" s="1526"/>
      <c r="BB657" s="1526"/>
      <c r="BC657" s="1526"/>
      <c r="BD657" s="1526"/>
      <c r="BE657" s="1526"/>
      <c r="BF657" s="1526"/>
      <c r="BG657" s="1526"/>
      <c r="BH657" s="1526"/>
    </row>
    <row r="658" spans="1:60" s="1525" customFormat="1">
      <c r="A658" s="1375">
        <v>8</v>
      </c>
      <c r="B658" s="1590" t="s">
        <v>3429</v>
      </c>
      <c r="C658" s="1365"/>
      <c r="D658" s="1365"/>
      <c r="E658" s="1365"/>
      <c r="F658" s="1365"/>
      <c r="G658" s="1589">
        <f t="shared" si="645"/>
        <v>0</v>
      </c>
      <c r="H658" s="1493"/>
      <c r="I658" s="1589">
        <f t="shared" si="646"/>
        <v>0</v>
      </c>
      <c r="J658" s="1493"/>
      <c r="K658" s="1493"/>
      <c r="L658" s="1493"/>
      <c r="M658" s="1493"/>
      <c r="N658" s="1493"/>
      <c r="O658" s="1493"/>
      <c r="P658" s="1493"/>
      <c r="Q658" s="1493"/>
      <c r="R658" s="1493"/>
      <c r="S658" s="1493"/>
      <c r="T658" s="1555">
        <f t="shared" si="635"/>
        <v>0</v>
      </c>
      <c r="U658" s="1587">
        <f t="shared" si="636"/>
        <v>0</v>
      </c>
      <c r="V658" s="1587">
        <f t="shared" si="641"/>
        <v>0</v>
      </c>
      <c r="W658" s="1587">
        <f t="shared" si="637"/>
        <v>0</v>
      </c>
      <c r="X658" s="1587">
        <f t="shared" si="642"/>
        <v>0</v>
      </c>
      <c r="Y658" s="1587">
        <f t="shared" si="642"/>
        <v>0</v>
      </c>
      <c r="Z658" s="1587">
        <f t="shared" si="642"/>
        <v>0</v>
      </c>
      <c r="AA658" s="1587">
        <f t="shared" si="642"/>
        <v>0</v>
      </c>
      <c r="AB658" s="1587">
        <f t="shared" si="638"/>
        <v>0</v>
      </c>
      <c r="AC658" s="1587">
        <f t="shared" si="638"/>
        <v>0</v>
      </c>
      <c r="AD658" s="1587">
        <f t="shared" si="638"/>
        <v>0</v>
      </c>
      <c r="AE658" s="1587">
        <f t="shared" si="638"/>
        <v>0</v>
      </c>
      <c r="AF658" s="1587">
        <f t="shared" si="638"/>
        <v>0</v>
      </c>
      <c r="AG658" s="1587">
        <f t="shared" si="638"/>
        <v>0</v>
      </c>
      <c r="AH658" s="1554">
        <f t="shared" si="643"/>
        <v>0</v>
      </c>
      <c r="AI658" s="1588">
        <f t="shared" si="639"/>
        <v>0</v>
      </c>
      <c r="AJ658" s="1588">
        <f t="shared" si="640"/>
        <v>0</v>
      </c>
      <c r="AL658" s="561"/>
      <c r="AM658" s="1526"/>
      <c r="AN658" s="1526"/>
      <c r="AO658" s="1526"/>
      <c r="AP658" s="1526"/>
      <c r="AQ658" s="1526"/>
      <c r="AR658" s="1526"/>
      <c r="AS658" s="1526"/>
      <c r="AT658" s="1526"/>
      <c r="AU658" s="1526"/>
      <c r="AV658" s="1526"/>
      <c r="AW658" s="1526"/>
      <c r="AX658" s="1526"/>
      <c r="AY658" s="1526"/>
      <c r="AZ658" s="1526"/>
      <c r="BA658" s="1526"/>
      <c r="BB658" s="1526"/>
      <c r="BC658" s="1526"/>
      <c r="BD658" s="1526"/>
      <c r="BE658" s="1526"/>
      <c r="BF658" s="1526"/>
      <c r="BG658" s="1526"/>
      <c r="BH658" s="1526"/>
    </row>
    <row r="659" spans="1:60" s="1525" customFormat="1">
      <c r="A659" s="1375">
        <v>9</v>
      </c>
      <c r="B659" s="1590" t="s">
        <v>2537</v>
      </c>
      <c r="C659" s="1365"/>
      <c r="D659" s="1365"/>
      <c r="E659" s="1365"/>
      <c r="F659" s="1365"/>
      <c r="G659" s="1553">
        <f t="shared" si="645"/>
        <v>0</v>
      </c>
      <c r="H659" s="1365"/>
      <c r="I659" s="1553">
        <f t="shared" si="646"/>
        <v>0</v>
      </c>
      <c r="J659" s="1365"/>
      <c r="K659" s="1365"/>
      <c r="L659" s="1365"/>
      <c r="M659" s="1365"/>
      <c r="N659" s="1365"/>
      <c r="O659" s="1365"/>
      <c r="P659" s="1365"/>
      <c r="Q659" s="1365"/>
      <c r="R659" s="1365"/>
      <c r="S659" s="1365"/>
      <c r="T659" s="1555">
        <f t="shared" si="635"/>
        <v>0</v>
      </c>
      <c r="U659" s="1554">
        <f t="shared" si="636"/>
        <v>0</v>
      </c>
      <c r="V659" s="1554">
        <f t="shared" si="641"/>
        <v>0</v>
      </c>
      <c r="W659" s="1554">
        <f t="shared" si="637"/>
        <v>0</v>
      </c>
      <c r="X659" s="1554">
        <f t="shared" si="642"/>
        <v>0</v>
      </c>
      <c r="Y659" s="1554">
        <f t="shared" si="642"/>
        <v>0</v>
      </c>
      <c r="Z659" s="1554">
        <f t="shared" si="642"/>
        <v>0</v>
      </c>
      <c r="AA659" s="1554">
        <f t="shared" si="642"/>
        <v>0</v>
      </c>
      <c r="AB659" s="1554">
        <f t="shared" si="638"/>
        <v>0</v>
      </c>
      <c r="AC659" s="1554">
        <f t="shared" si="638"/>
        <v>0</v>
      </c>
      <c r="AD659" s="1554">
        <f t="shared" si="638"/>
        <v>0</v>
      </c>
      <c r="AE659" s="1554">
        <f t="shared" si="638"/>
        <v>0</v>
      </c>
      <c r="AF659" s="1554">
        <f t="shared" si="638"/>
        <v>0</v>
      </c>
      <c r="AG659" s="1554">
        <f t="shared" si="638"/>
        <v>0</v>
      </c>
      <c r="AH659" s="1554">
        <f t="shared" si="643"/>
        <v>0</v>
      </c>
      <c r="AI659" s="1556">
        <f t="shared" si="639"/>
        <v>0</v>
      </c>
      <c r="AJ659" s="1556">
        <f t="shared" si="640"/>
        <v>0</v>
      </c>
      <c r="AL659" s="561"/>
      <c r="AM659" s="1526"/>
      <c r="AN659" s="1526"/>
      <c r="AO659" s="1526"/>
      <c r="AP659" s="1526"/>
      <c r="AQ659" s="1526"/>
      <c r="AR659" s="1526"/>
      <c r="AS659" s="1526"/>
      <c r="AT659" s="1526"/>
      <c r="AU659" s="1526"/>
      <c r="AV659" s="1526"/>
      <c r="AW659" s="1526"/>
      <c r="AX659" s="1526"/>
      <c r="AY659" s="1526"/>
      <c r="AZ659" s="1526"/>
      <c r="BA659" s="1526"/>
      <c r="BB659" s="1526"/>
      <c r="BC659" s="1526"/>
      <c r="BD659" s="1526"/>
      <c r="BE659" s="1526"/>
      <c r="BF659" s="1526"/>
      <c r="BG659" s="1526"/>
      <c r="BH659" s="1526"/>
    </row>
    <row r="660" spans="1:60" s="1525" customFormat="1">
      <c r="A660" s="1375">
        <v>10</v>
      </c>
      <c r="B660" s="1376" t="s">
        <v>2492</v>
      </c>
      <c r="C660" s="1555">
        <f>SUM(C661:C663)</f>
        <v>0</v>
      </c>
      <c r="D660" s="1555"/>
      <c r="E660" s="1555"/>
      <c r="F660" s="1555">
        <f t="shared" ref="F660:AI660" si="647">SUM(F661:F663)</f>
        <v>0</v>
      </c>
      <c r="G660" s="1555">
        <f>SUM(G661:G663)</f>
        <v>0</v>
      </c>
      <c r="H660" s="1555">
        <f>SUM(H661:H663)</f>
        <v>0</v>
      </c>
      <c r="I660" s="1555">
        <f t="shared" si="647"/>
        <v>0</v>
      </c>
      <c r="J660" s="1555">
        <f t="shared" si="647"/>
        <v>0</v>
      </c>
      <c r="K660" s="1555">
        <f t="shared" si="647"/>
        <v>0</v>
      </c>
      <c r="L660" s="1555">
        <f t="shared" si="647"/>
        <v>0</v>
      </c>
      <c r="M660" s="1555">
        <f t="shared" si="647"/>
        <v>0</v>
      </c>
      <c r="N660" s="1555">
        <f t="shared" si="647"/>
        <v>0</v>
      </c>
      <c r="O660" s="1555">
        <f t="shared" si="647"/>
        <v>0</v>
      </c>
      <c r="P660" s="1555">
        <f t="shared" si="647"/>
        <v>0</v>
      </c>
      <c r="Q660" s="1555">
        <f t="shared" si="647"/>
        <v>0</v>
      </c>
      <c r="R660" s="1555">
        <f t="shared" si="647"/>
        <v>0</v>
      </c>
      <c r="S660" s="1555">
        <f t="shared" si="647"/>
        <v>0</v>
      </c>
      <c r="T660" s="1555">
        <f>SUM(T661:T663)</f>
        <v>0</v>
      </c>
      <c r="U660" s="1556">
        <f t="shared" si="647"/>
        <v>0</v>
      </c>
      <c r="V660" s="1554">
        <f t="shared" si="641"/>
        <v>0</v>
      </c>
      <c r="W660" s="1554">
        <f t="shared" si="637"/>
        <v>0</v>
      </c>
      <c r="X660" s="1554">
        <f t="shared" si="642"/>
        <v>0</v>
      </c>
      <c r="Y660" s="1554">
        <f t="shared" si="642"/>
        <v>0</v>
      </c>
      <c r="Z660" s="1554">
        <f t="shared" si="642"/>
        <v>0</v>
      </c>
      <c r="AA660" s="1554">
        <f t="shared" si="642"/>
        <v>0</v>
      </c>
      <c r="AB660" s="1554">
        <f t="shared" si="638"/>
        <v>0</v>
      </c>
      <c r="AC660" s="1554">
        <f t="shared" si="638"/>
        <v>0</v>
      </c>
      <c r="AD660" s="1554">
        <f t="shared" si="638"/>
        <v>0</v>
      </c>
      <c r="AE660" s="1554">
        <f t="shared" si="638"/>
        <v>0</v>
      </c>
      <c r="AF660" s="1554">
        <f t="shared" si="638"/>
        <v>0</v>
      </c>
      <c r="AG660" s="1554">
        <f t="shared" si="638"/>
        <v>0</v>
      </c>
      <c r="AH660" s="1556">
        <f t="shared" si="647"/>
        <v>0</v>
      </c>
      <c r="AI660" s="1556">
        <f t="shared" si="647"/>
        <v>0</v>
      </c>
      <c r="AJ660" s="1556">
        <f t="shared" si="640"/>
        <v>0</v>
      </c>
      <c r="AL660" s="561"/>
      <c r="AM660" s="1526"/>
      <c r="AN660" s="1526"/>
      <c r="AO660" s="1526"/>
      <c r="AP660" s="1526"/>
      <c r="AQ660" s="1526"/>
      <c r="AR660" s="1526"/>
      <c r="AS660" s="1526"/>
      <c r="AT660" s="1526"/>
      <c r="AU660" s="1526"/>
      <c r="AV660" s="1526"/>
      <c r="AW660" s="1526"/>
      <c r="AX660" s="1526"/>
      <c r="AY660" s="1526"/>
      <c r="AZ660" s="1526"/>
      <c r="BA660" s="1526"/>
      <c r="BB660" s="1526"/>
      <c r="BC660" s="1526"/>
      <c r="BD660" s="1526"/>
      <c r="BE660" s="1526"/>
      <c r="BF660" s="1526"/>
      <c r="BG660" s="1526"/>
      <c r="BH660" s="1526"/>
    </row>
    <row r="661" spans="1:60" s="1525" customFormat="1">
      <c r="A661" s="1499"/>
      <c r="B661" s="1520" t="s">
        <v>2538</v>
      </c>
      <c r="C661" s="1368"/>
      <c r="D661" s="1368"/>
      <c r="E661" s="1368"/>
      <c r="F661" s="1368"/>
      <c r="G661" s="1557">
        <f t="shared" ref="G661:G664" si="648">H661+I661+T661</f>
        <v>0</v>
      </c>
      <c r="H661" s="1368"/>
      <c r="I661" s="1557">
        <f t="shared" ref="I661:I663" si="649">SUM(J661:S661)</f>
        <v>0</v>
      </c>
      <c r="J661" s="1368"/>
      <c r="K661" s="1368"/>
      <c r="L661" s="1591"/>
      <c r="M661" s="1368"/>
      <c r="N661" s="1368"/>
      <c r="O661" s="1368"/>
      <c r="P661" s="1368"/>
      <c r="Q661" s="1368"/>
      <c r="R661" s="1368"/>
      <c r="S661" s="1591"/>
      <c r="T661" s="1558">
        <f>(H661+K661+L661+R661)*22.5%</f>
        <v>0</v>
      </c>
      <c r="U661" s="1559">
        <f t="shared" ref="U661:U664" si="650">V661+W661+AH661</f>
        <v>0</v>
      </c>
      <c r="V661" s="1554">
        <f t="shared" si="641"/>
        <v>0</v>
      </c>
      <c r="W661" s="1554">
        <f t="shared" si="637"/>
        <v>0</v>
      </c>
      <c r="X661" s="1554">
        <f t="shared" si="642"/>
        <v>0</v>
      </c>
      <c r="Y661" s="1554">
        <f t="shared" si="642"/>
        <v>0</v>
      </c>
      <c r="Z661" s="1554">
        <f t="shared" si="642"/>
        <v>0</v>
      </c>
      <c r="AA661" s="1554">
        <f t="shared" si="642"/>
        <v>0</v>
      </c>
      <c r="AB661" s="1554">
        <f t="shared" si="638"/>
        <v>0</v>
      </c>
      <c r="AC661" s="1554">
        <f t="shared" si="638"/>
        <v>0</v>
      </c>
      <c r="AD661" s="1554">
        <f t="shared" si="638"/>
        <v>0</v>
      </c>
      <c r="AE661" s="1554">
        <f t="shared" si="638"/>
        <v>0</v>
      </c>
      <c r="AF661" s="1554">
        <f t="shared" si="638"/>
        <v>0</v>
      </c>
      <c r="AG661" s="1554">
        <f t="shared" si="638"/>
        <v>0</v>
      </c>
      <c r="AH661" s="1560">
        <f>(V661+Y661+Z661+AF661)*22.5%</f>
        <v>0</v>
      </c>
      <c r="AI661" s="1561">
        <f t="shared" ref="AI661:AI662" si="651">U661-G661</f>
        <v>0</v>
      </c>
      <c r="AJ661" s="1556">
        <f t="shared" si="640"/>
        <v>0</v>
      </c>
      <c r="AL661" s="561"/>
      <c r="AM661" s="1526"/>
      <c r="AN661" s="1526"/>
      <c r="AO661" s="1526"/>
      <c r="AP661" s="1526"/>
      <c r="AQ661" s="1526"/>
      <c r="AR661" s="1526"/>
      <c r="AS661" s="1526"/>
      <c r="AT661" s="1526"/>
      <c r="AU661" s="1526"/>
      <c r="AV661" s="1526"/>
      <c r="AW661" s="1526"/>
      <c r="AX661" s="1526"/>
      <c r="AY661" s="1526"/>
      <c r="AZ661" s="1526"/>
      <c r="BA661" s="1526"/>
      <c r="BB661" s="1526"/>
      <c r="BC661" s="1526"/>
      <c r="BD661" s="1526"/>
      <c r="BE661" s="1526"/>
      <c r="BF661" s="1526"/>
      <c r="BG661" s="1526"/>
      <c r="BH661" s="1526"/>
    </row>
    <row r="662" spans="1:60" s="1525" customFormat="1">
      <c r="A662" s="1499"/>
      <c r="B662" s="1520" t="s">
        <v>2539</v>
      </c>
      <c r="C662" s="1368"/>
      <c r="D662" s="1368"/>
      <c r="E662" s="1368"/>
      <c r="F662" s="1368"/>
      <c r="G662" s="1557">
        <f t="shared" si="648"/>
        <v>0</v>
      </c>
      <c r="H662" s="1368"/>
      <c r="I662" s="1557">
        <f t="shared" si="649"/>
        <v>0</v>
      </c>
      <c r="J662" s="1368"/>
      <c r="K662" s="1368"/>
      <c r="L662" s="1591"/>
      <c r="M662" s="1368"/>
      <c r="N662" s="1368"/>
      <c r="O662" s="1368"/>
      <c r="P662" s="1368"/>
      <c r="Q662" s="1368"/>
      <c r="R662" s="1368"/>
      <c r="S662" s="1368"/>
      <c r="T662" s="1558">
        <f>(H662+K662+L662+R662)*22.5%</f>
        <v>0</v>
      </c>
      <c r="U662" s="1559">
        <f t="shared" si="650"/>
        <v>0</v>
      </c>
      <c r="V662" s="1554">
        <f t="shared" si="641"/>
        <v>0</v>
      </c>
      <c r="W662" s="1554">
        <f t="shared" si="637"/>
        <v>0</v>
      </c>
      <c r="X662" s="1554">
        <f t="shared" si="642"/>
        <v>0</v>
      </c>
      <c r="Y662" s="1554">
        <f t="shared" si="642"/>
        <v>0</v>
      </c>
      <c r="Z662" s="1554">
        <f t="shared" si="642"/>
        <v>0</v>
      </c>
      <c r="AA662" s="1554">
        <f t="shared" si="642"/>
        <v>0</v>
      </c>
      <c r="AB662" s="1554">
        <f t="shared" si="638"/>
        <v>0</v>
      </c>
      <c r="AC662" s="1554">
        <f t="shared" si="638"/>
        <v>0</v>
      </c>
      <c r="AD662" s="1554">
        <f t="shared" si="638"/>
        <v>0</v>
      </c>
      <c r="AE662" s="1554">
        <f t="shared" si="638"/>
        <v>0</v>
      </c>
      <c r="AF662" s="1554">
        <f t="shared" si="638"/>
        <v>0</v>
      </c>
      <c r="AG662" s="1554">
        <f t="shared" si="638"/>
        <v>0</v>
      </c>
      <c r="AH662" s="1560">
        <f>(V662+Y662+Z662+AF662)*22.5%</f>
        <v>0</v>
      </c>
      <c r="AI662" s="1561">
        <f t="shared" si="651"/>
        <v>0</v>
      </c>
      <c r="AJ662" s="1556">
        <f t="shared" si="640"/>
        <v>0</v>
      </c>
      <c r="AL662" s="561"/>
      <c r="AM662" s="1526"/>
      <c r="AN662" s="1526"/>
      <c r="AO662" s="1526"/>
      <c r="AP662" s="1526"/>
      <c r="AQ662" s="1526"/>
      <c r="AR662" s="1526"/>
      <c r="AS662" s="1526"/>
      <c r="AT662" s="1526"/>
      <c r="AU662" s="1526"/>
      <c r="AV662" s="1526"/>
      <c r="AW662" s="1526"/>
      <c r="AX662" s="1526"/>
      <c r="AY662" s="1526"/>
      <c r="AZ662" s="1526"/>
      <c r="BA662" s="1526"/>
      <c r="BB662" s="1526"/>
      <c r="BC662" s="1526"/>
      <c r="BD662" s="1526"/>
      <c r="BE662" s="1526"/>
      <c r="BF662" s="1526"/>
      <c r="BG662" s="1526"/>
      <c r="BH662" s="1526"/>
    </row>
    <row r="663" spans="1:60" s="1525" customFormat="1">
      <c r="A663" s="1499"/>
      <c r="B663" s="1520" t="s">
        <v>2540</v>
      </c>
      <c r="C663" s="1368"/>
      <c r="D663" s="1368"/>
      <c r="E663" s="1368"/>
      <c r="F663" s="1368"/>
      <c r="G663" s="1557">
        <f t="shared" si="648"/>
        <v>0</v>
      </c>
      <c r="H663" s="1368"/>
      <c r="I663" s="1557">
        <f t="shared" si="649"/>
        <v>0</v>
      </c>
      <c r="J663" s="1368"/>
      <c r="K663" s="1368"/>
      <c r="L663" s="1368"/>
      <c r="M663" s="1368"/>
      <c r="N663" s="1368"/>
      <c r="O663" s="1368"/>
      <c r="P663" s="1368"/>
      <c r="Q663" s="1368"/>
      <c r="R663" s="1368"/>
      <c r="S663" s="1368"/>
      <c r="T663" s="1558">
        <f>((H663+K663+L663+R663)*22.5%)</f>
        <v>0</v>
      </c>
      <c r="U663" s="1559">
        <f t="shared" si="650"/>
        <v>0</v>
      </c>
      <c r="V663" s="1554">
        <f t="shared" si="641"/>
        <v>0</v>
      </c>
      <c r="W663" s="1554">
        <f t="shared" si="637"/>
        <v>0</v>
      </c>
      <c r="X663" s="1554">
        <f t="shared" si="642"/>
        <v>0</v>
      </c>
      <c r="Y663" s="1554">
        <f t="shared" si="642"/>
        <v>0</v>
      </c>
      <c r="Z663" s="1554">
        <f t="shared" si="642"/>
        <v>0</v>
      </c>
      <c r="AA663" s="1554">
        <f t="shared" si="642"/>
        <v>0</v>
      </c>
      <c r="AB663" s="1554">
        <f t="shared" si="642"/>
        <v>0</v>
      </c>
      <c r="AC663" s="1554">
        <f t="shared" si="642"/>
        <v>0</v>
      </c>
      <c r="AD663" s="1554">
        <f t="shared" si="642"/>
        <v>0</v>
      </c>
      <c r="AE663" s="1554">
        <f t="shared" si="642"/>
        <v>0</v>
      </c>
      <c r="AF663" s="1554">
        <f t="shared" si="642"/>
        <v>0</v>
      </c>
      <c r="AG663" s="1554">
        <f t="shared" si="642"/>
        <v>0</v>
      </c>
      <c r="AH663" s="1560">
        <f>((V663+Y663+Z663+AF663)*22.5%)</f>
        <v>0</v>
      </c>
      <c r="AI663" s="1561">
        <f>U663-G663</f>
        <v>0</v>
      </c>
      <c r="AJ663" s="1556">
        <f t="shared" si="640"/>
        <v>0</v>
      </c>
      <c r="AL663" s="561"/>
      <c r="AM663" s="1526"/>
      <c r="AN663" s="1526"/>
      <c r="AO663" s="1526"/>
      <c r="AP663" s="1526"/>
      <c r="AQ663" s="1526"/>
      <c r="AR663" s="1526"/>
      <c r="AS663" s="1526"/>
      <c r="AT663" s="1526"/>
      <c r="AU663" s="1526"/>
      <c r="AV663" s="1526"/>
      <c r="AW663" s="1526"/>
      <c r="AX663" s="1526"/>
      <c r="AY663" s="1526"/>
      <c r="AZ663" s="1526"/>
      <c r="BA663" s="1526"/>
      <c r="BB663" s="1526"/>
      <c r="BC663" s="1526"/>
      <c r="BD663" s="1526"/>
      <c r="BE663" s="1526"/>
      <c r="BF663" s="1526"/>
      <c r="BG663" s="1526"/>
      <c r="BH663" s="1526"/>
    </row>
    <row r="664" spans="1:60" s="1525" customFormat="1">
      <c r="A664" s="1516" t="s">
        <v>65</v>
      </c>
      <c r="B664" s="1517" t="s">
        <v>2541</v>
      </c>
      <c r="C664" s="1370"/>
      <c r="D664" s="1370"/>
      <c r="E664" s="1370"/>
      <c r="F664" s="1370"/>
      <c r="G664" s="1553">
        <f t="shared" si="648"/>
        <v>0</v>
      </c>
      <c r="H664" s="1370"/>
      <c r="I664" s="1553">
        <f t="shared" ref="I664" si="652">SUM(J664:S664)</f>
        <v>0</v>
      </c>
      <c r="J664" s="1370"/>
      <c r="K664" s="1370"/>
      <c r="L664" s="1370"/>
      <c r="M664" s="1370"/>
      <c r="N664" s="1370"/>
      <c r="O664" s="1370"/>
      <c r="P664" s="1370"/>
      <c r="Q664" s="1370"/>
      <c r="R664" s="1370"/>
      <c r="S664" s="1370"/>
      <c r="T664" s="1558">
        <f>(H664+K664+L664+R664)*22.5%</f>
        <v>0</v>
      </c>
      <c r="U664" s="1562">
        <f t="shared" si="650"/>
        <v>0</v>
      </c>
      <c r="V664" s="1554">
        <f>(H664/1.39)*1.49</f>
        <v>0</v>
      </c>
      <c r="W664" s="1562">
        <f t="shared" si="637"/>
        <v>0</v>
      </c>
      <c r="X664" s="1554">
        <f>(J664/1.39)*1.49</f>
        <v>0</v>
      </c>
      <c r="Y664" s="1554">
        <f t="shared" ref="Y664:AG664" si="653">(K664/1.39)*1.49</f>
        <v>0</v>
      </c>
      <c r="Z664" s="1554">
        <f t="shared" si="653"/>
        <v>0</v>
      </c>
      <c r="AA664" s="1554">
        <f t="shared" si="653"/>
        <v>0</v>
      </c>
      <c r="AB664" s="1554">
        <f t="shared" si="653"/>
        <v>0</v>
      </c>
      <c r="AC664" s="1554">
        <f t="shared" si="653"/>
        <v>0</v>
      </c>
      <c r="AD664" s="1554">
        <f t="shared" si="653"/>
        <v>0</v>
      </c>
      <c r="AE664" s="1554">
        <f t="shared" si="653"/>
        <v>0</v>
      </c>
      <c r="AF664" s="1554">
        <f t="shared" si="653"/>
        <v>0</v>
      </c>
      <c r="AG664" s="1554">
        <f t="shared" si="653"/>
        <v>0</v>
      </c>
      <c r="AH664" s="1560">
        <f>(V664+Y664+Z664+AF664)*22.5%</f>
        <v>0</v>
      </c>
      <c r="AI664" s="1563">
        <f>U664-G664</f>
        <v>0</v>
      </c>
      <c r="AJ664" s="1563">
        <f>AI664*6</f>
        <v>0</v>
      </c>
      <c r="AL664" s="561"/>
      <c r="AM664" s="1526"/>
      <c r="AN664" s="1526"/>
      <c r="AO664" s="1526"/>
      <c r="AP664" s="1526"/>
      <c r="AQ664" s="1526"/>
      <c r="AR664" s="1526"/>
      <c r="AS664" s="1526"/>
      <c r="AT664" s="1526"/>
      <c r="AU664" s="1526"/>
      <c r="AV664" s="1526"/>
      <c r="AW664" s="1526"/>
      <c r="AX664" s="1526"/>
      <c r="AY664" s="1526"/>
      <c r="AZ664" s="1526"/>
      <c r="BA664" s="1526"/>
      <c r="BB664" s="1526"/>
      <c r="BC664" s="1526"/>
      <c r="BD664" s="1526"/>
      <c r="BE664" s="1526"/>
      <c r="BF664" s="1526"/>
      <c r="BG664" s="1526"/>
      <c r="BH664" s="1526"/>
    </row>
    <row r="665" spans="1:60" s="1525" customFormat="1">
      <c r="A665" s="1516" t="s">
        <v>14</v>
      </c>
      <c r="B665" s="1517" t="s">
        <v>2542</v>
      </c>
      <c r="C665" s="1564">
        <f>SUM(C666:C668)</f>
        <v>0</v>
      </c>
      <c r="D665" s="1564"/>
      <c r="E665" s="1564"/>
      <c r="F665" s="1564">
        <f t="shared" ref="F665:AJ665" si="654">SUM(F666:F668)</f>
        <v>0</v>
      </c>
      <c r="G665" s="1564">
        <f t="shared" si="654"/>
        <v>0</v>
      </c>
      <c r="H665" s="1564">
        <f t="shared" si="654"/>
        <v>0</v>
      </c>
      <c r="I665" s="1564">
        <f t="shared" si="654"/>
        <v>0</v>
      </c>
      <c r="J665" s="1564">
        <f t="shared" si="654"/>
        <v>0</v>
      </c>
      <c r="K665" s="1564">
        <f t="shared" si="654"/>
        <v>0</v>
      </c>
      <c r="L665" s="1564">
        <f t="shared" si="654"/>
        <v>0</v>
      </c>
      <c r="M665" s="1564">
        <f t="shared" si="654"/>
        <v>0</v>
      </c>
      <c r="N665" s="1564">
        <f t="shared" si="654"/>
        <v>0</v>
      </c>
      <c r="O665" s="1564">
        <f t="shared" si="654"/>
        <v>0</v>
      </c>
      <c r="P665" s="1564">
        <f t="shared" si="654"/>
        <v>0</v>
      </c>
      <c r="Q665" s="1564">
        <f t="shared" si="654"/>
        <v>0</v>
      </c>
      <c r="R665" s="1564">
        <f t="shared" si="654"/>
        <v>0</v>
      </c>
      <c r="S665" s="1564">
        <f t="shared" si="654"/>
        <v>0</v>
      </c>
      <c r="T665" s="1564">
        <f t="shared" si="654"/>
        <v>0</v>
      </c>
      <c r="U665" s="1563">
        <f t="shared" si="654"/>
        <v>0</v>
      </c>
      <c r="V665" s="1563">
        <f t="shared" si="654"/>
        <v>0</v>
      </c>
      <c r="W665" s="1563">
        <f t="shared" si="654"/>
        <v>0</v>
      </c>
      <c r="X665" s="1563">
        <f t="shared" si="654"/>
        <v>0</v>
      </c>
      <c r="Y665" s="1563">
        <f t="shared" si="654"/>
        <v>0</v>
      </c>
      <c r="Z665" s="1563">
        <f t="shared" si="654"/>
        <v>0</v>
      </c>
      <c r="AA665" s="1563">
        <f t="shared" si="654"/>
        <v>0</v>
      </c>
      <c r="AB665" s="1563">
        <f t="shared" si="654"/>
        <v>0</v>
      </c>
      <c r="AC665" s="1563">
        <f t="shared" si="654"/>
        <v>0</v>
      </c>
      <c r="AD665" s="1563">
        <f t="shared" si="654"/>
        <v>0</v>
      </c>
      <c r="AE665" s="1563">
        <f t="shared" si="654"/>
        <v>0</v>
      </c>
      <c r="AF665" s="1563">
        <f t="shared" si="654"/>
        <v>0</v>
      </c>
      <c r="AG665" s="1563">
        <f t="shared" si="654"/>
        <v>0</v>
      </c>
      <c r="AH665" s="1563">
        <f t="shared" si="654"/>
        <v>0</v>
      </c>
      <c r="AI665" s="1563">
        <f t="shared" si="654"/>
        <v>0</v>
      </c>
      <c r="AJ665" s="1563">
        <f t="shared" si="654"/>
        <v>0</v>
      </c>
      <c r="AL665" s="561"/>
      <c r="AM665" s="1526"/>
      <c r="AN665" s="1526"/>
      <c r="AO665" s="1526"/>
      <c r="AP665" s="1526"/>
      <c r="AQ665" s="1526"/>
      <c r="AR665" s="1526"/>
      <c r="AS665" s="1526"/>
      <c r="AT665" s="1526"/>
      <c r="AU665" s="1526"/>
      <c r="AV665" s="1526"/>
      <c r="AW665" s="1526"/>
      <c r="AX665" s="1526"/>
      <c r="AY665" s="1526"/>
      <c r="AZ665" s="1526"/>
      <c r="BA665" s="1526"/>
      <c r="BB665" s="1526"/>
      <c r="BC665" s="1526"/>
      <c r="BD665" s="1526"/>
      <c r="BE665" s="1526"/>
      <c r="BF665" s="1526"/>
      <c r="BG665" s="1526"/>
      <c r="BH665" s="1526"/>
    </row>
    <row r="666" spans="1:60" s="1525" customFormat="1">
      <c r="A666" s="1499"/>
      <c r="B666" s="1520" t="s">
        <v>2543</v>
      </c>
      <c r="C666" s="1368"/>
      <c r="D666" s="1368"/>
      <c r="E666" s="1368"/>
      <c r="F666" s="1368"/>
      <c r="G666" s="1557">
        <f t="shared" ref="G666:G668" si="655">H666+I666+T666</f>
        <v>0</v>
      </c>
      <c r="H666" s="577"/>
      <c r="I666" s="1557">
        <f t="shared" ref="I666:I668" si="656">SUM(J666:S666)</f>
        <v>0</v>
      </c>
      <c r="J666" s="577"/>
      <c r="K666" s="577"/>
      <c r="L666" s="577"/>
      <c r="M666" s="577"/>
      <c r="N666" s="577"/>
      <c r="O666" s="577"/>
      <c r="P666" s="577"/>
      <c r="Q666" s="577"/>
      <c r="R666" s="577"/>
      <c r="S666" s="578">
        <f>F666*0.5*1.3</f>
        <v>0</v>
      </c>
      <c r="T666" s="1565"/>
      <c r="U666" s="1559">
        <f t="shared" ref="U666:U668" si="657">V666+W666+AH666</f>
        <v>0</v>
      </c>
      <c r="V666" s="1566"/>
      <c r="W666" s="1559">
        <f t="shared" ref="W666:W668" si="658">SUM(X666:AG666)</f>
        <v>0</v>
      </c>
      <c r="X666" s="1566"/>
      <c r="Y666" s="1566"/>
      <c r="Z666" s="1566"/>
      <c r="AA666" s="1566"/>
      <c r="AB666" s="1566"/>
      <c r="AC666" s="1566"/>
      <c r="AD666" s="1566"/>
      <c r="AE666" s="1566"/>
      <c r="AF666" s="1566"/>
      <c r="AG666" s="1554">
        <f t="shared" ref="AG666:AG672" si="659">(S666/1.39)*1.49</f>
        <v>0</v>
      </c>
      <c r="AH666" s="1566"/>
      <c r="AI666" s="1561">
        <f t="shared" ref="AI666:AI668" si="660">U666-G666</f>
        <v>0</v>
      </c>
      <c r="AJ666" s="1561">
        <f t="shared" ref="AJ666:AJ668" si="661">AI666*6</f>
        <v>0</v>
      </c>
      <c r="AL666" s="561"/>
      <c r="AM666" s="1526"/>
      <c r="AN666" s="1526"/>
      <c r="AO666" s="1526"/>
      <c r="AP666" s="1526"/>
      <c r="AQ666" s="1526"/>
      <c r="AR666" s="1526"/>
      <c r="AS666" s="1526"/>
      <c r="AT666" s="1526"/>
      <c r="AU666" s="1526"/>
      <c r="AV666" s="1526"/>
      <c r="AW666" s="1526"/>
      <c r="AX666" s="1526"/>
      <c r="AY666" s="1526"/>
      <c r="AZ666" s="1526"/>
      <c r="BA666" s="1526"/>
      <c r="BB666" s="1526"/>
      <c r="BC666" s="1526"/>
      <c r="BD666" s="1526"/>
      <c r="BE666" s="1526"/>
      <c r="BF666" s="1526"/>
      <c r="BG666" s="1526"/>
      <c r="BH666" s="1526"/>
    </row>
    <row r="667" spans="1:60" s="1525" customFormat="1">
      <c r="A667" s="1499"/>
      <c r="B667" s="1520" t="s">
        <v>2544</v>
      </c>
      <c r="C667" s="1368"/>
      <c r="D667" s="1368"/>
      <c r="E667" s="1368"/>
      <c r="F667" s="1368"/>
      <c r="G667" s="1557">
        <f>H667+I667+T667</f>
        <v>0</v>
      </c>
      <c r="H667" s="577"/>
      <c r="I667" s="1557">
        <f t="shared" si="656"/>
        <v>0</v>
      </c>
      <c r="J667" s="577"/>
      <c r="K667" s="577"/>
      <c r="L667" s="577"/>
      <c r="M667" s="577"/>
      <c r="N667" s="577"/>
      <c r="O667" s="577"/>
      <c r="P667" s="577"/>
      <c r="Q667" s="577"/>
      <c r="R667" s="577"/>
      <c r="S667" s="1591">
        <f>F667*0.4*1.39</f>
        <v>0</v>
      </c>
      <c r="T667" s="1565"/>
      <c r="U667" s="1592">
        <f t="shared" si="657"/>
        <v>0</v>
      </c>
      <c r="V667" s="1566"/>
      <c r="W667" s="1559">
        <f t="shared" si="658"/>
        <v>0</v>
      </c>
      <c r="X667" s="1566"/>
      <c r="Y667" s="1566"/>
      <c r="Z667" s="1566"/>
      <c r="AA667" s="1566"/>
      <c r="AB667" s="1566"/>
      <c r="AC667" s="1566"/>
      <c r="AD667" s="1566"/>
      <c r="AE667" s="1566"/>
      <c r="AF667" s="1566"/>
      <c r="AG667" s="1554">
        <f t="shared" si="659"/>
        <v>0</v>
      </c>
      <c r="AH667" s="1566"/>
      <c r="AI667" s="1561">
        <f t="shared" si="660"/>
        <v>0</v>
      </c>
      <c r="AJ667" s="1561">
        <f t="shared" si="661"/>
        <v>0</v>
      </c>
      <c r="AL667" s="561"/>
      <c r="AM667" s="1526"/>
      <c r="AN667" s="1526"/>
      <c r="AO667" s="1526"/>
      <c r="AP667" s="1526"/>
      <c r="AQ667" s="1526"/>
      <c r="AR667" s="1526"/>
      <c r="AS667" s="1526"/>
      <c r="AT667" s="1526"/>
      <c r="AU667" s="1526"/>
      <c r="AV667" s="1526"/>
      <c r="AW667" s="1526"/>
      <c r="AX667" s="1526"/>
      <c r="AY667" s="1526"/>
      <c r="AZ667" s="1526"/>
      <c r="BA667" s="1526"/>
      <c r="BB667" s="1526"/>
      <c r="BC667" s="1526"/>
      <c r="BD667" s="1526"/>
      <c r="BE667" s="1526"/>
      <c r="BF667" s="1526"/>
      <c r="BG667" s="1526"/>
      <c r="BH667" s="1526"/>
    </row>
    <row r="668" spans="1:60" s="1525" customFormat="1">
      <c r="A668" s="1499"/>
      <c r="B668" s="1520" t="s">
        <v>2545</v>
      </c>
      <c r="C668" s="1368"/>
      <c r="D668" s="1368"/>
      <c r="E668" s="1368"/>
      <c r="F668" s="1368"/>
      <c r="G668" s="1557">
        <f t="shared" si="655"/>
        <v>0</v>
      </c>
      <c r="H668" s="577"/>
      <c r="I668" s="1557">
        <f t="shared" si="656"/>
        <v>0</v>
      </c>
      <c r="J668" s="577"/>
      <c r="K668" s="577"/>
      <c r="L668" s="577"/>
      <c r="M668" s="577"/>
      <c r="N668" s="577"/>
      <c r="O668" s="577"/>
      <c r="P668" s="577"/>
      <c r="Q668" s="577"/>
      <c r="R668" s="577"/>
      <c r="S668" s="1368">
        <f>F668*0.3*1.39</f>
        <v>0</v>
      </c>
      <c r="T668" s="1565"/>
      <c r="U668" s="1559">
        <f t="shared" si="657"/>
        <v>0</v>
      </c>
      <c r="V668" s="1566"/>
      <c r="W668" s="1559">
        <f t="shared" si="658"/>
        <v>0</v>
      </c>
      <c r="X668" s="1566"/>
      <c r="Y668" s="1566"/>
      <c r="Z668" s="1566"/>
      <c r="AA668" s="1566"/>
      <c r="AB668" s="1566"/>
      <c r="AC668" s="1566"/>
      <c r="AD668" s="1566"/>
      <c r="AE668" s="1566"/>
      <c r="AF668" s="1566"/>
      <c r="AG668" s="1554">
        <f t="shared" si="659"/>
        <v>0</v>
      </c>
      <c r="AH668" s="1566"/>
      <c r="AI668" s="1561">
        <f t="shared" si="660"/>
        <v>0</v>
      </c>
      <c r="AJ668" s="1561">
        <f t="shared" si="661"/>
        <v>0</v>
      </c>
      <c r="AL668" s="561"/>
      <c r="AM668" s="1526"/>
      <c r="AN668" s="1526"/>
      <c r="AO668" s="1526"/>
      <c r="AP668" s="1526"/>
      <c r="AQ668" s="1526"/>
      <c r="AR668" s="1526"/>
      <c r="AS668" s="1526"/>
      <c r="AT668" s="1526"/>
      <c r="AU668" s="1526"/>
      <c r="AV668" s="1526"/>
      <c r="AW668" s="1526"/>
      <c r="AX668" s="1526"/>
      <c r="AY668" s="1526"/>
      <c r="AZ668" s="1526"/>
      <c r="BA668" s="1526"/>
      <c r="BB668" s="1526"/>
      <c r="BC668" s="1526"/>
      <c r="BD668" s="1526"/>
      <c r="BE668" s="1526"/>
      <c r="BF668" s="1526"/>
      <c r="BG668" s="1526"/>
      <c r="BH668" s="1526"/>
    </row>
    <row r="669" spans="1:60" s="1525" customFormat="1">
      <c r="A669" s="1516" t="s">
        <v>18</v>
      </c>
      <c r="B669" s="1517" t="s">
        <v>2546</v>
      </c>
      <c r="C669" s="1564">
        <f>SUM(C670:C672)</f>
        <v>0</v>
      </c>
      <c r="D669" s="1564"/>
      <c r="E669" s="1564"/>
      <c r="F669" s="1564">
        <f t="shared" ref="F669:AJ669" si="662">SUM(F670:F672)</f>
        <v>0</v>
      </c>
      <c r="G669" s="1564">
        <f t="shared" si="662"/>
        <v>0</v>
      </c>
      <c r="H669" s="1564">
        <f t="shared" si="662"/>
        <v>0</v>
      </c>
      <c r="I669" s="1564">
        <f t="shared" si="662"/>
        <v>0</v>
      </c>
      <c r="J669" s="1564">
        <f t="shared" si="662"/>
        <v>0</v>
      </c>
      <c r="K669" s="1564">
        <f t="shared" si="662"/>
        <v>0</v>
      </c>
      <c r="L669" s="1564">
        <f t="shared" si="662"/>
        <v>0</v>
      </c>
      <c r="M669" s="1564">
        <f t="shared" si="662"/>
        <v>0</v>
      </c>
      <c r="N669" s="1564">
        <f t="shared" si="662"/>
        <v>0</v>
      </c>
      <c r="O669" s="1564">
        <f t="shared" si="662"/>
        <v>0</v>
      </c>
      <c r="P669" s="1564">
        <f t="shared" si="662"/>
        <v>0</v>
      </c>
      <c r="Q669" s="1564">
        <f t="shared" si="662"/>
        <v>0</v>
      </c>
      <c r="R669" s="1564">
        <f t="shared" si="662"/>
        <v>0</v>
      </c>
      <c r="S669" s="1564">
        <f t="shared" si="662"/>
        <v>0</v>
      </c>
      <c r="T669" s="1564">
        <f t="shared" si="662"/>
        <v>0</v>
      </c>
      <c r="U669" s="1563">
        <f t="shared" si="662"/>
        <v>0</v>
      </c>
      <c r="V669" s="1563">
        <f t="shared" si="662"/>
        <v>0</v>
      </c>
      <c r="W669" s="1563">
        <f t="shared" si="662"/>
        <v>0</v>
      </c>
      <c r="X669" s="1563">
        <f t="shared" si="662"/>
        <v>0</v>
      </c>
      <c r="Y669" s="1563">
        <f t="shared" si="662"/>
        <v>0</v>
      </c>
      <c r="Z669" s="1563">
        <f t="shared" si="662"/>
        <v>0</v>
      </c>
      <c r="AA669" s="1563">
        <f t="shared" si="662"/>
        <v>0</v>
      </c>
      <c r="AB669" s="1563">
        <f t="shared" si="662"/>
        <v>0</v>
      </c>
      <c r="AC669" s="1563">
        <f t="shared" si="662"/>
        <v>0</v>
      </c>
      <c r="AD669" s="1563">
        <f t="shared" si="662"/>
        <v>0</v>
      </c>
      <c r="AE669" s="1563">
        <f t="shared" si="662"/>
        <v>0</v>
      </c>
      <c r="AF669" s="1563">
        <f t="shared" si="662"/>
        <v>0</v>
      </c>
      <c r="AG669" s="1563">
        <f>SUM(AG670:AG672)</f>
        <v>0</v>
      </c>
      <c r="AH669" s="1563">
        <f t="shared" si="662"/>
        <v>0</v>
      </c>
      <c r="AI669" s="1563">
        <f t="shared" si="662"/>
        <v>0</v>
      </c>
      <c r="AJ669" s="1563">
        <f t="shared" si="662"/>
        <v>0</v>
      </c>
      <c r="AL669" s="561"/>
      <c r="AM669" s="1526"/>
      <c r="AN669" s="1526"/>
      <c r="AO669" s="1526"/>
      <c r="AP669" s="1526"/>
      <c r="AQ669" s="1526"/>
      <c r="AR669" s="1526"/>
      <c r="AS669" s="1526"/>
      <c r="AT669" s="1526"/>
      <c r="AU669" s="1526"/>
      <c r="AV669" s="1526"/>
      <c r="AW669" s="1526"/>
      <c r="AX669" s="1526"/>
      <c r="AY669" s="1526"/>
      <c r="AZ669" s="1526"/>
      <c r="BA669" s="1526"/>
      <c r="BB669" s="1526"/>
      <c r="BC669" s="1526"/>
      <c r="BD669" s="1526"/>
      <c r="BE669" s="1526"/>
      <c r="BF669" s="1526"/>
      <c r="BG669" s="1526"/>
      <c r="BH669" s="1526"/>
    </row>
    <row r="670" spans="1:60" s="1525" customFormat="1">
      <c r="A670" s="1499"/>
      <c r="B670" s="1520" t="s">
        <v>2547</v>
      </c>
      <c r="C670" s="1368"/>
      <c r="D670" s="1368"/>
      <c r="E670" s="1368"/>
      <c r="F670" s="1368"/>
      <c r="G670" s="1557">
        <f t="shared" ref="G670:G672" si="663">H670+I670+T670</f>
        <v>0</v>
      </c>
      <c r="H670" s="577"/>
      <c r="I670" s="1557">
        <f t="shared" ref="I670:I672" si="664">SUM(J670:S670)</f>
        <v>0</v>
      </c>
      <c r="J670" s="577"/>
      <c r="K670" s="577"/>
      <c r="L670" s="577"/>
      <c r="M670" s="577"/>
      <c r="N670" s="577"/>
      <c r="O670" s="577"/>
      <c r="P670" s="577"/>
      <c r="Q670" s="577"/>
      <c r="R670" s="577"/>
      <c r="S670" s="1368">
        <f>F670*0.5*1.3</f>
        <v>0</v>
      </c>
      <c r="T670" s="1565"/>
      <c r="U670" s="1559">
        <f t="shared" ref="U670:U672" si="665">V670+W670+AH670</f>
        <v>0</v>
      </c>
      <c r="V670" s="1566"/>
      <c r="W670" s="1559">
        <f t="shared" ref="W670:W672" si="666">SUM(X670:AG670)</f>
        <v>0</v>
      </c>
      <c r="X670" s="1566"/>
      <c r="Y670" s="1566"/>
      <c r="Z670" s="1566"/>
      <c r="AA670" s="1566"/>
      <c r="AB670" s="1566"/>
      <c r="AC670" s="1566"/>
      <c r="AD670" s="1566"/>
      <c r="AE670" s="1566"/>
      <c r="AF670" s="1566"/>
      <c r="AG670" s="1554">
        <f t="shared" si="659"/>
        <v>0</v>
      </c>
      <c r="AH670" s="1566"/>
      <c r="AI670" s="1561">
        <f t="shared" ref="AI670:AI672" si="667">U670-G670</f>
        <v>0</v>
      </c>
      <c r="AJ670" s="1561">
        <f t="shared" ref="AJ670:AJ672" si="668">AI670*6</f>
        <v>0</v>
      </c>
      <c r="AL670" s="561"/>
      <c r="AM670" s="1526"/>
      <c r="AN670" s="1526"/>
      <c r="AO670" s="1526"/>
      <c r="AP670" s="1526"/>
      <c r="AQ670" s="1526"/>
      <c r="AR670" s="1526"/>
      <c r="AS670" s="1526"/>
      <c r="AT670" s="1526"/>
      <c r="AU670" s="1526"/>
      <c r="AV670" s="1526"/>
      <c r="AW670" s="1526"/>
      <c r="AX670" s="1526"/>
      <c r="AY670" s="1526"/>
      <c r="AZ670" s="1526"/>
      <c r="BA670" s="1526"/>
      <c r="BB670" s="1526"/>
      <c r="BC670" s="1526"/>
      <c r="BD670" s="1526"/>
      <c r="BE670" s="1526"/>
      <c r="BF670" s="1526"/>
      <c r="BG670" s="1526"/>
      <c r="BH670" s="1526"/>
    </row>
    <row r="671" spans="1:60" s="1525" customFormat="1">
      <c r="A671" s="1499"/>
      <c r="B671" s="1520" t="s">
        <v>2548</v>
      </c>
      <c r="C671" s="1368"/>
      <c r="D671" s="1368"/>
      <c r="E671" s="1368"/>
      <c r="F671" s="1368"/>
      <c r="G671" s="1557">
        <f t="shared" si="663"/>
        <v>0</v>
      </c>
      <c r="H671" s="577"/>
      <c r="I671" s="1557">
        <f t="shared" si="664"/>
        <v>0</v>
      </c>
      <c r="J671" s="577"/>
      <c r="K671" s="577"/>
      <c r="L671" s="577"/>
      <c r="M671" s="577"/>
      <c r="N671" s="577"/>
      <c r="O671" s="577"/>
      <c r="P671" s="577"/>
      <c r="Q671" s="577"/>
      <c r="R671" s="577"/>
      <c r="S671" s="1368">
        <f>F671*0.4*1.3</f>
        <v>0</v>
      </c>
      <c r="T671" s="1565"/>
      <c r="U671" s="1559">
        <f t="shared" si="665"/>
        <v>0</v>
      </c>
      <c r="V671" s="1566"/>
      <c r="W671" s="1559">
        <f t="shared" si="666"/>
        <v>0</v>
      </c>
      <c r="X671" s="1566"/>
      <c r="Y671" s="1566"/>
      <c r="Z671" s="1566"/>
      <c r="AA671" s="1566"/>
      <c r="AB671" s="1566"/>
      <c r="AC671" s="1566"/>
      <c r="AD671" s="1566"/>
      <c r="AE671" s="1566"/>
      <c r="AF671" s="1566"/>
      <c r="AG671" s="1554">
        <f t="shared" si="659"/>
        <v>0</v>
      </c>
      <c r="AH671" s="1566"/>
      <c r="AI671" s="1561">
        <f t="shared" si="667"/>
        <v>0</v>
      </c>
      <c r="AJ671" s="1561">
        <f t="shared" si="668"/>
        <v>0</v>
      </c>
      <c r="AL671" s="561"/>
      <c r="AM671" s="1526"/>
      <c r="AN671" s="1526"/>
      <c r="AO671" s="1526"/>
      <c r="AP671" s="1526"/>
      <c r="AQ671" s="1526"/>
      <c r="AR671" s="1526"/>
      <c r="AS671" s="1526"/>
      <c r="AT671" s="1526"/>
      <c r="AU671" s="1526"/>
      <c r="AV671" s="1526"/>
      <c r="AW671" s="1526"/>
      <c r="AX671" s="1526"/>
      <c r="AY671" s="1526"/>
      <c r="AZ671" s="1526"/>
      <c r="BA671" s="1526"/>
      <c r="BB671" s="1526"/>
      <c r="BC671" s="1526"/>
      <c r="BD671" s="1526"/>
      <c r="BE671" s="1526"/>
      <c r="BF671" s="1526"/>
      <c r="BG671" s="1526"/>
      <c r="BH671" s="1526"/>
    </row>
    <row r="672" spans="1:60" s="1525" customFormat="1">
      <c r="A672" s="1499"/>
      <c r="B672" s="1520" t="s">
        <v>2549</v>
      </c>
      <c r="C672" s="1368"/>
      <c r="D672" s="1368"/>
      <c r="E672" s="1368"/>
      <c r="F672" s="1368"/>
      <c r="G672" s="1557">
        <f t="shared" si="663"/>
        <v>0</v>
      </c>
      <c r="H672" s="577"/>
      <c r="I672" s="1557">
        <f t="shared" si="664"/>
        <v>0</v>
      </c>
      <c r="J672" s="577"/>
      <c r="K672" s="577"/>
      <c r="L672" s="577"/>
      <c r="M672" s="577"/>
      <c r="N672" s="577"/>
      <c r="O672" s="577"/>
      <c r="P672" s="577"/>
      <c r="Q672" s="577"/>
      <c r="R672" s="577"/>
      <c r="S672" s="1368">
        <f>F672*0.3*1.39</f>
        <v>0</v>
      </c>
      <c r="T672" s="1565"/>
      <c r="U672" s="1559">
        <f t="shared" si="665"/>
        <v>0</v>
      </c>
      <c r="V672" s="1566"/>
      <c r="W672" s="1559">
        <f t="shared" si="666"/>
        <v>0</v>
      </c>
      <c r="X672" s="1566"/>
      <c r="Y672" s="1566"/>
      <c r="Z672" s="1566"/>
      <c r="AA672" s="1566"/>
      <c r="AB672" s="1566"/>
      <c r="AC672" s="1566"/>
      <c r="AD672" s="1566"/>
      <c r="AE672" s="1566"/>
      <c r="AF672" s="1566"/>
      <c r="AG672" s="1554">
        <f t="shared" si="659"/>
        <v>0</v>
      </c>
      <c r="AH672" s="1566"/>
      <c r="AI672" s="1561">
        <f t="shared" si="667"/>
        <v>0</v>
      </c>
      <c r="AJ672" s="1561">
        <f t="shared" si="668"/>
        <v>0</v>
      </c>
      <c r="AL672" s="561"/>
      <c r="AM672" s="1526"/>
      <c r="AN672" s="1526"/>
      <c r="AO672" s="1526"/>
      <c r="AP672" s="1526"/>
      <c r="AQ672" s="1526"/>
      <c r="AR672" s="1526"/>
      <c r="AS672" s="1526"/>
      <c r="AT672" s="1526"/>
      <c r="AU672" s="1526"/>
      <c r="AV672" s="1526"/>
      <c r="AW672" s="1526"/>
      <c r="AX672" s="1526"/>
      <c r="AY672" s="1526"/>
      <c r="AZ672" s="1526"/>
      <c r="BA672" s="1526"/>
      <c r="BB672" s="1526"/>
      <c r="BC672" s="1526"/>
      <c r="BD672" s="1526"/>
      <c r="BE672" s="1526"/>
      <c r="BF672" s="1526"/>
      <c r="BG672" s="1526"/>
      <c r="BH672" s="1526"/>
    </row>
    <row r="673" spans="1:60" s="1525" customFormat="1">
      <c r="A673" s="1375"/>
      <c r="B673" s="1451"/>
      <c r="C673" s="1365"/>
      <c r="D673" s="1365"/>
      <c r="E673" s="1365"/>
      <c r="F673" s="1365"/>
      <c r="G673" s="1555"/>
      <c r="H673" s="1365"/>
      <c r="I673" s="1555"/>
      <c r="J673" s="1365"/>
      <c r="K673" s="1365"/>
      <c r="L673" s="1365"/>
      <c r="M673" s="1365"/>
      <c r="N673" s="1365"/>
      <c r="O673" s="1365"/>
      <c r="P673" s="1365"/>
      <c r="Q673" s="1365"/>
      <c r="R673" s="1365"/>
      <c r="S673" s="1365"/>
      <c r="T673" s="1555"/>
      <c r="U673" s="1556"/>
      <c r="V673" s="1556"/>
      <c r="W673" s="1556"/>
      <c r="X673" s="1556"/>
      <c r="Y673" s="1556"/>
      <c r="Z673" s="1556"/>
      <c r="AA673" s="1556"/>
      <c r="AB673" s="1556"/>
      <c r="AC673" s="1556"/>
      <c r="AD673" s="1556"/>
      <c r="AE673" s="1556"/>
      <c r="AF673" s="1556"/>
      <c r="AG673" s="1556"/>
      <c r="AH673" s="1556"/>
      <c r="AI673" s="1556"/>
      <c r="AJ673" s="1556"/>
      <c r="AL673" s="561"/>
      <c r="AM673" s="1526"/>
      <c r="AN673" s="1526"/>
      <c r="AO673" s="1526"/>
      <c r="AP673" s="1526"/>
      <c r="AQ673" s="1526"/>
      <c r="AR673" s="1526"/>
      <c r="AS673" s="1526"/>
      <c r="AT673" s="1526"/>
      <c r="AU673" s="1526"/>
      <c r="AV673" s="1526"/>
      <c r="AW673" s="1526"/>
      <c r="AX673" s="1526"/>
      <c r="AY673" s="1526"/>
      <c r="AZ673" s="1526"/>
      <c r="BA673" s="1526"/>
      <c r="BB673" s="1526"/>
      <c r="BC673" s="1526"/>
      <c r="BD673" s="1526"/>
      <c r="BE673" s="1526"/>
      <c r="BF673" s="1526"/>
      <c r="BG673" s="1526"/>
      <c r="BH673" s="1526"/>
    </row>
    <row r="674" spans="1:60" s="1525" customFormat="1">
      <c r="A674" s="558"/>
      <c r="B674" s="1584" t="s">
        <v>2500</v>
      </c>
      <c r="C674" s="1568">
        <f>C675+C695+C696+C700</f>
        <v>0</v>
      </c>
      <c r="D674" s="1568"/>
      <c r="E674" s="1568"/>
      <c r="F674" s="1568">
        <f t="shared" ref="F674:AJ674" si="669">F675+F695+F696+F700</f>
        <v>0</v>
      </c>
      <c r="G674" s="1568">
        <f t="shared" si="669"/>
        <v>0</v>
      </c>
      <c r="H674" s="1568">
        <f t="shared" si="669"/>
        <v>0</v>
      </c>
      <c r="I674" s="1568">
        <f t="shared" si="669"/>
        <v>0</v>
      </c>
      <c r="J674" s="1568">
        <f t="shared" si="669"/>
        <v>0</v>
      </c>
      <c r="K674" s="1568">
        <f t="shared" si="669"/>
        <v>0</v>
      </c>
      <c r="L674" s="1568">
        <f t="shared" si="669"/>
        <v>0</v>
      </c>
      <c r="M674" s="1568">
        <f t="shared" si="669"/>
        <v>0</v>
      </c>
      <c r="N674" s="1568">
        <f t="shared" si="669"/>
        <v>0</v>
      </c>
      <c r="O674" s="1568">
        <f t="shared" si="669"/>
        <v>0</v>
      </c>
      <c r="P674" s="1568">
        <f t="shared" si="669"/>
        <v>0</v>
      </c>
      <c r="Q674" s="1568">
        <f t="shared" si="669"/>
        <v>0</v>
      </c>
      <c r="R674" s="1568">
        <f t="shared" si="669"/>
        <v>0</v>
      </c>
      <c r="S674" s="1568">
        <f t="shared" si="669"/>
        <v>0</v>
      </c>
      <c r="T674" s="1568">
        <f t="shared" si="669"/>
        <v>0</v>
      </c>
      <c r="U674" s="1568">
        <f t="shared" si="669"/>
        <v>0</v>
      </c>
      <c r="V674" s="1568">
        <f t="shared" si="669"/>
        <v>0</v>
      </c>
      <c r="W674" s="1568">
        <f t="shared" si="669"/>
        <v>0</v>
      </c>
      <c r="X674" s="1568">
        <f t="shared" si="669"/>
        <v>0</v>
      </c>
      <c r="Y674" s="1568">
        <f t="shared" si="669"/>
        <v>0</v>
      </c>
      <c r="Z674" s="1568">
        <f t="shared" si="669"/>
        <v>0</v>
      </c>
      <c r="AA674" s="1568">
        <f t="shared" si="669"/>
        <v>0</v>
      </c>
      <c r="AB674" s="1568">
        <f t="shared" si="669"/>
        <v>0</v>
      </c>
      <c r="AC674" s="1568">
        <f t="shared" si="669"/>
        <v>0</v>
      </c>
      <c r="AD674" s="1568">
        <f t="shared" si="669"/>
        <v>0</v>
      </c>
      <c r="AE674" s="1568">
        <f t="shared" si="669"/>
        <v>0</v>
      </c>
      <c r="AF674" s="1568">
        <f t="shared" si="669"/>
        <v>0</v>
      </c>
      <c r="AG674" s="1568">
        <f t="shared" si="669"/>
        <v>0</v>
      </c>
      <c r="AH674" s="1568">
        <f t="shared" si="669"/>
        <v>0</v>
      </c>
      <c r="AI674" s="1568">
        <f t="shared" si="669"/>
        <v>0</v>
      </c>
      <c r="AJ674" s="1568">
        <f t="shared" si="669"/>
        <v>0</v>
      </c>
      <c r="AL674" s="561"/>
      <c r="AM674" s="1526"/>
      <c r="AN674" s="1526"/>
      <c r="AO674" s="1526"/>
      <c r="AP674" s="1526"/>
      <c r="AQ674" s="1526"/>
      <c r="AR674" s="1526"/>
      <c r="AS674" s="1526"/>
      <c r="AT674" s="1526"/>
      <c r="AU674" s="1526"/>
      <c r="AV674" s="1526"/>
      <c r="AW674" s="1526"/>
      <c r="AX674" s="1526"/>
      <c r="AY674" s="1526"/>
      <c r="AZ674" s="1526"/>
      <c r="BA674" s="1526"/>
      <c r="BB674" s="1526"/>
      <c r="BC674" s="1526"/>
      <c r="BD674" s="1526"/>
      <c r="BE674" s="1526"/>
      <c r="BF674" s="1526"/>
      <c r="BG674" s="1526"/>
      <c r="BH674" s="1526"/>
    </row>
    <row r="675" spans="1:60" s="1525" customFormat="1">
      <c r="A675" s="1433" t="s">
        <v>13</v>
      </c>
      <c r="B675" s="1585" t="s">
        <v>2528</v>
      </c>
      <c r="C675" s="1438">
        <f>C677+C682+C684+C685+C686+C687+C688+C689+C690+C691</f>
        <v>0</v>
      </c>
      <c r="D675" s="1438"/>
      <c r="E675" s="1438"/>
      <c r="F675" s="1438">
        <f t="shared" ref="F675:AH675" si="670">F677+F682+F684+F685+F686+F687+F688+F689+F690+F691</f>
        <v>0</v>
      </c>
      <c r="G675" s="1438">
        <f t="shared" si="670"/>
        <v>0</v>
      </c>
      <c r="H675" s="1438">
        <f t="shared" si="670"/>
        <v>0</v>
      </c>
      <c r="I675" s="1438">
        <f t="shared" si="670"/>
        <v>0</v>
      </c>
      <c r="J675" s="1438">
        <f t="shared" si="670"/>
        <v>0</v>
      </c>
      <c r="K675" s="1438">
        <f t="shared" si="670"/>
        <v>0</v>
      </c>
      <c r="L675" s="1438">
        <f t="shared" si="670"/>
        <v>0</v>
      </c>
      <c r="M675" s="1438">
        <f t="shared" si="670"/>
        <v>0</v>
      </c>
      <c r="N675" s="1438">
        <f t="shared" si="670"/>
        <v>0</v>
      </c>
      <c r="O675" s="1438">
        <f t="shared" si="670"/>
        <v>0</v>
      </c>
      <c r="P675" s="1438">
        <f t="shared" si="670"/>
        <v>0</v>
      </c>
      <c r="Q675" s="1438">
        <f t="shared" si="670"/>
        <v>0</v>
      </c>
      <c r="R675" s="1438">
        <f t="shared" si="670"/>
        <v>0</v>
      </c>
      <c r="S675" s="1438">
        <f t="shared" si="670"/>
        <v>0</v>
      </c>
      <c r="T675" s="1438">
        <f t="shared" si="670"/>
        <v>0</v>
      </c>
      <c r="U675" s="1438">
        <f t="shared" si="670"/>
        <v>0</v>
      </c>
      <c r="V675" s="1438">
        <f t="shared" si="670"/>
        <v>0</v>
      </c>
      <c r="W675" s="1438">
        <f t="shared" si="670"/>
        <v>0</v>
      </c>
      <c r="X675" s="1438">
        <f t="shared" si="670"/>
        <v>0</v>
      </c>
      <c r="Y675" s="1438">
        <f t="shared" si="670"/>
        <v>0</v>
      </c>
      <c r="Z675" s="1438">
        <f t="shared" si="670"/>
        <v>0</v>
      </c>
      <c r="AA675" s="1438">
        <f t="shared" si="670"/>
        <v>0</v>
      </c>
      <c r="AB675" s="1438">
        <f t="shared" si="670"/>
        <v>0</v>
      </c>
      <c r="AC675" s="1438">
        <f t="shared" si="670"/>
        <v>0</v>
      </c>
      <c r="AD675" s="1438">
        <f t="shared" si="670"/>
        <v>0</v>
      </c>
      <c r="AE675" s="1438">
        <f t="shared" si="670"/>
        <v>0</v>
      </c>
      <c r="AF675" s="1438">
        <f t="shared" si="670"/>
        <v>0</v>
      </c>
      <c r="AG675" s="1438">
        <f t="shared" si="670"/>
        <v>0</v>
      </c>
      <c r="AH675" s="1438">
        <f t="shared" si="670"/>
        <v>0</v>
      </c>
      <c r="AI675" s="1438">
        <f>AI677+AI682+AI684+AI685+AI686+AI687+AI688+AI689+AI690+AI691</f>
        <v>0</v>
      </c>
      <c r="AJ675" s="1438">
        <f>AJ677+AJ682+AJ684+AJ685+AJ686+AJ687+AJ688+AJ689+AJ690+AJ691</f>
        <v>0</v>
      </c>
      <c r="AL675" s="561"/>
      <c r="AM675" s="1526"/>
      <c r="AN675" s="1526"/>
      <c r="AO675" s="1526"/>
      <c r="AP675" s="1526"/>
      <c r="AQ675" s="1526"/>
      <c r="AR675" s="1526"/>
      <c r="AS675" s="1526"/>
      <c r="AT675" s="1526"/>
      <c r="AU675" s="1526"/>
      <c r="AV675" s="1526"/>
      <c r="AW675" s="1526"/>
      <c r="AX675" s="1526"/>
      <c r="AY675" s="1526"/>
      <c r="AZ675" s="1526"/>
      <c r="BA675" s="1526"/>
      <c r="BB675" s="1526"/>
      <c r="BC675" s="1526"/>
      <c r="BD675" s="1526"/>
      <c r="BE675" s="1526"/>
      <c r="BF675" s="1526"/>
      <c r="BG675" s="1526"/>
      <c r="BH675" s="1526"/>
    </row>
    <row r="676" spans="1:60" s="1525" customFormat="1">
      <c r="A676" s="1375"/>
      <c r="B676" s="1439" t="s">
        <v>2512</v>
      </c>
      <c r="C676" s="1440"/>
      <c r="D676" s="1440"/>
      <c r="E676" s="1440"/>
      <c r="F676" s="1440"/>
      <c r="G676" s="1553"/>
      <c r="H676" s="1440"/>
      <c r="I676" s="1553"/>
      <c r="J676" s="1440"/>
      <c r="K676" s="1440"/>
      <c r="L676" s="1440"/>
      <c r="M676" s="1440"/>
      <c r="N676" s="1440"/>
      <c r="O676" s="1440"/>
      <c r="P676" s="1440"/>
      <c r="Q676" s="1440"/>
      <c r="R676" s="1440"/>
      <c r="S676" s="1440"/>
      <c r="T676" s="1553"/>
      <c r="U676" s="1554"/>
      <c r="V676" s="1554"/>
      <c r="W676" s="1554"/>
      <c r="X676" s="1554"/>
      <c r="Y676" s="1554"/>
      <c r="Z676" s="1554"/>
      <c r="AA676" s="1554"/>
      <c r="AB676" s="1554"/>
      <c r="AC676" s="1554"/>
      <c r="AD676" s="1554"/>
      <c r="AE676" s="1554"/>
      <c r="AF676" s="1554"/>
      <c r="AG676" s="1554"/>
      <c r="AH676" s="1554"/>
      <c r="AI676" s="1554"/>
      <c r="AJ676" s="1554"/>
      <c r="AL676" s="561"/>
      <c r="AM676" s="1526"/>
      <c r="AN676" s="1526"/>
      <c r="AO676" s="1526"/>
      <c r="AP676" s="1526"/>
      <c r="AQ676" s="1526"/>
      <c r="AR676" s="1526"/>
      <c r="AS676" s="1526"/>
      <c r="AT676" s="1526"/>
      <c r="AU676" s="1526"/>
      <c r="AV676" s="1526"/>
      <c r="AW676" s="1526"/>
      <c r="AX676" s="1526"/>
      <c r="AY676" s="1526"/>
      <c r="AZ676" s="1526"/>
      <c r="BA676" s="1526"/>
      <c r="BB676" s="1526"/>
      <c r="BC676" s="1526"/>
      <c r="BD676" s="1526"/>
      <c r="BE676" s="1526"/>
      <c r="BF676" s="1526"/>
      <c r="BG676" s="1526"/>
      <c r="BH676" s="1526"/>
    </row>
    <row r="677" spans="1:60" s="1525" customFormat="1">
      <c r="A677" s="1375">
        <v>1</v>
      </c>
      <c r="B677" s="1376" t="s">
        <v>2489</v>
      </c>
      <c r="C677" s="1365">
        <f>C678+C680</f>
        <v>0</v>
      </c>
      <c r="D677" s="1365"/>
      <c r="E677" s="1365"/>
      <c r="F677" s="1365">
        <f>F678+F680</f>
        <v>0</v>
      </c>
      <c r="G677" s="1555">
        <f t="shared" ref="G677:AJ677" si="671">G678+G680</f>
        <v>0</v>
      </c>
      <c r="H677" s="1365">
        <f>H678+H680</f>
        <v>0</v>
      </c>
      <c r="I677" s="1555">
        <f t="shared" si="671"/>
        <v>0</v>
      </c>
      <c r="J677" s="1365">
        <f t="shared" si="671"/>
        <v>0</v>
      </c>
      <c r="K677" s="1365">
        <f t="shared" si="671"/>
        <v>0</v>
      </c>
      <c r="L677" s="1365">
        <f t="shared" si="671"/>
        <v>0</v>
      </c>
      <c r="M677" s="1365">
        <f t="shared" si="671"/>
        <v>0</v>
      </c>
      <c r="N677" s="1365">
        <f t="shared" si="671"/>
        <v>0</v>
      </c>
      <c r="O677" s="1365">
        <f t="shared" si="671"/>
        <v>0</v>
      </c>
      <c r="P677" s="1365">
        <f t="shared" si="671"/>
        <v>0</v>
      </c>
      <c r="Q677" s="1365">
        <f t="shared" si="671"/>
        <v>0</v>
      </c>
      <c r="R677" s="1365">
        <f t="shared" si="671"/>
        <v>0</v>
      </c>
      <c r="S677" s="1365">
        <f t="shared" si="671"/>
        <v>0</v>
      </c>
      <c r="T677" s="1555">
        <f t="shared" si="671"/>
        <v>0</v>
      </c>
      <c r="U677" s="1556">
        <f t="shared" si="671"/>
        <v>0</v>
      </c>
      <c r="V677" s="1556">
        <f t="shared" si="671"/>
        <v>0</v>
      </c>
      <c r="W677" s="1556">
        <f t="shared" si="671"/>
        <v>0</v>
      </c>
      <c r="X677" s="1556">
        <f t="shared" si="671"/>
        <v>0</v>
      </c>
      <c r="Y677" s="1556">
        <f t="shared" si="671"/>
        <v>0</v>
      </c>
      <c r="Z677" s="1556">
        <f t="shared" si="671"/>
        <v>0</v>
      </c>
      <c r="AA677" s="1556">
        <f t="shared" si="671"/>
        <v>0</v>
      </c>
      <c r="AB677" s="1556">
        <f t="shared" si="671"/>
        <v>0</v>
      </c>
      <c r="AC677" s="1556">
        <f t="shared" si="671"/>
        <v>0</v>
      </c>
      <c r="AD677" s="1556">
        <f t="shared" si="671"/>
        <v>0</v>
      </c>
      <c r="AE677" s="1556">
        <f t="shared" si="671"/>
        <v>0</v>
      </c>
      <c r="AF677" s="1556">
        <f t="shared" si="671"/>
        <v>0</v>
      </c>
      <c r="AG677" s="1556">
        <f t="shared" si="671"/>
        <v>0</v>
      </c>
      <c r="AH677" s="1556">
        <f t="shared" si="671"/>
        <v>0</v>
      </c>
      <c r="AI677" s="1556">
        <f t="shared" si="671"/>
        <v>0</v>
      </c>
      <c r="AJ677" s="1556">
        <f t="shared" si="671"/>
        <v>0</v>
      </c>
      <c r="AL677" s="561"/>
      <c r="AM677" s="1526"/>
      <c r="AN677" s="1526"/>
      <c r="AO677" s="1526"/>
      <c r="AP677" s="1526"/>
      <c r="AQ677" s="1526"/>
      <c r="AR677" s="1526"/>
      <c r="AS677" s="1526"/>
      <c r="AT677" s="1526"/>
      <c r="AU677" s="1526"/>
      <c r="AV677" s="1526"/>
      <c r="AW677" s="1526"/>
      <c r="AX677" s="1526"/>
      <c r="AY677" s="1526"/>
      <c r="AZ677" s="1526"/>
      <c r="BA677" s="1526"/>
      <c r="BB677" s="1526"/>
      <c r="BC677" s="1526"/>
      <c r="BD677" s="1526"/>
      <c r="BE677" s="1526"/>
      <c r="BF677" s="1526"/>
      <c r="BG677" s="1526"/>
      <c r="BH677" s="1526"/>
    </row>
    <row r="678" spans="1:60" s="1525" customFormat="1">
      <c r="A678" s="1375"/>
      <c r="B678" s="1449" t="s">
        <v>2490</v>
      </c>
      <c r="C678" s="1365"/>
      <c r="D678" s="1365"/>
      <c r="E678" s="1365"/>
      <c r="F678" s="1365"/>
      <c r="G678" s="1553">
        <f>H678+I678+T678</f>
        <v>0</v>
      </c>
      <c r="H678" s="1365"/>
      <c r="I678" s="1553">
        <f>SUM(J678:S678)</f>
        <v>0</v>
      </c>
      <c r="J678" s="1365"/>
      <c r="K678" s="1365"/>
      <c r="L678" s="1365"/>
      <c r="M678" s="1365"/>
      <c r="N678" s="1365"/>
      <c r="O678" s="1365"/>
      <c r="P678" s="1365"/>
      <c r="Q678" s="1365"/>
      <c r="R678" s="1365"/>
      <c r="S678" s="1365"/>
      <c r="T678" s="1555">
        <f t="shared" ref="T678:T690" si="672">(H678+K678+L678+R678)*23.5%</f>
        <v>0</v>
      </c>
      <c r="U678" s="1554">
        <f t="shared" ref="U678:U690" si="673">V678+W678+AH678</f>
        <v>0</v>
      </c>
      <c r="V678" s="1554">
        <f>(H678/1.39)*1.49</f>
        <v>0</v>
      </c>
      <c r="W678" s="1554">
        <f>SUM(X678:AG678)</f>
        <v>0</v>
      </c>
      <c r="X678" s="1554">
        <f>(J678/1.39)*1.49</f>
        <v>0</v>
      </c>
      <c r="Y678" s="1554">
        <f>(K678/1.39)*1.49</f>
        <v>0</v>
      </c>
      <c r="Z678" s="1554">
        <f>(L678/1.39)*1.49</f>
        <v>0</v>
      </c>
      <c r="AA678" s="1554">
        <f>(M678/1.39)*1.49</f>
        <v>0</v>
      </c>
      <c r="AB678" s="1554">
        <f t="shared" ref="AB678:AG693" si="674">(N678/1.39)*1.49</f>
        <v>0</v>
      </c>
      <c r="AC678" s="1554">
        <f t="shared" si="674"/>
        <v>0</v>
      </c>
      <c r="AD678" s="1554">
        <f t="shared" si="674"/>
        <v>0</v>
      </c>
      <c r="AE678" s="1554">
        <f t="shared" si="674"/>
        <v>0</v>
      </c>
      <c r="AF678" s="1554">
        <f t="shared" si="674"/>
        <v>0</v>
      </c>
      <c r="AG678" s="1554">
        <f t="shared" si="674"/>
        <v>0</v>
      </c>
      <c r="AH678" s="1554">
        <f>(V678+Y678+Z678+AF678)*23.5%</f>
        <v>0</v>
      </c>
      <c r="AI678" s="1556">
        <f t="shared" ref="AI678:AI690" si="675">U678-G678</f>
        <v>0</v>
      </c>
      <c r="AJ678" s="1556">
        <f t="shared" ref="AJ678:AJ690" si="676">AI678*6</f>
        <v>0</v>
      </c>
      <c r="AL678" s="561"/>
      <c r="AM678" s="1526"/>
      <c r="AN678" s="1526"/>
      <c r="AO678" s="1526"/>
      <c r="AP678" s="1526"/>
      <c r="AQ678" s="1526"/>
      <c r="AR678" s="1526"/>
      <c r="AS678" s="1526"/>
      <c r="AT678" s="1526"/>
      <c r="AU678" s="1526"/>
      <c r="AV678" s="1526"/>
      <c r="AW678" s="1526"/>
      <c r="AX678" s="1526"/>
      <c r="AY678" s="1526"/>
      <c r="AZ678" s="1526"/>
      <c r="BA678" s="1526"/>
      <c r="BB678" s="1526"/>
      <c r="BC678" s="1526"/>
      <c r="BD678" s="1526"/>
      <c r="BE678" s="1526"/>
      <c r="BF678" s="1526"/>
      <c r="BG678" s="1526"/>
      <c r="BH678" s="1526"/>
    </row>
    <row r="679" spans="1:60" s="1525" customFormat="1">
      <c r="A679" s="1456"/>
      <c r="B679" s="1535" t="s">
        <v>2529</v>
      </c>
      <c r="C679" s="1365"/>
      <c r="D679" s="1365"/>
      <c r="E679" s="1365"/>
      <c r="F679" s="1365"/>
      <c r="G679" s="1555"/>
      <c r="H679" s="1365"/>
      <c r="I679" s="1555"/>
      <c r="J679" s="1365"/>
      <c r="K679" s="1365"/>
      <c r="L679" s="1365"/>
      <c r="M679" s="1365"/>
      <c r="N679" s="1365"/>
      <c r="O679" s="1365"/>
      <c r="P679" s="1365"/>
      <c r="Q679" s="1365"/>
      <c r="R679" s="1365"/>
      <c r="S679" s="1365"/>
      <c r="T679" s="1555">
        <f t="shared" si="672"/>
        <v>0</v>
      </c>
      <c r="U679" s="1554">
        <f t="shared" si="673"/>
        <v>0</v>
      </c>
      <c r="V679" s="1554">
        <f t="shared" ref="V679:V694" si="677">(H679/1.39)*1.49</f>
        <v>0</v>
      </c>
      <c r="W679" s="1554">
        <f t="shared" ref="W679:W694" si="678">SUM(X679:AG679)</f>
        <v>0</v>
      </c>
      <c r="X679" s="1554">
        <f t="shared" ref="X679:AG694" si="679">(J679/1.39)*1.49</f>
        <v>0</v>
      </c>
      <c r="Y679" s="1554">
        <f t="shared" si="679"/>
        <v>0</v>
      </c>
      <c r="Z679" s="1554">
        <f t="shared" si="679"/>
        <v>0</v>
      </c>
      <c r="AA679" s="1554">
        <f t="shared" si="679"/>
        <v>0</v>
      </c>
      <c r="AB679" s="1554">
        <f t="shared" si="674"/>
        <v>0</v>
      </c>
      <c r="AC679" s="1554">
        <f t="shared" si="674"/>
        <v>0</v>
      </c>
      <c r="AD679" s="1554">
        <f t="shared" si="674"/>
        <v>0</v>
      </c>
      <c r="AE679" s="1554">
        <f t="shared" si="674"/>
        <v>0</v>
      </c>
      <c r="AF679" s="1554">
        <f t="shared" si="674"/>
        <v>0</v>
      </c>
      <c r="AG679" s="1554">
        <f t="shared" si="674"/>
        <v>0</v>
      </c>
      <c r="AH679" s="1554">
        <f t="shared" ref="AH679:AH690" si="680">(V679+Y679+Z679+AF679)*23.5%</f>
        <v>0</v>
      </c>
      <c r="AI679" s="1556">
        <f t="shared" si="675"/>
        <v>0</v>
      </c>
      <c r="AJ679" s="1556">
        <f t="shared" si="676"/>
        <v>0</v>
      </c>
      <c r="AL679" s="561"/>
      <c r="AM679" s="1526"/>
      <c r="AN679" s="1526"/>
      <c r="AO679" s="1526"/>
      <c r="AP679" s="1526"/>
      <c r="AQ679" s="1526"/>
      <c r="AR679" s="1526"/>
      <c r="AS679" s="1526"/>
      <c r="AT679" s="1526"/>
      <c r="AU679" s="1526"/>
      <c r="AV679" s="1526"/>
      <c r="AW679" s="1526"/>
      <c r="AX679" s="1526"/>
      <c r="AY679" s="1526"/>
      <c r="AZ679" s="1526"/>
      <c r="BA679" s="1526"/>
      <c r="BB679" s="1526"/>
      <c r="BC679" s="1526"/>
      <c r="BD679" s="1526"/>
      <c r="BE679" s="1526"/>
      <c r="BF679" s="1526"/>
      <c r="BG679" s="1526"/>
      <c r="BH679" s="1526"/>
    </row>
    <row r="680" spans="1:60" s="1525" customFormat="1">
      <c r="A680" s="1456"/>
      <c r="B680" s="1449" t="s">
        <v>2491</v>
      </c>
      <c r="C680" s="1365"/>
      <c r="D680" s="1365"/>
      <c r="E680" s="1365"/>
      <c r="F680" s="1365"/>
      <c r="G680" s="1553">
        <f>H680+I680+T680</f>
        <v>0</v>
      </c>
      <c r="H680" s="1365"/>
      <c r="I680" s="1553">
        <f>SUM(J680:S680)</f>
        <v>0</v>
      </c>
      <c r="J680" s="1365"/>
      <c r="K680" s="1365"/>
      <c r="L680" s="1365"/>
      <c r="M680" s="1365"/>
      <c r="N680" s="1365"/>
      <c r="O680" s="1365"/>
      <c r="P680" s="1365"/>
      <c r="Q680" s="1365"/>
      <c r="R680" s="1365"/>
      <c r="S680" s="1365"/>
      <c r="T680" s="1555">
        <f t="shared" si="672"/>
        <v>0</v>
      </c>
      <c r="U680" s="1554">
        <f t="shared" si="673"/>
        <v>0</v>
      </c>
      <c r="V680" s="1554">
        <f t="shared" si="677"/>
        <v>0</v>
      </c>
      <c r="W680" s="1554">
        <f t="shared" si="678"/>
        <v>0</v>
      </c>
      <c r="X680" s="1554">
        <f t="shared" si="679"/>
        <v>0</v>
      </c>
      <c r="Y680" s="1554">
        <f t="shared" si="679"/>
        <v>0</v>
      </c>
      <c r="Z680" s="1554">
        <f t="shared" si="679"/>
        <v>0</v>
      </c>
      <c r="AA680" s="1554">
        <f t="shared" si="679"/>
        <v>0</v>
      </c>
      <c r="AB680" s="1554">
        <f t="shared" si="674"/>
        <v>0</v>
      </c>
      <c r="AC680" s="1554">
        <f t="shared" si="674"/>
        <v>0</v>
      </c>
      <c r="AD680" s="1554">
        <f t="shared" si="674"/>
        <v>0</v>
      </c>
      <c r="AE680" s="1554">
        <f t="shared" si="674"/>
        <v>0</v>
      </c>
      <c r="AF680" s="1554">
        <f t="shared" si="674"/>
        <v>0</v>
      </c>
      <c r="AG680" s="1554">
        <f t="shared" si="674"/>
        <v>0</v>
      </c>
      <c r="AH680" s="1554">
        <f t="shared" si="680"/>
        <v>0</v>
      </c>
      <c r="AI680" s="1556">
        <f t="shared" si="675"/>
        <v>0</v>
      </c>
      <c r="AJ680" s="1556">
        <f t="shared" si="676"/>
        <v>0</v>
      </c>
      <c r="AL680" s="561"/>
      <c r="AM680" s="1526"/>
      <c r="AN680" s="1526"/>
      <c r="AO680" s="1526"/>
      <c r="AP680" s="1526"/>
      <c r="AQ680" s="1526"/>
      <c r="AR680" s="1526"/>
      <c r="AS680" s="1526"/>
      <c r="AT680" s="1526"/>
      <c r="AU680" s="1526"/>
      <c r="AV680" s="1526"/>
      <c r="AW680" s="1526"/>
      <c r="AX680" s="1526"/>
      <c r="AY680" s="1526"/>
      <c r="AZ680" s="1526"/>
      <c r="BA680" s="1526"/>
      <c r="BB680" s="1526"/>
      <c r="BC680" s="1526"/>
      <c r="BD680" s="1526"/>
      <c r="BE680" s="1526"/>
      <c r="BF680" s="1526"/>
      <c r="BG680" s="1526"/>
      <c r="BH680" s="1526"/>
    </row>
    <row r="681" spans="1:60" s="1525" customFormat="1">
      <c r="A681" s="1456"/>
      <c r="B681" s="1535" t="s">
        <v>2529</v>
      </c>
      <c r="C681" s="1365"/>
      <c r="D681" s="1365"/>
      <c r="E681" s="1365"/>
      <c r="F681" s="1365"/>
      <c r="G681" s="1555"/>
      <c r="H681" s="1365"/>
      <c r="I681" s="1555"/>
      <c r="J681" s="1365"/>
      <c r="K681" s="1365"/>
      <c r="L681" s="1365"/>
      <c r="M681" s="1365"/>
      <c r="N681" s="1365"/>
      <c r="O681" s="1365"/>
      <c r="P681" s="1365"/>
      <c r="Q681" s="1365"/>
      <c r="R681" s="1365"/>
      <c r="S681" s="1365"/>
      <c r="T681" s="1555">
        <f t="shared" si="672"/>
        <v>0</v>
      </c>
      <c r="U681" s="1554">
        <f t="shared" si="673"/>
        <v>0</v>
      </c>
      <c r="V681" s="1554">
        <f t="shared" si="677"/>
        <v>0</v>
      </c>
      <c r="W681" s="1554">
        <f t="shared" si="678"/>
        <v>0</v>
      </c>
      <c r="X681" s="1554">
        <f t="shared" si="679"/>
        <v>0</v>
      </c>
      <c r="Y681" s="1554">
        <f t="shared" si="679"/>
        <v>0</v>
      </c>
      <c r="Z681" s="1554">
        <f t="shared" si="679"/>
        <v>0</v>
      </c>
      <c r="AA681" s="1554">
        <f t="shared" si="679"/>
        <v>0</v>
      </c>
      <c r="AB681" s="1554">
        <f t="shared" si="674"/>
        <v>0</v>
      </c>
      <c r="AC681" s="1554">
        <f t="shared" si="674"/>
        <v>0</v>
      </c>
      <c r="AD681" s="1554">
        <f t="shared" si="674"/>
        <v>0</v>
      </c>
      <c r="AE681" s="1554">
        <f t="shared" si="674"/>
        <v>0</v>
      </c>
      <c r="AF681" s="1554">
        <f t="shared" si="674"/>
        <v>0</v>
      </c>
      <c r="AG681" s="1554">
        <f t="shared" si="674"/>
        <v>0</v>
      </c>
      <c r="AH681" s="1554">
        <f t="shared" si="680"/>
        <v>0</v>
      </c>
      <c r="AI681" s="1556">
        <f t="shared" si="675"/>
        <v>0</v>
      </c>
      <c r="AJ681" s="1556">
        <f t="shared" si="676"/>
        <v>0</v>
      </c>
      <c r="AL681" s="561"/>
      <c r="AM681" s="1526"/>
      <c r="AN681" s="1526"/>
      <c r="AO681" s="1526"/>
      <c r="AP681" s="1526"/>
      <c r="AQ681" s="1526"/>
      <c r="AR681" s="1526"/>
      <c r="AS681" s="1526"/>
      <c r="AT681" s="1526"/>
      <c r="AU681" s="1526"/>
      <c r="AV681" s="1526"/>
      <c r="AW681" s="1526"/>
      <c r="AX681" s="1526"/>
      <c r="AY681" s="1526"/>
      <c r="AZ681" s="1526"/>
      <c r="BA681" s="1526"/>
      <c r="BB681" s="1526"/>
      <c r="BC681" s="1526"/>
      <c r="BD681" s="1526"/>
      <c r="BE681" s="1526"/>
      <c r="BF681" s="1526"/>
      <c r="BG681" s="1526"/>
      <c r="BH681" s="1526"/>
    </row>
    <row r="682" spans="1:60" s="1525" customFormat="1">
      <c r="A682" s="1375">
        <v>2</v>
      </c>
      <c r="B682" s="1376" t="s">
        <v>2237</v>
      </c>
      <c r="C682" s="1365"/>
      <c r="D682" s="1365"/>
      <c r="E682" s="1365"/>
      <c r="F682" s="1365"/>
      <c r="G682" s="1553">
        <f t="shared" ref="G682:G690" si="681">H682+I682+T682</f>
        <v>0</v>
      </c>
      <c r="H682" s="1365"/>
      <c r="I682" s="1553">
        <f>SUM(J682:S682)</f>
        <v>0</v>
      </c>
      <c r="J682" s="1365"/>
      <c r="K682" s="1365"/>
      <c r="L682" s="1365"/>
      <c r="M682" s="1365"/>
      <c r="N682" s="1365"/>
      <c r="O682" s="1365"/>
      <c r="P682" s="1365"/>
      <c r="Q682" s="1365"/>
      <c r="R682" s="1365"/>
      <c r="S682" s="1365"/>
      <c r="T682" s="1555">
        <f t="shared" si="672"/>
        <v>0</v>
      </c>
      <c r="U682" s="1554">
        <f t="shared" si="673"/>
        <v>0</v>
      </c>
      <c r="V682" s="1554">
        <f t="shared" si="677"/>
        <v>0</v>
      </c>
      <c r="W682" s="1554">
        <f t="shared" si="678"/>
        <v>0</v>
      </c>
      <c r="X682" s="1554">
        <f t="shared" si="679"/>
        <v>0</v>
      </c>
      <c r="Y682" s="1554">
        <f t="shared" si="679"/>
        <v>0</v>
      </c>
      <c r="Z682" s="1554">
        <f t="shared" si="679"/>
        <v>0</v>
      </c>
      <c r="AA682" s="1554">
        <f t="shared" si="679"/>
        <v>0</v>
      </c>
      <c r="AB682" s="1554">
        <f t="shared" si="674"/>
        <v>0</v>
      </c>
      <c r="AC682" s="1554">
        <f t="shared" si="674"/>
        <v>0</v>
      </c>
      <c r="AD682" s="1554">
        <f t="shared" si="674"/>
        <v>0</v>
      </c>
      <c r="AE682" s="1554">
        <f t="shared" si="674"/>
        <v>0</v>
      </c>
      <c r="AF682" s="1554">
        <f t="shared" si="674"/>
        <v>0</v>
      </c>
      <c r="AG682" s="1554">
        <f t="shared" si="674"/>
        <v>0</v>
      </c>
      <c r="AH682" s="1554">
        <f t="shared" si="680"/>
        <v>0</v>
      </c>
      <c r="AI682" s="1556">
        <f t="shared" si="675"/>
        <v>0</v>
      </c>
      <c r="AJ682" s="1556">
        <f t="shared" si="676"/>
        <v>0</v>
      </c>
      <c r="AL682" s="561"/>
      <c r="AM682" s="1526"/>
      <c r="AN682" s="1526"/>
      <c r="AO682" s="1526"/>
      <c r="AP682" s="1526"/>
      <c r="AQ682" s="1526"/>
      <c r="AR682" s="1526"/>
      <c r="AS682" s="1526"/>
      <c r="AT682" s="1526"/>
      <c r="AU682" s="1526"/>
      <c r="AV682" s="1526"/>
      <c r="AW682" s="1526"/>
      <c r="AX682" s="1526"/>
      <c r="AY682" s="1526"/>
      <c r="AZ682" s="1526"/>
      <c r="BA682" s="1526"/>
      <c r="BB682" s="1526"/>
      <c r="BC682" s="1526"/>
      <c r="BD682" s="1526"/>
      <c r="BE682" s="1526"/>
      <c r="BF682" s="1526"/>
      <c r="BG682" s="1526"/>
      <c r="BH682" s="1526"/>
    </row>
    <row r="683" spans="1:60" s="1525" customFormat="1">
      <c r="A683" s="1456"/>
      <c r="B683" s="1535" t="s">
        <v>2529</v>
      </c>
      <c r="C683" s="1365"/>
      <c r="D683" s="1365"/>
      <c r="E683" s="1365"/>
      <c r="F683" s="1365"/>
      <c r="G683" s="1555"/>
      <c r="H683" s="1365"/>
      <c r="I683" s="1555"/>
      <c r="J683" s="1365"/>
      <c r="K683" s="1365"/>
      <c r="L683" s="1365"/>
      <c r="M683" s="1365"/>
      <c r="N683" s="1365"/>
      <c r="O683" s="1365"/>
      <c r="P683" s="1365"/>
      <c r="Q683" s="1365"/>
      <c r="R683" s="1365"/>
      <c r="S683" s="1365"/>
      <c r="T683" s="1555">
        <f t="shared" si="672"/>
        <v>0</v>
      </c>
      <c r="U683" s="1554">
        <f t="shared" si="673"/>
        <v>0</v>
      </c>
      <c r="V683" s="1554">
        <f t="shared" si="677"/>
        <v>0</v>
      </c>
      <c r="W683" s="1554">
        <f t="shared" si="678"/>
        <v>0</v>
      </c>
      <c r="X683" s="1554">
        <f t="shared" si="679"/>
        <v>0</v>
      </c>
      <c r="Y683" s="1554">
        <f t="shared" si="679"/>
        <v>0</v>
      </c>
      <c r="Z683" s="1554">
        <f t="shared" si="679"/>
        <v>0</v>
      </c>
      <c r="AA683" s="1554">
        <f t="shared" si="679"/>
        <v>0</v>
      </c>
      <c r="AB683" s="1554">
        <f t="shared" si="674"/>
        <v>0</v>
      </c>
      <c r="AC683" s="1554" t="s">
        <v>2530</v>
      </c>
      <c r="AD683" s="1554">
        <f t="shared" si="674"/>
        <v>0</v>
      </c>
      <c r="AE683" s="1554">
        <f t="shared" si="674"/>
        <v>0</v>
      </c>
      <c r="AF683" s="1554">
        <f t="shared" si="674"/>
        <v>0</v>
      </c>
      <c r="AG683" s="1554">
        <f t="shared" si="674"/>
        <v>0</v>
      </c>
      <c r="AH683" s="1554">
        <f t="shared" si="680"/>
        <v>0</v>
      </c>
      <c r="AI683" s="1556">
        <f t="shared" si="675"/>
        <v>0</v>
      </c>
      <c r="AJ683" s="1556">
        <f t="shared" si="676"/>
        <v>0</v>
      </c>
      <c r="AL683" s="561"/>
      <c r="AM683" s="1526"/>
      <c r="AN683" s="1526"/>
      <c r="AO683" s="1526"/>
      <c r="AP683" s="1526"/>
      <c r="AQ683" s="1526"/>
      <c r="AR683" s="1526"/>
      <c r="AS683" s="1526"/>
      <c r="AT683" s="1526"/>
      <c r="AU683" s="1526"/>
      <c r="AV683" s="1526"/>
      <c r="AW683" s="1526"/>
      <c r="AX683" s="1526"/>
      <c r="AY683" s="1526"/>
      <c r="AZ683" s="1526"/>
      <c r="BA683" s="1526"/>
      <c r="BB683" s="1526"/>
      <c r="BC683" s="1526"/>
      <c r="BD683" s="1526"/>
      <c r="BE683" s="1526"/>
      <c r="BF683" s="1526"/>
      <c r="BG683" s="1526"/>
      <c r="BH683" s="1526"/>
    </row>
    <row r="684" spans="1:60" s="1525" customFormat="1">
      <c r="A684" s="1375">
        <v>3</v>
      </c>
      <c r="B684" s="1376" t="s">
        <v>2531</v>
      </c>
      <c r="C684" s="1365"/>
      <c r="D684" s="1365"/>
      <c r="E684" s="1365"/>
      <c r="F684" s="1365"/>
      <c r="G684" s="1553">
        <f t="shared" si="681"/>
        <v>0</v>
      </c>
      <c r="H684" s="1365"/>
      <c r="I684" s="1553">
        <f t="shared" ref="I684:I690" si="682">SUM(J684:S684)</f>
        <v>0</v>
      </c>
      <c r="J684" s="1365"/>
      <c r="K684" s="1365"/>
      <c r="L684" s="1365"/>
      <c r="M684" s="1365"/>
      <c r="N684" s="1365"/>
      <c r="O684" s="1365"/>
      <c r="P684" s="1365"/>
      <c r="Q684" s="1365"/>
      <c r="R684" s="1365"/>
      <c r="S684" s="1365"/>
      <c r="T684" s="1555">
        <f t="shared" si="672"/>
        <v>0</v>
      </c>
      <c r="U684" s="1554">
        <f t="shared" si="673"/>
        <v>0</v>
      </c>
      <c r="V684" s="1554">
        <f t="shared" si="677"/>
        <v>0</v>
      </c>
      <c r="W684" s="1554">
        <f t="shared" si="678"/>
        <v>0</v>
      </c>
      <c r="X684" s="1554">
        <f t="shared" si="679"/>
        <v>0</v>
      </c>
      <c r="Y684" s="1554">
        <f t="shared" si="679"/>
        <v>0</v>
      </c>
      <c r="Z684" s="1554">
        <f t="shared" si="679"/>
        <v>0</v>
      </c>
      <c r="AA684" s="1554">
        <f t="shared" si="679"/>
        <v>0</v>
      </c>
      <c r="AB684" s="1554">
        <f t="shared" si="674"/>
        <v>0</v>
      </c>
      <c r="AC684" s="1554">
        <f t="shared" si="674"/>
        <v>0</v>
      </c>
      <c r="AD684" s="1554">
        <f t="shared" si="674"/>
        <v>0</v>
      </c>
      <c r="AE684" s="1554">
        <f t="shared" si="674"/>
        <v>0</v>
      </c>
      <c r="AF684" s="1554">
        <f t="shared" si="674"/>
        <v>0</v>
      </c>
      <c r="AG684" s="1554">
        <f t="shared" si="674"/>
        <v>0</v>
      </c>
      <c r="AH684" s="1554">
        <f t="shared" si="680"/>
        <v>0</v>
      </c>
      <c r="AI684" s="1556">
        <f t="shared" si="675"/>
        <v>0</v>
      </c>
      <c r="AJ684" s="1556">
        <f t="shared" si="676"/>
        <v>0</v>
      </c>
      <c r="AL684" s="561"/>
      <c r="AM684" s="1526"/>
      <c r="AN684" s="1526"/>
      <c r="AO684" s="1526"/>
      <c r="AP684" s="1526"/>
      <c r="AQ684" s="1526"/>
      <c r="AR684" s="1526"/>
      <c r="AS684" s="1526"/>
      <c r="AT684" s="1526"/>
      <c r="AU684" s="1526"/>
      <c r="AV684" s="1526"/>
      <c r="AW684" s="1526"/>
      <c r="AX684" s="1526"/>
      <c r="AY684" s="1526"/>
      <c r="AZ684" s="1526"/>
      <c r="BA684" s="1526"/>
      <c r="BB684" s="1526"/>
      <c r="BC684" s="1526"/>
      <c r="BD684" s="1526"/>
      <c r="BE684" s="1526"/>
      <c r="BF684" s="1526"/>
      <c r="BG684" s="1526"/>
      <c r="BH684" s="1526"/>
    </row>
    <row r="685" spans="1:60" s="1525" customFormat="1">
      <c r="A685" s="1375">
        <v>4</v>
      </c>
      <c r="B685" s="1376" t="s">
        <v>2532</v>
      </c>
      <c r="C685" s="1365"/>
      <c r="D685" s="1365"/>
      <c r="E685" s="1365"/>
      <c r="F685" s="1365"/>
      <c r="G685" s="1553">
        <f t="shared" si="681"/>
        <v>0</v>
      </c>
      <c r="H685" s="1365"/>
      <c r="I685" s="1553">
        <f t="shared" si="682"/>
        <v>0</v>
      </c>
      <c r="J685" s="1365"/>
      <c r="K685" s="1365"/>
      <c r="L685" s="1365"/>
      <c r="M685" s="1365"/>
      <c r="N685" s="1365"/>
      <c r="O685" s="1365"/>
      <c r="P685" s="1365"/>
      <c r="Q685" s="1365"/>
      <c r="R685" s="1365"/>
      <c r="S685" s="1365"/>
      <c r="T685" s="1555">
        <f t="shared" si="672"/>
        <v>0</v>
      </c>
      <c r="U685" s="1554">
        <f t="shared" si="673"/>
        <v>0</v>
      </c>
      <c r="V685" s="1554">
        <f t="shared" si="677"/>
        <v>0</v>
      </c>
      <c r="W685" s="1554">
        <f t="shared" si="678"/>
        <v>0</v>
      </c>
      <c r="X685" s="1554">
        <f t="shared" si="679"/>
        <v>0</v>
      </c>
      <c r="Y685" s="1554">
        <f t="shared" si="679"/>
        <v>0</v>
      </c>
      <c r="Z685" s="1554">
        <f t="shared" si="679"/>
        <v>0</v>
      </c>
      <c r="AA685" s="1554">
        <f t="shared" si="679"/>
        <v>0</v>
      </c>
      <c r="AB685" s="1554">
        <f t="shared" si="674"/>
        <v>0</v>
      </c>
      <c r="AC685" s="1554">
        <f t="shared" si="674"/>
        <v>0</v>
      </c>
      <c r="AD685" s="1554">
        <f t="shared" si="674"/>
        <v>0</v>
      </c>
      <c r="AE685" s="1554">
        <f t="shared" si="674"/>
        <v>0</v>
      </c>
      <c r="AF685" s="1554">
        <f t="shared" si="674"/>
        <v>0</v>
      </c>
      <c r="AG685" s="1554">
        <f t="shared" si="674"/>
        <v>0</v>
      </c>
      <c r="AH685" s="1554">
        <f t="shared" si="680"/>
        <v>0</v>
      </c>
      <c r="AI685" s="1556">
        <f t="shared" si="675"/>
        <v>0</v>
      </c>
      <c r="AJ685" s="1556">
        <f t="shared" si="676"/>
        <v>0</v>
      </c>
      <c r="AL685" s="561"/>
      <c r="AM685" s="1526"/>
      <c r="AN685" s="1526"/>
      <c r="AO685" s="1526"/>
      <c r="AP685" s="1526"/>
      <c r="AQ685" s="1526"/>
      <c r="AR685" s="1526"/>
      <c r="AS685" s="1526"/>
      <c r="AT685" s="1526"/>
      <c r="AU685" s="1526"/>
      <c r="AV685" s="1526"/>
      <c r="AW685" s="1526"/>
      <c r="AX685" s="1526"/>
      <c r="AY685" s="1526"/>
      <c r="AZ685" s="1526"/>
      <c r="BA685" s="1526"/>
      <c r="BB685" s="1526"/>
      <c r="BC685" s="1526"/>
      <c r="BD685" s="1526"/>
      <c r="BE685" s="1526"/>
      <c r="BF685" s="1526"/>
      <c r="BG685" s="1526"/>
      <c r="BH685" s="1526"/>
    </row>
    <row r="686" spans="1:60" s="1525" customFormat="1">
      <c r="A686" s="1375">
        <v>5</v>
      </c>
      <c r="B686" s="1376" t="s">
        <v>2533</v>
      </c>
      <c r="C686" s="1365"/>
      <c r="D686" s="1365"/>
      <c r="E686" s="1365"/>
      <c r="F686" s="1365"/>
      <c r="G686" s="1553">
        <f t="shared" si="681"/>
        <v>0</v>
      </c>
      <c r="H686" s="1365"/>
      <c r="I686" s="1553">
        <f t="shared" si="682"/>
        <v>0</v>
      </c>
      <c r="J686" s="1365"/>
      <c r="K686" s="1365"/>
      <c r="L686" s="1365"/>
      <c r="M686" s="1365"/>
      <c r="N686" s="1365"/>
      <c r="O686" s="1365"/>
      <c r="P686" s="1365"/>
      <c r="Q686" s="1365"/>
      <c r="R686" s="1365"/>
      <c r="S686" s="1365"/>
      <c r="T686" s="1555">
        <f t="shared" si="672"/>
        <v>0</v>
      </c>
      <c r="U686" s="1554">
        <f t="shared" si="673"/>
        <v>0</v>
      </c>
      <c r="V686" s="1554">
        <f t="shared" si="677"/>
        <v>0</v>
      </c>
      <c r="W686" s="1554">
        <f t="shared" si="678"/>
        <v>0</v>
      </c>
      <c r="X686" s="1554">
        <f t="shared" si="679"/>
        <v>0</v>
      </c>
      <c r="Y686" s="1554">
        <f t="shared" si="679"/>
        <v>0</v>
      </c>
      <c r="Z686" s="1554">
        <f t="shared" si="679"/>
        <v>0</v>
      </c>
      <c r="AA686" s="1554">
        <f t="shared" si="679"/>
        <v>0</v>
      </c>
      <c r="AB686" s="1554">
        <f t="shared" si="674"/>
        <v>0</v>
      </c>
      <c r="AC686" s="1554">
        <f t="shared" si="674"/>
        <v>0</v>
      </c>
      <c r="AD686" s="1554">
        <f t="shared" si="674"/>
        <v>0</v>
      </c>
      <c r="AE686" s="1554">
        <f t="shared" si="674"/>
        <v>0</v>
      </c>
      <c r="AF686" s="1554">
        <f t="shared" si="674"/>
        <v>0</v>
      </c>
      <c r="AG686" s="1554">
        <f t="shared" si="674"/>
        <v>0</v>
      </c>
      <c r="AH686" s="1554">
        <f t="shared" si="680"/>
        <v>0</v>
      </c>
      <c r="AI686" s="1556">
        <f t="shared" si="675"/>
        <v>0</v>
      </c>
      <c r="AJ686" s="1556">
        <f t="shared" si="676"/>
        <v>0</v>
      </c>
      <c r="AL686" s="561"/>
      <c r="AM686" s="1526"/>
      <c r="AN686" s="1526"/>
      <c r="AO686" s="1526"/>
      <c r="AP686" s="1526"/>
      <c r="AQ686" s="1526"/>
      <c r="AR686" s="1526"/>
      <c r="AS686" s="1526"/>
      <c r="AT686" s="1526"/>
      <c r="AU686" s="1526"/>
      <c r="AV686" s="1526"/>
      <c r="AW686" s="1526"/>
      <c r="AX686" s="1526"/>
      <c r="AY686" s="1526"/>
      <c r="AZ686" s="1526"/>
      <c r="BA686" s="1526"/>
      <c r="BB686" s="1526"/>
      <c r="BC686" s="1526"/>
      <c r="BD686" s="1526"/>
      <c r="BE686" s="1526"/>
      <c r="BF686" s="1526"/>
      <c r="BG686" s="1526"/>
      <c r="BH686" s="1526"/>
    </row>
    <row r="687" spans="1:60" s="1525" customFormat="1">
      <c r="A687" s="1375">
        <v>6</v>
      </c>
      <c r="B687" s="1376" t="s">
        <v>2534</v>
      </c>
      <c r="C687" s="1365"/>
      <c r="D687" s="1365"/>
      <c r="E687" s="1365"/>
      <c r="F687" s="1365"/>
      <c r="G687" s="1553">
        <f t="shared" si="681"/>
        <v>0</v>
      </c>
      <c r="H687" s="1365"/>
      <c r="I687" s="1553">
        <f t="shared" si="682"/>
        <v>0</v>
      </c>
      <c r="J687" s="1365"/>
      <c r="K687" s="1365"/>
      <c r="L687" s="1365"/>
      <c r="M687" s="1365"/>
      <c r="N687" s="1365"/>
      <c r="O687" s="1365"/>
      <c r="P687" s="1365"/>
      <c r="Q687" s="1365"/>
      <c r="R687" s="1365"/>
      <c r="S687" s="1365"/>
      <c r="T687" s="1555">
        <f t="shared" si="672"/>
        <v>0</v>
      </c>
      <c r="U687" s="1554">
        <f t="shared" si="673"/>
        <v>0</v>
      </c>
      <c r="V687" s="1554">
        <f t="shared" si="677"/>
        <v>0</v>
      </c>
      <c r="W687" s="1554">
        <f t="shared" si="678"/>
        <v>0</v>
      </c>
      <c r="X687" s="1554">
        <f t="shared" si="679"/>
        <v>0</v>
      </c>
      <c r="Y687" s="1554">
        <f t="shared" si="679"/>
        <v>0</v>
      </c>
      <c r="Z687" s="1554">
        <f t="shared" si="679"/>
        <v>0</v>
      </c>
      <c r="AA687" s="1554">
        <f t="shared" si="679"/>
        <v>0</v>
      </c>
      <c r="AB687" s="1554">
        <f t="shared" si="674"/>
        <v>0</v>
      </c>
      <c r="AC687" s="1554">
        <f t="shared" si="674"/>
        <v>0</v>
      </c>
      <c r="AD687" s="1554">
        <f t="shared" si="674"/>
        <v>0</v>
      </c>
      <c r="AE687" s="1554">
        <f t="shared" si="674"/>
        <v>0</v>
      </c>
      <c r="AF687" s="1554">
        <f t="shared" si="674"/>
        <v>0</v>
      </c>
      <c r="AG687" s="1554">
        <f t="shared" si="674"/>
        <v>0</v>
      </c>
      <c r="AH687" s="1554">
        <f t="shared" si="680"/>
        <v>0</v>
      </c>
      <c r="AI687" s="1556">
        <f t="shared" si="675"/>
        <v>0</v>
      </c>
      <c r="AJ687" s="1556">
        <f t="shared" si="676"/>
        <v>0</v>
      </c>
      <c r="AL687" s="561"/>
      <c r="AM687" s="1526"/>
      <c r="AN687" s="1526"/>
      <c r="AO687" s="1526"/>
      <c r="AP687" s="1526"/>
      <c r="AQ687" s="1526"/>
      <c r="AR687" s="1526"/>
      <c r="AS687" s="1526"/>
      <c r="AT687" s="1526"/>
      <c r="AU687" s="1526"/>
      <c r="AV687" s="1526"/>
      <c r="AW687" s="1526"/>
      <c r="AX687" s="1526"/>
      <c r="AY687" s="1526"/>
      <c r="AZ687" s="1526"/>
      <c r="BA687" s="1526"/>
      <c r="BB687" s="1526"/>
      <c r="BC687" s="1526"/>
      <c r="BD687" s="1526"/>
      <c r="BE687" s="1526"/>
      <c r="BF687" s="1526"/>
      <c r="BG687" s="1526"/>
      <c r="BH687" s="1526"/>
    </row>
    <row r="688" spans="1:60" s="1525" customFormat="1">
      <c r="A688" s="1375">
        <v>7</v>
      </c>
      <c r="B688" s="1376" t="s">
        <v>2535</v>
      </c>
      <c r="C688" s="1365"/>
      <c r="D688" s="1365"/>
      <c r="E688" s="1365"/>
      <c r="F688" s="1365"/>
      <c r="G688" s="1553">
        <f t="shared" si="681"/>
        <v>0</v>
      </c>
      <c r="H688" s="1365"/>
      <c r="I688" s="1553">
        <f t="shared" si="682"/>
        <v>0</v>
      </c>
      <c r="J688" s="1365"/>
      <c r="K688" s="1365"/>
      <c r="L688" s="1365"/>
      <c r="M688" s="1365"/>
      <c r="N688" s="1365"/>
      <c r="O688" s="1365"/>
      <c r="P688" s="1365"/>
      <c r="Q688" s="1365"/>
      <c r="R688" s="1365"/>
      <c r="S688" s="1365"/>
      <c r="T688" s="1555">
        <f t="shared" si="672"/>
        <v>0</v>
      </c>
      <c r="U688" s="1554">
        <f t="shared" si="673"/>
        <v>0</v>
      </c>
      <c r="V688" s="1554">
        <f t="shared" si="677"/>
        <v>0</v>
      </c>
      <c r="W688" s="1554">
        <f t="shared" si="678"/>
        <v>0</v>
      </c>
      <c r="X688" s="1554">
        <f t="shared" si="679"/>
        <v>0</v>
      </c>
      <c r="Y688" s="1554">
        <f t="shared" si="679"/>
        <v>0</v>
      </c>
      <c r="Z688" s="1554">
        <f t="shared" si="679"/>
        <v>0</v>
      </c>
      <c r="AA688" s="1554">
        <f t="shared" si="679"/>
        <v>0</v>
      </c>
      <c r="AB688" s="1554">
        <f t="shared" si="674"/>
        <v>0</v>
      </c>
      <c r="AC688" s="1554">
        <f t="shared" si="674"/>
        <v>0</v>
      </c>
      <c r="AD688" s="1554">
        <f t="shared" si="674"/>
        <v>0</v>
      </c>
      <c r="AE688" s="1554">
        <f t="shared" si="674"/>
        <v>0</v>
      </c>
      <c r="AF688" s="1554">
        <f t="shared" si="674"/>
        <v>0</v>
      </c>
      <c r="AG688" s="1554">
        <f t="shared" si="674"/>
        <v>0</v>
      </c>
      <c r="AH688" s="1554">
        <f t="shared" si="680"/>
        <v>0</v>
      </c>
      <c r="AI688" s="1556">
        <f t="shared" si="675"/>
        <v>0</v>
      </c>
      <c r="AJ688" s="1556">
        <f t="shared" si="676"/>
        <v>0</v>
      </c>
      <c r="AL688" s="561"/>
      <c r="AM688" s="1526"/>
      <c r="AN688" s="1526"/>
      <c r="AO688" s="1526"/>
      <c r="AP688" s="1526"/>
      <c r="AQ688" s="1526"/>
      <c r="AR688" s="1526"/>
      <c r="AS688" s="1526"/>
      <c r="AT688" s="1526"/>
      <c r="AU688" s="1526"/>
      <c r="AV688" s="1526"/>
      <c r="AW688" s="1526"/>
      <c r="AX688" s="1526"/>
      <c r="AY688" s="1526"/>
      <c r="AZ688" s="1526"/>
      <c r="BA688" s="1526"/>
      <c r="BB688" s="1526"/>
      <c r="BC688" s="1526"/>
      <c r="BD688" s="1526"/>
      <c r="BE688" s="1526"/>
      <c r="BF688" s="1526"/>
      <c r="BG688" s="1526"/>
      <c r="BH688" s="1526"/>
    </row>
    <row r="689" spans="1:60" s="1525" customFormat="1">
      <c r="A689" s="1375">
        <v>8</v>
      </c>
      <c r="B689" s="1590" t="s">
        <v>2536</v>
      </c>
      <c r="C689" s="1365"/>
      <c r="D689" s="1365"/>
      <c r="E689" s="1365"/>
      <c r="F689" s="1365"/>
      <c r="G689" s="1553">
        <f t="shared" si="681"/>
        <v>0</v>
      </c>
      <c r="H689" s="1365"/>
      <c r="I689" s="1553">
        <f t="shared" si="682"/>
        <v>0</v>
      </c>
      <c r="J689" s="1365"/>
      <c r="K689" s="1365"/>
      <c r="L689" s="1365"/>
      <c r="M689" s="1365"/>
      <c r="N689" s="1365"/>
      <c r="O689" s="1365"/>
      <c r="P689" s="1365"/>
      <c r="Q689" s="1365"/>
      <c r="R689" s="1365"/>
      <c r="S689" s="1365"/>
      <c r="T689" s="1555">
        <f t="shared" si="672"/>
        <v>0</v>
      </c>
      <c r="U689" s="1554">
        <f t="shared" si="673"/>
        <v>0</v>
      </c>
      <c r="V689" s="1554">
        <f t="shared" si="677"/>
        <v>0</v>
      </c>
      <c r="W689" s="1554">
        <f t="shared" si="678"/>
        <v>0</v>
      </c>
      <c r="X689" s="1554">
        <f t="shared" si="679"/>
        <v>0</v>
      </c>
      <c r="Y689" s="1554">
        <f t="shared" si="679"/>
        <v>0</v>
      </c>
      <c r="Z689" s="1554">
        <f t="shared" si="679"/>
        <v>0</v>
      </c>
      <c r="AA689" s="1554">
        <f t="shared" si="679"/>
        <v>0</v>
      </c>
      <c r="AB689" s="1554">
        <f t="shared" si="674"/>
        <v>0</v>
      </c>
      <c r="AC689" s="1554">
        <f t="shared" si="674"/>
        <v>0</v>
      </c>
      <c r="AD689" s="1554">
        <f t="shared" si="674"/>
        <v>0</v>
      </c>
      <c r="AE689" s="1554">
        <f t="shared" si="674"/>
        <v>0</v>
      </c>
      <c r="AF689" s="1554">
        <f t="shared" si="674"/>
        <v>0</v>
      </c>
      <c r="AG689" s="1554">
        <f t="shared" si="674"/>
        <v>0</v>
      </c>
      <c r="AH689" s="1554">
        <f t="shared" si="680"/>
        <v>0</v>
      </c>
      <c r="AI689" s="1556">
        <f t="shared" si="675"/>
        <v>0</v>
      </c>
      <c r="AJ689" s="1556">
        <f t="shared" si="676"/>
        <v>0</v>
      </c>
      <c r="AL689" s="561"/>
      <c r="AM689" s="1526"/>
      <c r="AN689" s="1526"/>
      <c r="AO689" s="1526"/>
      <c r="AP689" s="1526"/>
      <c r="AQ689" s="1526"/>
      <c r="AR689" s="1526"/>
      <c r="AS689" s="1526"/>
      <c r="AT689" s="1526"/>
      <c r="AU689" s="1526"/>
      <c r="AV689" s="1526"/>
      <c r="AW689" s="1526"/>
      <c r="AX689" s="1526"/>
      <c r="AY689" s="1526"/>
      <c r="AZ689" s="1526"/>
      <c r="BA689" s="1526"/>
      <c r="BB689" s="1526"/>
      <c r="BC689" s="1526"/>
      <c r="BD689" s="1526"/>
      <c r="BE689" s="1526"/>
      <c r="BF689" s="1526"/>
      <c r="BG689" s="1526"/>
      <c r="BH689" s="1526"/>
    </row>
    <row r="690" spans="1:60" s="1525" customFormat="1">
      <c r="A690" s="1375">
        <v>9</v>
      </c>
      <c r="B690" s="1590" t="s">
        <v>2537</v>
      </c>
      <c r="C690" s="1365"/>
      <c r="D690" s="1365"/>
      <c r="E690" s="1365"/>
      <c r="F690" s="1365"/>
      <c r="G690" s="1553">
        <f t="shared" si="681"/>
        <v>0</v>
      </c>
      <c r="H690" s="1365"/>
      <c r="I690" s="1553">
        <f t="shared" si="682"/>
        <v>0</v>
      </c>
      <c r="J690" s="1365"/>
      <c r="K690" s="1365"/>
      <c r="L690" s="1365"/>
      <c r="M690" s="1365"/>
      <c r="N690" s="1365"/>
      <c r="O690" s="1365"/>
      <c r="P690" s="1365"/>
      <c r="Q690" s="1365"/>
      <c r="R690" s="1365"/>
      <c r="S690" s="1365"/>
      <c r="T690" s="1555">
        <f t="shared" si="672"/>
        <v>0</v>
      </c>
      <c r="U690" s="1554">
        <f t="shared" si="673"/>
        <v>0</v>
      </c>
      <c r="V690" s="1554">
        <f t="shared" si="677"/>
        <v>0</v>
      </c>
      <c r="W690" s="1554">
        <f t="shared" si="678"/>
        <v>0</v>
      </c>
      <c r="X690" s="1554">
        <f t="shared" si="679"/>
        <v>0</v>
      </c>
      <c r="Y690" s="1554">
        <f t="shared" si="679"/>
        <v>0</v>
      </c>
      <c r="Z690" s="1554">
        <f t="shared" si="679"/>
        <v>0</v>
      </c>
      <c r="AA690" s="1554">
        <f t="shared" si="679"/>
        <v>0</v>
      </c>
      <c r="AB690" s="1554">
        <f t="shared" si="674"/>
        <v>0</v>
      </c>
      <c r="AC690" s="1554">
        <f t="shared" si="674"/>
        <v>0</v>
      </c>
      <c r="AD690" s="1554">
        <f t="shared" si="674"/>
        <v>0</v>
      </c>
      <c r="AE690" s="1554">
        <f t="shared" si="674"/>
        <v>0</v>
      </c>
      <c r="AF690" s="1554">
        <f t="shared" si="674"/>
        <v>0</v>
      </c>
      <c r="AG690" s="1554">
        <f t="shared" si="674"/>
        <v>0</v>
      </c>
      <c r="AH690" s="1554">
        <f t="shared" si="680"/>
        <v>0</v>
      </c>
      <c r="AI690" s="1556">
        <f t="shared" si="675"/>
        <v>0</v>
      </c>
      <c r="AJ690" s="1556">
        <f t="shared" si="676"/>
        <v>0</v>
      </c>
      <c r="AL690" s="561"/>
      <c r="AM690" s="1526"/>
      <c r="AN690" s="1526"/>
      <c r="AO690" s="1526"/>
      <c r="AP690" s="1526"/>
      <c r="AQ690" s="1526"/>
      <c r="AR690" s="1526"/>
      <c r="AS690" s="1526"/>
      <c r="AT690" s="1526"/>
      <c r="AU690" s="1526"/>
      <c r="AV690" s="1526"/>
      <c r="AW690" s="1526"/>
      <c r="AX690" s="1526"/>
      <c r="AY690" s="1526"/>
      <c r="AZ690" s="1526"/>
      <c r="BA690" s="1526"/>
      <c r="BB690" s="1526"/>
      <c r="BC690" s="1526"/>
      <c r="BD690" s="1526"/>
      <c r="BE690" s="1526"/>
      <c r="BF690" s="1526"/>
      <c r="BG690" s="1526"/>
      <c r="BH690" s="1526"/>
    </row>
    <row r="691" spans="1:60" s="1525" customFormat="1">
      <c r="A691" s="1375">
        <v>10</v>
      </c>
      <c r="B691" s="1376" t="s">
        <v>2492</v>
      </c>
      <c r="C691" s="1555">
        <f>SUM(C692:C694)</f>
        <v>0</v>
      </c>
      <c r="D691" s="1555"/>
      <c r="E691" s="1555"/>
      <c r="F691" s="1555">
        <f t="shared" ref="F691:AJ691" si="683">SUM(F692:F694)</f>
        <v>0</v>
      </c>
      <c r="G691" s="1555">
        <f t="shared" si="683"/>
        <v>0</v>
      </c>
      <c r="H691" s="1555">
        <f t="shared" si="683"/>
        <v>0</v>
      </c>
      <c r="I691" s="1555">
        <f t="shared" si="683"/>
        <v>0</v>
      </c>
      <c r="J691" s="1555">
        <f t="shared" si="683"/>
        <v>0</v>
      </c>
      <c r="K691" s="1555">
        <f t="shared" si="683"/>
        <v>0</v>
      </c>
      <c r="L691" s="1555">
        <f t="shared" si="683"/>
        <v>0</v>
      </c>
      <c r="M691" s="1555">
        <f t="shared" si="683"/>
        <v>0</v>
      </c>
      <c r="N691" s="1555">
        <f t="shared" si="683"/>
        <v>0</v>
      </c>
      <c r="O691" s="1555">
        <f t="shared" si="683"/>
        <v>0</v>
      </c>
      <c r="P691" s="1555">
        <f t="shared" si="683"/>
        <v>0</v>
      </c>
      <c r="Q691" s="1555">
        <f t="shared" si="683"/>
        <v>0</v>
      </c>
      <c r="R691" s="1555">
        <f t="shared" si="683"/>
        <v>0</v>
      </c>
      <c r="S691" s="1555">
        <f t="shared" si="683"/>
        <v>0</v>
      </c>
      <c r="T691" s="1555">
        <f>SUM(T692:T694)</f>
        <v>0</v>
      </c>
      <c r="U691" s="1556">
        <f t="shared" si="683"/>
        <v>0</v>
      </c>
      <c r="V691" s="1554">
        <f t="shared" si="677"/>
        <v>0</v>
      </c>
      <c r="W691" s="1554">
        <f t="shared" si="678"/>
        <v>0</v>
      </c>
      <c r="X691" s="1554">
        <f t="shared" si="679"/>
        <v>0</v>
      </c>
      <c r="Y691" s="1554">
        <f t="shared" si="679"/>
        <v>0</v>
      </c>
      <c r="Z691" s="1554">
        <f t="shared" si="679"/>
        <v>0</v>
      </c>
      <c r="AA691" s="1554">
        <f t="shared" si="679"/>
        <v>0</v>
      </c>
      <c r="AB691" s="1554">
        <f t="shared" si="674"/>
        <v>0</v>
      </c>
      <c r="AC691" s="1554">
        <f t="shared" si="674"/>
        <v>0</v>
      </c>
      <c r="AD691" s="1554">
        <f t="shared" si="674"/>
        <v>0</v>
      </c>
      <c r="AE691" s="1554">
        <f t="shared" si="674"/>
        <v>0</v>
      </c>
      <c r="AF691" s="1554">
        <f t="shared" si="674"/>
        <v>0</v>
      </c>
      <c r="AG691" s="1554">
        <f t="shared" si="674"/>
        <v>0</v>
      </c>
      <c r="AH691" s="1556">
        <f t="shared" si="683"/>
        <v>0</v>
      </c>
      <c r="AI691" s="1556">
        <f t="shared" si="683"/>
        <v>0</v>
      </c>
      <c r="AJ691" s="1556">
        <f t="shared" si="683"/>
        <v>0</v>
      </c>
      <c r="AL691" s="561"/>
      <c r="AM691" s="1526"/>
      <c r="AN691" s="1526"/>
      <c r="AO691" s="1526"/>
      <c r="AP691" s="1526"/>
      <c r="AQ691" s="1526"/>
      <c r="AR691" s="1526"/>
      <c r="AS691" s="1526"/>
      <c r="AT691" s="1526"/>
      <c r="AU691" s="1526"/>
      <c r="AV691" s="1526"/>
      <c r="AW691" s="1526"/>
      <c r="AX691" s="1526"/>
      <c r="AY691" s="1526"/>
      <c r="AZ691" s="1526"/>
      <c r="BA691" s="1526"/>
      <c r="BB691" s="1526"/>
      <c r="BC691" s="1526"/>
      <c r="BD691" s="1526"/>
      <c r="BE691" s="1526"/>
      <c r="BF691" s="1526"/>
      <c r="BG691" s="1526"/>
      <c r="BH691" s="1526"/>
    </row>
    <row r="692" spans="1:60" s="1525" customFormat="1">
      <c r="A692" s="1499"/>
      <c r="B692" s="1520" t="s">
        <v>2538</v>
      </c>
      <c r="C692" s="1368"/>
      <c r="D692" s="1368"/>
      <c r="E692" s="1368"/>
      <c r="F692" s="1368"/>
      <c r="G692" s="1557">
        <f>H692+I692+T692</f>
        <v>0</v>
      </c>
      <c r="H692" s="1368"/>
      <c r="I692" s="1557">
        <f>SUM(J692:S692)</f>
        <v>0</v>
      </c>
      <c r="J692" s="1368"/>
      <c r="K692" s="1368"/>
      <c r="L692" s="1368"/>
      <c r="M692" s="1368"/>
      <c r="N692" s="1368"/>
      <c r="O692" s="1368"/>
      <c r="P692" s="1368"/>
      <c r="Q692" s="1368"/>
      <c r="R692" s="1368"/>
      <c r="S692" s="1368"/>
      <c r="T692" s="1558">
        <f>(H692+K692+L692+R692)*22.5%</f>
        <v>0</v>
      </c>
      <c r="U692" s="1559">
        <f>V692+W692+AH692</f>
        <v>0</v>
      </c>
      <c r="V692" s="1554">
        <f t="shared" si="677"/>
        <v>0</v>
      </c>
      <c r="W692" s="1554">
        <f t="shared" si="678"/>
        <v>0</v>
      </c>
      <c r="X692" s="1554">
        <f t="shared" si="679"/>
        <v>0</v>
      </c>
      <c r="Y692" s="1554">
        <f t="shared" si="679"/>
        <v>0</v>
      </c>
      <c r="Z692" s="1554">
        <f t="shared" si="679"/>
        <v>0</v>
      </c>
      <c r="AA692" s="1554">
        <f t="shared" si="679"/>
        <v>0</v>
      </c>
      <c r="AB692" s="1554">
        <f t="shared" si="674"/>
        <v>0</v>
      </c>
      <c r="AC692" s="1554">
        <f t="shared" si="674"/>
        <v>0</v>
      </c>
      <c r="AD692" s="1554">
        <f t="shared" si="674"/>
        <v>0</v>
      </c>
      <c r="AE692" s="1554">
        <f t="shared" si="674"/>
        <v>0</v>
      </c>
      <c r="AF692" s="1554">
        <f t="shared" si="674"/>
        <v>0</v>
      </c>
      <c r="AG692" s="1554">
        <f t="shared" si="674"/>
        <v>0</v>
      </c>
      <c r="AH692" s="1560">
        <f>(V692+Y692+Z692+AF692)*22.5%</f>
        <v>0</v>
      </c>
      <c r="AI692" s="1561">
        <f>U692-G692</f>
        <v>0</v>
      </c>
      <c r="AJ692" s="1561">
        <f>AI692*6</f>
        <v>0</v>
      </c>
      <c r="AL692" s="561"/>
      <c r="AM692" s="1526"/>
      <c r="AN692" s="1526"/>
      <c r="AO692" s="1526"/>
      <c r="AP692" s="1526"/>
      <c r="AQ692" s="1526"/>
      <c r="AR692" s="1526"/>
      <c r="AS692" s="1526"/>
      <c r="AT692" s="1526"/>
      <c r="AU692" s="1526"/>
      <c r="AV692" s="1526"/>
      <c r="AW692" s="1526"/>
      <c r="AX692" s="1526"/>
      <c r="AY692" s="1526"/>
      <c r="AZ692" s="1526"/>
      <c r="BA692" s="1526"/>
      <c r="BB692" s="1526"/>
      <c r="BC692" s="1526"/>
      <c r="BD692" s="1526"/>
      <c r="BE692" s="1526"/>
      <c r="BF692" s="1526"/>
      <c r="BG692" s="1526"/>
      <c r="BH692" s="1526"/>
    </row>
    <row r="693" spans="1:60" s="1525" customFormat="1">
      <c r="A693" s="1499"/>
      <c r="B693" s="1520" t="s">
        <v>2539</v>
      </c>
      <c r="C693" s="1368"/>
      <c r="D693" s="1368"/>
      <c r="E693" s="1368"/>
      <c r="F693" s="1368"/>
      <c r="G693" s="1557">
        <f>H693+I693+T693</f>
        <v>0</v>
      </c>
      <c r="H693" s="1368"/>
      <c r="I693" s="1557">
        <f>SUM(J693:S693)</f>
        <v>0</v>
      </c>
      <c r="J693" s="1368"/>
      <c r="K693" s="1368"/>
      <c r="L693" s="1368"/>
      <c r="M693" s="1368"/>
      <c r="N693" s="1368"/>
      <c r="O693" s="1368"/>
      <c r="P693" s="1368"/>
      <c r="Q693" s="1368"/>
      <c r="R693" s="1368"/>
      <c r="S693" s="1368"/>
      <c r="T693" s="1558">
        <f>(H693+K693+L693+R693)*22.5%</f>
        <v>0</v>
      </c>
      <c r="U693" s="1559">
        <f>V693+W693+AH693</f>
        <v>0</v>
      </c>
      <c r="V693" s="1554">
        <f t="shared" si="677"/>
        <v>0</v>
      </c>
      <c r="W693" s="1554">
        <f t="shared" si="678"/>
        <v>0</v>
      </c>
      <c r="X693" s="1554">
        <f t="shared" si="679"/>
        <v>0</v>
      </c>
      <c r="Y693" s="1554">
        <f t="shared" si="679"/>
        <v>0</v>
      </c>
      <c r="Z693" s="1554">
        <f t="shared" si="679"/>
        <v>0</v>
      </c>
      <c r="AA693" s="1554">
        <f t="shared" si="679"/>
        <v>0</v>
      </c>
      <c r="AB693" s="1554">
        <f t="shared" si="674"/>
        <v>0</v>
      </c>
      <c r="AC693" s="1554">
        <f t="shared" si="674"/>
        <v>0</v>
      </c>
      <c r="AD693" s="1554">
        <f t="shared" si="674"/>
        <v>0</v>
      </c>
      <c r="AE693" s="1554">
        <f t="shared" si="674"/>
        <v>0</v>
      </c>
      <c r="AF693" s="1554">
        <f t="shared" si="674"/>
        <v>0</v>
      </c>
      <c r="AG693" s="1554">
        <f t="shared" si="674"/>
        <v>0</v>
      </c>
      <c r="AH693" s="1560">
        <f>(V693+Y693+Z693+AF693)*22.5%</f>
        <v>0</v>
      </c>
      <c r="AI693" s="1561">
        <f>U693-G693</f>
        <v>0</v>
      </c>
      <c r="AJ693" s="1561">
        <f>AI693*6</f>
        <v>0</v>
      </c>
      <c r="AL693" s="561"/>
      <c r="AM693" s="1526"/>
      <c r="AN693" s="1526"/>
      <c r="AO693" s="1526"/>
      <c r="AP693" s="1526"/>
      <c r="AQ693" s="1526"/>
      <c r="AR693" s="1526"/>
      <c r="AS693" s="1526"/>
      <c r="AT693" s="1526"/>
      <c r="AU693" s="1526"/>
      <c r="AV693" s="1526"/>
      <c r="AW693" s="1526"/>
      <c r="AX693" s="1526"/>
      <c r="AY693" s="1526"/>
      <c r="AZ693" s="1526"/>
      <c r="BA693" s="1526"/>
      <c r="BB693" s="1526"/>
      <c r="BC693" s="1526"/>
      <c r="BD693" s="1526"/>
      <c r="BE693" s="1526"/>
      <c r="BF693" s="1526"/>
      <c r="BG693" s="1526"/>
      <c r="BH693" s="1526"/>
    </row>
    <row r="694" spans="1:60" s="1525" customFormat="1">
      <c r="A694" s="1499"/>
      <c r="B694" s="1520" t="s">
        <v>2540</v>
      </c>
      <c r="C694" s="1368"/>
      <c r="D694" s="1368"/>
      <c r="E694" s="1368"/>
      <c r="F694" s="1368"/>
      <c r="G694" s="1557">
        <f>H694+I694+T694</f>
        <v>0</v>
      </c>
      <c r="H694" s="1368"/>
      <c r="I694" s="1557">
        <f>SUM(J694:S694)</f>
        <v>0</v>
      </c>
      <c r="J694" s="1368"/>
      <c r="K694" s="1368"/>
      <c r="L694" s="1368"/>
      <c r="M694" s="1368"/>
      <c r="N694" s="1368"/>
      <c r="O694" s="1368"/>
      <c r="P694" s="1368"/>
      <c r="Q694" s="1368"/>
      <c r="R694" s="1368"/>
      <c r="S694" s="1368"/>
      <c r="T694" s="1558">
        <f>(H694+K694+L694+R694)*22.5%</f>
        <v>0</v>
      </c>
      <c r="U694" s="1559">
        <f>V694+W694+AH694</f>
        <v>0</v>
      </c>
      <c r="V694" s="1554">
        <f t="shared" si="677"/>
        <v>0</v>
      </c>
      <c r="W694" s="1554">
        <f t="shared" si="678"/>
        <v>0</v>
      </c>
      <c r="X694" s="1554">
        <f t="shared" si="679"/>
        <v>0</v>
      </c>
      <c r="Y694" s="1554">
        <f t="shared" si="679"/>
        <v>0</v>
      </c>
      <c r="Z694" s="1554">
        <f t="shared" si="679"/>
        <v>0</v>
      </c>
      <c r="AA694" s="1554">
        <f t="shared" si="679"/>
        <v>0</v>
      </c>
      <c r="AB694" s="1554">
        <f t="shared" si="679"/>
        <v>0</v>
      </c>
      <c r="AC694" s="1554">
        <f t="shared" si="679"/>
        <v>0</v>
      </c>
      <c r="AD694" s="1554">
        <f t="shared" si="679"/>
        <v>0</v>
      </c>
      <c r="AE694" s="1554">
        <f t="shared" si="679"/>
        <v>0</v>
      </c>
      <c r="AF694" s="1554">
        <f t="shared" si="679"/>
        <v>0</v>
      </c>
      <c r="AG694" s="1554">
        <f t="shared" si="679"/>
        <v>0</v>
      </c>
      <c r="AH694" s="1560">
        <f>(V694+Y694+Z694+AF694)*22.5%</f>
        <v>0</v>
      </c>
      <c r="AI694" s="1561">
        <f>U694-G694</f>
        <v>0</v>
      </c>
      <c r="AJ694" s="1561">
        <f>AI694*6</f>
        <v>0</v>
      </c>
      <c r="AL694" s="561"/>
      <c r="AM694" s="1526"/>
      <c r="AN694" s="1526"/>
      <c r="AO694" s="1526"/>
      <c r="AP694" s="1526"/>
      <c r="AQ694" s="1526"/>
      <c r="AR694" s="1526"/>
      <c r="AS694" s="1526"/>
      <c r="AT694" s="1526"/>
      <c r="AU694" s="1526"/>
      <c r="AV694" s="1526"/>
      <c r="AW694" s="1526"/>
      <c r="AX694" s="1526"/>
      <c r="AY694" s="1526"/>
      <c r="AZ694" s="1526"/>
      <c r="BA694" s="1526"/>
      <c r="BB694" s="1526"/>
      <c r="BC694" s="1526"/>
      <c r="BD694" s="1526"/>
      <c r="BE694" s="1526"/>
      <c r="BF694" s="1526"/>
      <c r="BG694" s="1526"/>
      <c r="BH694" s="1526"/>
    </row>
    <row r="695" spans="1:60" s="1525" customFormat="1">
      <c r="A695" s="1516" t="s">
        <v>65</v>
      </c>
      <c r="B695" s="1517" t="s">
        <v>2541</v>
      </c>
      <c r="C695" s="1370"/>
      <c r="D695" s="1370"/>
      <c r="E695" s="1370"/>
      <c r="F695" s="1370"/>
      <c r="G695" s="1438">
        <f>H695+I695+T695</f>
        <v>0</v>
      </c>
      <c r="H695" s="1370"/>
      <c r="I695" s="1438">
        <f>SUM(J695:S695)</f>
        <v>0</v>
      </c>
      <c r="J695" s="1370"/>
      <c r="K695" s="1370"/>
      <c r="L695" s="1370"/>
      <c r="M695" s="1370"/>
      <c r="N695" s="1370"/>
      <c r="O695" s="1370"/>
      <c r="P695" s="1370"/>
      <c r="Q695" s="1370"/>
      <c r="R695" s="1370"/>
      <c r="S695" s="1370"/>
      <c r="T695" s="1593">
        <f>(H695+K695+L695+R695)*22.5%</f>
        <v>0</v>
      </c>
      <c r="U695" s="1562">
        <f>V695+W695+AH695</f>
        <v>0</v>
      </c>
      <c r="V695" s="1562">
        <f>(H695/1.39)*1.49</f>
        <v>0</v>
      </c>
      <c r="W695" s="1562">
        <f>SUM(X695:AG695)</f>
        <v>0</v>
      </c>
      <c r="X695" s="1562">
        <f>(J695/1.39)*1.49</f>
        <v>0</v>
      </c>
      <c r="Y695" s="1562">
        <f t="shared" ref="Y695:AG695" si="684">(K695/1.39)*1.49</f>
        <v>0</v>
      </c>
      <c r="Z695" s="1562">
        <f t="shared" si="684"/>
        <v>0</v>
      </c>
      <c r="AA695" s="1562">
        <f t="shared" si="684"/>
        <v>0</v>
      </c>
      <c r="AB695" s="1562">
        <f t="shared" si="684"/>
        <v>0</v>
      </c>
      <c r="AC695" s="1562">
        <f t="shared" si="684"/>
        <v>0</v>
      </c>
      <c r="AD695" s="1562">
        <f t="shared" si="684"/>
        <v>0</v>
      </c>
      <c r="AE695" s="1562">
        <f t="shared" si="684"/>
        <v>0</v>
      </c>
      <c r="AF695" s="1562">
        <f t="shared" si="684"/>
        <v>0</v>
      </c>
      <c r="AG695" s="1562">
        <f t="shared" si="684"/>
        <v>0</v>
      </c>
      <c r="AH695" s="1568">
        <f>(V695+Y695+Z695+AF695)*22.5%</f>
        <v>0</v>
      </c>
      <c r="AI695" s="1563">
        <f>U695-G695</f>
        <v>0</v>
      </c>
      <c r="AJ695" s="1563">
        <f>AI695*6</f>
        <v>0</v>
      </c>
      <c r="AL695" s="561"/>
      <c r="AM695" s="1526"/>
      <c r="AN695" s="1526"/>
      <c r="AO695" s="1526"/>
      <c r="AP695" s="1526"/>
      <c r="AQ695" s="1526"/>
      <c r="AR695" s="1526"/>
      <c r="AS695" s="1526"/>
      <c r="AT695" s="1526"/>
      <c r="AU695" s="1526"/>
      <c r="AV695" s="1526"/>
      <c r="AW695" s="1526"/>
      <c r="AX695" s="1526"/>
      <c r="AY695" s="1526"/>
      <c r="AZ695" s="1526"/>
      <c r="BA695" s="1526"/>
      <c r="BB695" s="1526"/>
      <c r="BC695" s="1526"/>
      <c r="BD695" s="1526"/>
      <c r="BE695" s="1526"/>
      <c r="BF695" s="1526"/>
      <c r="BG695" s="1526"/>
      <c r="BH695" s="1526"/>
    </row>
    <row r="696" spans="1:60" s="1525" customFormat="1">
      <c r="A696" s="1516" t="s">
        <v>14</v>
      </c>
      <c r="B696" s="1517" t="s">
        <v>2542</v>
      </c>
      <c r="C696" s="1564">
        <f>SUM(C697:C699)</f>
        <v>0</v>
      </c>
      <c r="D696" s="1564"/>
      <c r="E696" s="1564"/>
      <c r="F696" s="1564">
        <f t="shared" ref="F696:AJ696" si="685">SUM(F697:F699)</f>
        <v>0</v>
      </c>
      <c r="G696" s="1564">
        <f t="shared" si="685"/>
        <v>0</v>
      </c>
      <c r="H696" s="1564">
        <f t="shared" si="685"/>
        <v>0</v>
      </c>
      <c r="I696" s="1564">
        <f t="shared" si="685"/>
        <v>0</v>
      </c>
      <c r="J696" s="1564">
        <f t="shared" si="685"/>
        <v>0</v>
      </c>
      <c r="K696" s="1564">
        <f t="shared" si="685"/>
        <v>0</v>
      </c>
      <c r="L696" s="1564">
        <f t="shared" si="685"/>
        <v>0</v>
      </c>
      <c r="M696" s="1564">
        <f t="shared" si="685"/>
        <v>0</v>
      </c>
      <c r="N696" s="1564">
        <f t="shared" si="685"/>
        <v>0</v>
      </c>
      <c r="O696" s="1564">
        <f t="shared" si="685"/>
        <v>0</v>
      </c>
      <c r="P696" s="1564">
        <f t="shared" si="685"/>
        <v>0</v>
      </c>
      <c r="Q696" s="1564">
        <f t="shared" si="685"/>
        <v>0</v>
      </c>
      <c r="R696" s="1564">
        <f t="shared" si="685"/>
        <v>0</v>
      </c>
      <c r="S696" s="1564">
        <f t="shared" si="685"/>
        <v>0</v>
      </c>
      <c r="T696" s="1564">
        <f t="shared" si="685"/>
        <v>0</v>
      </c>
      <c r="U696" s="1563">
        <f t="shared" si="685"/>
        <v>0</v>
      </c>
      <c r="V696" s="1563">
        <f t="shared" si="685"/>
        <v>0</v>
      </c>
      <c r="W696" s="1563">
        <f t="shared" si="685"/>
        <v>0</v>
      </c>
      <c r="X696" s="1563">
        <f t="shared" si="685"/>
        <v>0</v>
      </c>
      <c r="Y696" s="1563">
        <f t="shared" si="685"/>
        <v>0</v>
      </c>
      <c r="Z696" s="1563">
        <f t="shared" si="685"/>
        <v>0</v>
      </c>
      <c r="AA696" s="1563">
        <f t="shared" si="685"/>
        <v>0</v>
      </c>
      <c r="AB696" s="1563">
        <f t="shared" si="685"/>
        <v>0</v>
      </c>
      <c r="AC696" s="1563">
        <f t="shared" si="685"/>
        <v>0</v>
      </c>
      <c r="AD696" s="1563">
        <f t="shared" si="685"/>
        <v>0</v>
      </c>
      <c r="AE696" s="1563">
        <f t="shared" si="685"/>
        <v>0</v>
      </c>
      <c r="AF696" s="1563">
        <f t="shared" si="685"/>
        <v>0</v>
      </c>
      <c r="AG696" s="1563">
        <f t="shared" si="685"/>
        <v>0</v>
      </c>
      <c r="AH696" s="1563">
        <f t="shared" si="685"/>
        <v>0</v>
      </c>
      <c r="AI696" s="1563">
        <f t="shared" si="685"/>
        <v>0</v>
      </c>
      <c r="AJ696" s="1563">
        <f t="shared" si="685"/>
        <v>0</v>
      </c>
      <c r="AL696" s="561"/>
      <c r="AM696" s="1526"/>
      <c r="AN696" s="1526"/>
      <c r="AO696" s="1526"/>
      <c r="AP696" s="1526"/>
      <c r="AQ696" s="1526"/>
      <c r="AR696" s="1526"/>
      <c r="AS696" s="1526"/>
      <c r="AT696" s="1526"/>
      <c r="AU696" s="1526"/>
      <c r="AV696" s="1526"/>
      <c r="AW696" s="1526"/>
      <c r="AX696" s="1526"/>
      <c r="AY696" s="1526"/>
      <c r="AZ696" s="1526"/>
      <c r="BA696" s="1526"/>
      <c r="BB696" s="1526"/>
      <c r="BC696" s="1526"/>
      <c r="BD696" s="1526"/>
      <c r="BE696" s="1526"/>
      <c r="BF696" s="1526"/>
      <c r="BG696" s="1526"/>
      <c r="BH696" s="1526"/>
    </row>
    <row r="697" spans="1:60" s="1525" customFormat="1">
      <c r="A697" s="1499"/>
      <c r="B697" s="1520" t="s">
        <v>2543</v>
      </c>
      <c r="C697" s="1368"/>
      <c r="D697" s="1368"/>
      <c r="E697" s="1368"/>
      <c r="F697" s="1368"/>
      <c r="G697" s="1557">
        <f>H697+I697+T697</f>
        <v>0</v>
      </c>
      <c r="H697" s="577"/>
      <c r="I697" s="1557">
        <f>SUM(J697:S697)</f>
        <v>0</v>
      </c>
      <c r="J697" s="577"/>
      <c r="K697" s="577"/>
      <c r="L697" s="577"/>
      <c r="M697" s="577"/>
      <c r="N697" s="577"/>
      <c r="O697" s="577"/>
      <c r="P697" s="577"/>
      <c r="Q697" s="577"/>
      <c r="R697" s="577"/>
      <c r="S697" s="578">
        <f>F697*0.5*1.3</f>
        <v>0</v>
      </c>
      <c r="T697" s="1565"/>
      <c r="U697" s="1559">
        <f>V697+W697+AH697</f>
        <v>0</v>
      </c>
      <c r="V697" s="1566"/>
      <c r="W697" s="1559">
        <f>SUM(X697:AG697)</f>
        <v>0</v>
      </c>
      <c r="X697" s="1566"/>
      <c r="Y697" s="1566"/>
      <c r="Z697" s="1566"/>
      <c r="AA697" s="1566"/>
      <c r="AB697" s="1566"/>
      <c r="AC697" s="1566"/>
      <c r="AD697" s="1566"/>
      <c r="AE697" s="1566"/>
      <c r="AF697" s="1566"/>
      <c r="AG697" s="1554">
        <f t="shared" ref="AG697:AG703" si="686">(S697/1.39)*1.49</f>
        <v>0</v>
      </c>
      <c r="AH697" s="1566"/>
      <c r="AI697" s="1561">
        <f>U697-G697</f>
        <v>0</v>
      </c>
      <c r="AJ697" s="1561">
        <f>AI697*6</f>
        <v>0</v>
      </c>
      <c r="AL697" s="561"/>
      <c r="AM697" s="1526"/>
      <c r="AN697" s="1526"/>
      <c r="AO697" s="1526"/>
      <c r="AP697" s="1526"/>
      <c r="AQ697" s="1526"/>
      <c r="AR697" s="1526"/>
      <c r="AS697" s="1526"/>
      <c r="AT697" s="1526"/>
      <c r="AU697" s="1526"/>
      <c r="AV697" s="1526"/>
      <c r="AW697" s="1526"/>
      <c r="AX697" s="1526"/>
      <c r="AY697" s="1526"/>
      <c r="AZ697" s="1526"/>
      <c r="BA697" s="1526"/>
      <c r="BB697" s="1526"/>
      <c r="BC697" s="1526"/>
      <c r="BD697" s="1526"/>
      <c r="BE697" s="1526"/>
      <c r="BF697" s="1526"/>
      <c r="BG697" s="1526"/>
      <c r="BH697" s="1526"/>
    </row>
    <row r="698" spans="1:60" s="1525" customFormat="1">
      <c r="A698" s="1499"/>
      <c r="B698" s="1520" t="s">
        <v>2544</v>
      </c>
      <c r="C698" s="1368"/>
      <c r="D698" s="1368"/>
      <c r="E698" s="1368"/>
      <c r="F698" s="1368"/>
      <c r="G698" s="1557">
        <f>H698+I698+T698</f>
        <v>0</v>
      </c>
      <c r="H698" s="577"/>
      <c r="I698" s="1557">
        <f>SUM(J698:S698)</f>
        <v>0</v>
      </c>
      <c r="J698" s="577"/>
      <c r="K698" s="577"/>
      <c r="L698" s="577"/>
      <c r="M698" s="577"/>
      <c r="N698" s="577"/>
      <c r="O698" s="577"/>
      <c r="P698" s="577"/>
      <c r="Q698" s="577"/>
      <c r="R698" s="577"/>
      <c r="S698" s="1368">
        <f>F698*0.4*1.3</f>
        <v>0</v>
      </c>
      <c r="T698" s="1565"/>
      <c r="U698" s="1559">
        <f>V698+W698+AH698</f>
        <v>0</v>
      </c>
      <c r="V698" s="1566"/>
      <c r="W698" s="1559">
        <f>SUM(X698:AG698)</f>
        <v>0</v>
      </c>
      <c r="X698" s="1566"/>
      <c r="Y698" s="1566"/>
      <c r="Z698" s="1566"/>
      <c r="AA698" s="1566"/>
      <c r="AB698" s="1566"/>
      <c r="AC698" s="1566"/>
      <c r="AD698" s="1566"/>
      <c r="AE698" s="1566"/>
      <c r="AF698" s="1566"/>
      <c r="AG698" s="1554">
        <f t="shared" si="686"/>
        <v>0</v>
      </c>
      <c r="AH698" s="1566"/>
      <c r="AI698" s="1561">
        <f>U698-G698</f>
        <v>0</v>
      </c>
      <c r="AJ698" s="1561">
        <f>AI698*6</f>
        <v>0</v>
      </c>
      <c r="AL698" s="561"/>
      <c r="AM698" s="1526"/>
      <c r="AN698" s="1526"/>
      <c r="AO698" s="1526"/>
      <c r="AP698" s="1526"/>
      <c r="AQ698" s="1526"/>
      <c r="AR698" s="1526"/>
      <c r="AS698" s="1526"/>
      <c r="AT698" s="1526"/>
      <c r="AU698" s="1526"/>
      <c r="AV698" s="1526"/>
      <c r="AW698" s="1526"/>
      <c r="AX698" s="1526"/>
      <c r="AY698" s="1526"/>
      <c r="AZ698" s="1526"/>
      <c r="BA698" s="1526"/>
      <c r="BB698" s="1526"/>
      <c r="BC698" s="1526"/>
      <c r="BD698" s="1526"/>
      <c r="BE698" s="1526"/>
      <c r="BF698" s="1526"/>
      <c r="BG698" s="1526"/>
      <c r="BH698" s="1526"/>
    </row>
    <row r="699" spans="1:60" s="1525" customFormat="1">
      <c r="A699" s="1499"/>
      <c r="B699" s="1520" t="s">
        <v>2545</v>
      </c>
      <c r="C699" s="1368"/>
      <c r="D699" s="1368"/>
      <c r="E699" s="1368"/>
      <c r="F699" s="1368"/>
      <c r="G699" s="1557">
        <f>H699+I699+T699</f>
        <v>0</v>
      </c>
      <c r="H699" s="577"/>
      <c r="I699" s="1557">
        <f>SUM(J699:S699)</f>
        <v>0</v>
      </c>
      <c r="J699" s="577"/>
      <c r="K699" s="577"/>
      <c r="L699" s="577"/>
      <c r="M699" s="577"/>
      <c r="N699" s="577"/>
      <c r="O699" s="577"/>
      <c r="P699" s="577"/>
      <c r="Q699" s="577"/>
      <c r="R699" s="577"/>
      <c r="S699" s="1368">
        <f>F699*0.3*1.3</f>
        <v>0</v>
      </c>
      <c r="T699" s="1565"/>
      <c r="U699" s="1559">
        <f>V699+W699+AH699</f>
        <v>0</v>
      </c>
      <c r="V699" s="1566"/>
      <c r="W699" s="1559">
        <f>SUM(X699:AG699)</f>
        <v>0</v>
      </c>
      <c r="X699" s="1566"/>
      <c r="Y699" s="1566"/>
      <c r="Z699" s="1566"/>
      <c r="AA699" s="1566"/>
      <c r="AB699" s="1566"/>
      <c r="AC699" s="1566"/>
      <c r="AD699" s="1566"/>
      <c r="AE699" s="1566"/>
      <c r="AF699" s="1566"/>
      <c r="AG699" s="1554">
        <f t="shared" si="686"/>
        <v>0</v>
      </c>
      <c r="AH699" s="1566"/>
      <c r="AI699" s="1561">
        <f>U699-G699</f>
        <v>0</v>
      </c>
      <c r="AJ699" s="1561">
        <f>AI699*6</f>
        <v>0</v>
      </c>
      <c r="AL699" s="561"/>
      <c r="AM699" s="1526"/>
      <c r="AN699" s="1526"/>
      <c r="AO699" s="1526"/>
      <c r="AP699" s="1526"/>
      <c r="AQ699" s="1526"/>
      <c r="AR699" s="1526"/>
      <c r="AS699" s="1526"/>
      <c r="AT699" s="1526"/>
      <c r="AU699" s="1526"/>
      <c r="AV699" s="1526"/>
      <c r="AW699" s="1526"/>
      <c r="AX699" s="1526"/>
      <c r="AY699" s="1526"/>
      <c r="AZ699" s="1526"/>
      <c r="BA699" s="1526"/>
      <c r="BB699" s="1526"/>
      <c r="BC699" s="1526"/>
      <c r="BD699" s="1526"/>
      <c r="BE699" s="1526"/>
      <c r="BF699" s="1526"/>
      <c r="BG699" s="1526"/>
      <c r="BH699" s="1526"/>
    </row>
    <row r="700" spans="1:60" s="1525" customFormat="1">
      <c r="A700" s="1516" t="s">
        <v>18</v>
      </c>
      <c r="B700" s="1517" t="s">
        <v>2546</v>
      </c>
      <c r="C700" s="1564">
        <f>SUM(C701:C703)</f>
        <v>0</v>
      </c>
      <c r="D700" s="1564"/>
      <c r="E700" s="1564"/>
      <c r="F700" s="1564">
        <f t="shared" ref="F700:AJ700" si="687">SUM(F701:F703)</f>
        <v>0</v>
      </c>
      <c r="G700" s="1564">
        <f t="shared" si="687"/>
        <v>0</v>
      </c>
      <c r="H700" s="1564">
        <f t="shared" si="687"/>
        <v>0</v>
      </c>
      <c r="I700" s="1564">
        <f t="shared" si="687"/>
        <v>0</v>
      </c>
      <c r="J700" s="1564">
        <f t="shared" si="687"/>
        <v>0</v>
      </c>
      <c r="K700" s="1564">
        <f t="shared" si="687"/>
        <v>0</v>
      </c>
      <c r="L700" s="1564">
        <f t="shared" si="687"/>
        <v>0</v>
      </c>
      <c r="M700" s="1564">
        <f t="shared" si="687"/>
        <v>0</v>
      </c>
      <c r="N700" s="1564">
        <f t="shared" si="687"/>
        <v>0</v>
      </c>
      <c r="O700" s="1564">
        <f t="shared" si="687"/>
        <v>0</v>
      </c>
      <c r="P700" s="1564">
        <f t="shared" si="687"/>
        <v>0</v>
      </c>
      <c r="Q700" s="1564">
        <f t="shared" si="687"/>
        <v>0</v>
      </c>
      <c r="R700" s="1564">
        <f t="shared" si="687"/>
        <v>0</v>
      </c>
      <c r="S700" s="1564">
        <f t="shared" si="687"/>
        <v>0</v>
      </c>
      <c r="T700" s="1564">
        <f t="shared" si="687"/>
        <v>0</v>
      </c>
      <c r="U700" s="1563">
        <f t="shared" si="687"/>
        <v>0</v>
      </c>
      <c r="V700" s="1563">
        <f t="shared" si="687"/>
        <v>0</v>
      </c>
      <c r="W700" s="1563">
        <f t="shared" si="687"/>
        <v>0</v>
      </c>
      <c r="X700" s="1563">
        <f t="shared" si="687"/>
        <v>0</v>
      </c>
      <c r="Y700" s="1563">
        <f t="shared" si="687"/>
        <v>0</v>
      </c>
      <c r="Z700" s="1563">
        <f t="shared" si="687"/>
        <v>0</v>
      </c>
      <c r="AA700" s="1563">
        <f t="shared" si="687"/>
        <v>0</v>
      </c>
      <c r="AB700" s="1563">
        <f t="shared" si="687"/>
        <v>0</v>
      </c>
      <c r="AC700" s="1563">
        <f t="shared" si="687"/>
        <v>0</v>
      </c>
      <c r="AD700" s="1563">
        <f t="shared" si="687"/>
        <v>0</v>
      </c>
      <c r="AE700" s="1563">
        <f t="shared" si="687"/>
        <v>0</v>
      </c>
      <c r="AF700" s="1563">
        <f t="shared" si="687"/>
        <v>0</v>
      </c>
      <c r="AG700" s="1563">
        <f t="shared" si="687"/>
        <v>0</v>
      </c>
      <c r="AH700" s="1563">
        <f t="shared" si="687"/>
        <v>0</v>
      </c>
      <c r="AI700" s="1563">
        <f t="shared" si="687"/>
        <v>0</v>
      </c>
      <c r="AJ700" s="1563">
        <f t="shared" si="687"/>
        <v>0</v>
      </c>
      <c r="AL700" s="561"/>
      <c r="AM700" s="1526"/>
      <c r="AN700" s="1526"/>
      <c r="AO700" s="1526"/>
      <c r="AP700" s="1526"/>
      <c r="AQ700" s="1526"/>
      <c r="AR700" s="1526"/>
      <c r="AS700" s="1526"/>
      <c r="AT700" s="1526"/>
      <c r="AU700" s="1526"/>
      <c r="AV700" s="1526"/>
      <c r="AW700" s="1526"/>
      <c r="AX700" s="1526"/>
      <c r="AY700" s="1526"/>
      <c r="AZ700" s="1526"/>
      <c r="BA700" s="1526"/>
      <c r="BB700" s="1526"/>
      <c r="BC700" s="1526"/>
      <c r="BD700" s="1526"/>
      <c r="BE700" s="1526"/>
      <c r="BF700" s="1526"/>
      <c r="BG700" s="1526"/>
      <c r="BH700" s="1526"/>
    </row>
    <row r="701" spans="1:60" s="1525" customFormat="1">
      <c r="A701" s="1499"/>
      <c r="B701" s="1520" t="s">
        <v>2547</v>
      </c>
      <c r="C701" s="1368"/>
      <c r="D701" s="1368"/>
      <c r="E701" s="1368"/>
      <c r="F701" s="1368"/>
      <c r="G701" s="1557">
        <f>H701+I701+T701</f>
        <v>0</v>
      </c>
      <c r="H701" s="577"/>
      <c r="I701" s="1557">
        <f>SUM(J701:S701)</f>
        <v>0</v>
      </c>
      <c r="J701" s="577"/>
      <c r="K701" s="577"/>
      <c r="L701" s="577"/>
      <c r="M701" s="577"/>
      <c r="N701" s="577"/>
      <c r="O701" s="577"/>
      <c r="P701" s="577"/>
      <c r="Q701" s="577"/>
      <c r="R701" s="577"/>
      <c r="S701" s="1368">
        <f>F701*0.5*1.3</f>
        <v>0</v>
      </c>
      <c r="T701" s="1565"/>
      <c r="U701" s="1559">
        <f>V701+W701+AH701</f>
        <v>0</v>
      </c>
      <c r="V701" s="1566"/>
      <c r="W701" s="1559">
        <f>SUM(X701:AG701)</f>
        <v>0</v>
      </c>
      <c r="X701" s="1566"/>
      <c r="Y701" s="1566"/>
      <c r="Z701" s="1566"/>
      <c r="AA701" s="1566"/>
      <c r="AB701" s="1566"/>
      <c r="AC701" s="1566"/>
      <c r="AD701" s="1566"/>
      <c r="AE701" s="1566"/>
      <c r="AF701" s="1566"/>
      <c r="AG701" s="1554">
        <f t="shared" si="686"/>
        <v>0</v>
      </c>
      <c r="AH701" s="1566"/>
      <c r="AI701" s="1561">
        <f>U701-G701</f>
        <v>0</v>
      </c>
      <c r="AJ701" s="1561">
        <f>AI701*6</f>
        <v>0</v>
      </c>
      <c r="AL701" s="561"/>
      <c r="AM701" s="1526"/>
      <c r="AN701" s="1526"/>
      <c r="AO701" s="1526"/>
      <c r="AP701" s="1526"/>
      <c r="AQ701" s="1526"/>
      <c r="AR701" s="1526"/>
      <c r="AS701" s="1526"/>
      <c r="AT701" s="1526"/>
      <c r="AU701" s="1526"/>
      <c r="AV701" s="1526"/>
      <c r="AW701" s="1526"/>
      <c r="AX701" s="1526"/>
      <c r="AY701" s="1526"/>
      <c r="AZ701" s="1526"/>
      <c r="BA701" s="1526"/>
      <c r="BB701" s="1526"/>
      <c r="BC701" s="1526"/>
      <c r="BD701" s="1526"/>
      <c r="BE701" s="1526"/>
      <c r="BF701" s="1526"/>
      <c r="BG701" s="1526"/>
      <c r="BH701" s="1526"/>
    </row>
    <row r="702" spans="1:60" s="1525" customFormat="1">
      <c r="A702" s="1499"/>
      <c r="B702" s="1520" t="s">
        <v>2548</v>
      </c>
      <c r="C702" s="1368"/>
      <c r="D702" s="1368"/>
      <c r="E702" s="1368"/>
      <c r="F702" s="1368"/>
      <c r="G702" s="1557">
        <f>H702+I702+T702</f>
        <v>0</v>
      </c>
      <c r="H702" s="577"/>
      <c r="I702" s="1557">
        <f>SUM(J702:S702)</f>
        <v>0</v>
      </c>
      <c r="J702" s="577"/>
      <c r="K702" s="577"/>
      <c r="L702" s="577"/>
      <c r="M702" s="577"/>
      <c r="N702" s="577"/>
      <c r="O702" s="577"/>
      <c r="P702" s="577"/>
      <c r="Q702" s="577"/>
      <c r="R702" s="577"/>
      <c r="S702" s="1368">
        <f>F702*0.4*1.3</f>
        <v>0</v>
      </c>
      <c r="T702" s="1565"/>
      <c r="U702" s="1559">
        <f>V702+W702+AH702</f>
        <v>0</v>
      </c>
      <c r="V702" s="1566"/>
      <c r="W702" s="1559">
        <f>SUM(X702:AG702)</f>
        <v>0</v>
      </c>
      <c r="X702" s="1566"/>
      <c r="Y702" s="1566"/>
      <c r="Z702" s="1566"/>
      <c r="AA702" s="1566"/>
      <c r="AB702" s="1566"/>
      <c r="AC702" s="1566"/>
      <c r="AD702" s="1566"/>
      <c r="AE702" s="1566"/>
      <c r="AF702" s="1566"/>
      <c r="AG702" s="1554">
        <f t="shared" si="686"/>
        <v>0</v>
      </c>
      <c r="AH702" s="1566"/>
      <c r="AI702" s="1561">
        <f>U702-G702</f>
        <v>0</v>
      </c>
      <c r="AJ702" s="1561">
        <f>AI702*6</f>
        <v>0</v>
      </c>
      <c r="AL702" s="561"/>
      <c r="AM702" s="1526"/>
      <c r="AN702" s="1526"/>
      <c r="AO702" s="1526"/>
      <c r="AP702" s="1526"/>
      <c r="AQ702" s="1526"/>
      <c r="AR702" s="1526"/>
      <c r="AS702" s="1526"/>
      <c r="AT702" s="1526"/>
      <c r="AU702" s="1526"/>
      <c r="AV702" s="1526"/>
      <c r="AW702" s="1526"/>
      <c r="AX702" s="1526"/>
      <c r="AY702" s="1526"/>
      <c r="AZ702" s="1526"/>
      <c r="BA702" s="1526"/>
      <c r="BB702" s="1526"/>
      <c r="BC702" s="1526"/>
      <c r="BD702" s="1526"/>
      <c r="BE702" s="1526"/>
      <c r="BF702" s="1526"/>
      <c r="BG702" s="1526"/>
      <c r="BH702" s="1526"/>
    </row>
    <row r="703" spans="1:60" s="1525" customFormat="1">
      <c r="A703" s="1499"/>
      <c r="B703" s="1520" t="s">
        <v>2549</v>
      </c>
      <c r="C703" s="1368"/>
      <c r="D703" s="1368"/>
      <c r="E703" s="1368"/>
      <c r="F703" s="1368"/>
      <c r="G703" s="1557">
        <f>H703+I703+T703</f>
        <v>0</v>
      </c>
      <c r="H703" s="577"/>
      <c r="I703" s="1557">
        <f>SUM(J703:S703)</f>
        <v>0</v>
      </c>
      <c r="J703" s="577"/>
      <c r="K703" s="577"/>
      <c r="L703" s="577"/>
      <c r="M703" s="577"/>
      <c r="N703" s="577"/>
      <c r="O703" s="577"/>
      <c r="P703" s="577"/>
      <c r="Q703" s="577"/>
      <c r="R703" s="577"/>
      <c r="S703" s="1368">
        <f>F703*0.3*1.3</f>
        <v>0</v>
      </c>
      <c r="T703" s="1565"/>
      <c r="U703" s="1559">
        <f>V703+W703+AH703</f>
        <v>0</v>
      </c>
      <c r="V703" s="1566"/>
      <c r="W703" s="1559">
        <f>SUM(X703:AG703)</f>
        <v>0</v>
      </c>
      <c r="X703" s="1566"/>
      <c r="Y703" s="1566"/>
      <c r="Z703" s="1566"/>
      <c r="AA703" s="1566"/>
      <c r="AB703" s="1566"/>
      <c r="AC703" s="1566"/>
      <c r="AD703" s="1566"/>
      <c r="AE703" s="1566"/>
      <c r="AF703" s="1566"/>
      <c r="AG703" s="1554">
        <f t="shared" si="686"/>
        <v>0</v>
      </c>
      <c r="AH703" s="1566"/>
      <c r="AI703" s="1561">
        <f>U703-G703</f>
        <v>0</v>
      </c>
      <c r="AJ703" s="1561">
        <f>AI703*6</f>
        <v>0</v>
      </c>
      <c r="AL703" s="561"/>
      <c r="AM703" s="1526"/>
      <c r="AN703" s="1526"/>
      <c r="AO703" s="1526"/>
      <c r="AP703" s="1526"/>
      <c r="AQ703" s="1526"/>
      <c r="AR703" s="1526"/>
      <c r="AS703" s="1526"/>
      <c r="AT703" s="1526"/>
      <c r="AU703" s="1526"/>
      <c r="AV703" s="1526"/>
      <c r="AW703" s="1526"/>
      <c r="AX703" s="1526"/>
      <c r="AY703" s="1526"/>
      <c r="AZ703" s="1526"/>
      <c r="BA703" s="1526"/>
      <c r="BB703" s="1526"/>
      <c r="BC703" s="1526"/>
      <c r="BD703" s="1526"/>
      <c r="BE703" s="1526"/>
      <c r="BF703" s="1526"/>
      <c r="BG703" s="1526"/>
      <c r="BH703" s="1526"/>
    </row>
    <row r="704" spans="1:60" s="1525" customFormat="1">
      <c r="A704" s="558"/>
      <c r="B704" s="1584" t="s">
        <v>2497</v>
      </c>
      <c r="C704" s="1568">
        <f>C705+C725+C726+C730</f>
        <v>0</v>
      </c>
      <c r="D704" s="1568"/>
      <c r="E704" s="1568"/>
      <c r="F704" s="1568">
        <f t="shared" ref="F704:AJ704" si="688">F705+F725+F726+F730</f>
        <v>0</v>
      </c>
      <c r="G704" s="1568">
        <f t="shared" si="688"/>
        <v>0</v>
      </c>
      <c r="H704" s="1568">
        <f t="shared" si="688"/>
        <v>0</v>
      </c>
      <c r="I704" s="1568">
        <f t="shared" si="688"/>
        <v>0</v>
      </c>
      <c r="J704" s="1568">
        <f t="shared" si="688"/>
        <v>0</v>
      </c>
      <c r="K704" s="1568">
        <f t="shared" si="688"/>
        <v>0</v>
      </c>
      <c r="L704" s="1568">
        <f t="shared" si="688"/>
        <v>0</v>
      </c>
      <c r="M704" s="1568">
        <f t="shared" si="688"/>
        <v>0</v>
      </c>
      <c r="N704" s="1568">
        <f t="shared" si="688"/>
        <v>0</v>
      </c>
      <c r="O704" s="1568">
        <f t="shared" si="688"/>
        <v>0</v>
      </c>
      <c r="P704" s="1568">
        <f t="shared" si="688"/>
        <v>0</v>
      </c>
      <c r="Q704" s="1568">
        <f t="shared" si="688"/>
        <v>0</v>
      </c>
      <c r="R704" s="1568">
        <f t="shared" si="688"/>
        <v>0</v>
      </c>
      <c r="S704" s="1568">
        <f t="shared" si="688"/>
        <v>0</v>
      </c>
      <c r="T704" s="1568">
        <f t="shared" si="688"/>
        <v>0</v>
      </c>
      <c r="U704" s="1568">
        <f t="shared" si="688"/>
        <v>0</v>
      </c>
      <c r="V704" s="1568">
        <f t="shared" si="688"/>
        <v>0</v>
      </c>
      <c r="W704" s="1568">
        <f t="shared" si="688"/>
        <v>0</v>
      </c>
      <c r="X704" s="1568">
        <f t="shared" si="688"/>
        <v>0</v>
      </c>
      <c r="Y704" s="1568">
        <f t="shared" si="688"/>
        <v>0</v>
      </c>
      <c r="Z704" s="1568">
        <f t="shared" si="688"/>
        <v>0</v>
      </c>
      <c r="AA704" s="1568">
        <f t="shared" si="688"/>
        <v>0</v>
      </c>
      <c r="AB704" s="1568">
        <f t="shared" si="688"/>
        <v>0</v>
      </c>
      <c r="AC704" s="1568">
        <f t="shared" si="688"/>
        <v>0</v>
      </c>
      <c r="AD704" s="1568">
        <f t="shared" si="688"/>
        <v>0</v>
      </c>
      <c r="AE704" s="1568">
        <f t="shared" si="688"/>
        <v>0</v>
      </c>
      <c r="AF704" s="1568">
        <f t="shared" si="688"/>
        <v>0</v>
      </c>
      <c r="AG704" s="1568">
        <f t="shared" si="688"/>
        <v>0</v>
      </c>
      <c r="AH704" s="1568">
        <f t="shared" si="688"/>
        <v>0</v>
      </c>
      <c r="AI704" s="1568">
        <f t="shared" si="688"/>
        <v>0</v>
      </c>
      <c r="AJ704" s="1568">
        <f t="shared" si="688"/>
        <v>0</v>
      </c>
      <c r="AL704" s="561"/>
      <c r="AM704" s="1526"/>
      <c r="AN704" s="1526"/>
      <c r="AO704" s="1526"/>
      <c r="AP704" s="1526"/>
      <c r="AQ704" s="1526"/>
      <c r="AR704" s="1526"/>
      <c r="AS704" s="1526"/>
      <c r="AT704" s="1526"/>
      <c r="AU704" s="1526"/>
      <c r="AV704" s="1526"/>
      <c r="AW704" s="1526"/>
      <c r="AX704" s="1526"/>
      <c r="AY704" s="1526"/>
      <c r="AZ704" s="1526"/>
      <c r="BA704" s="1526"/>
      <c r="BB704" s="1526"/>
      <c r="BC704" s="1526"/>
      <c r="BD704" s="1526"/>
      <c r="BE704" s="1526"/>
      <c r="BF704" s="1526"/>
      <c r="BG704" s="1526"/>
      <c r="BH704" s="1526"/>
    </row>
    <row r="705" spans="1:60" s="1525" customFormat="1">
      <c r="A705" s="1433" t="s">
        <v>13</v>
      </c>
      <c r="B705" s="1585" t="s">
        <v>2528</v>
      </c>
      <c r="C705" s="1438">
        <f>C707+C712+C714+C715+C716+C717+C718+C719+C720+C721</f>
        <v>0</v>
      </c>
      <c r="D705" s="1438"/>
      <c r="E705" s="1438"/>
      <c r="F705" s="1438">
        <f t="shared" ref="F705:AH705" si="689">F707+F712+F714+F715+F716+F717+F718+F719+F720+F721</f>
        <v>0</v>
      </c>
      <c r="G705" s="1438">
        <f t="shared" si="689"/>
        <v>0</v>
      </c>
      <c r="H705" s="1438">
        <f t="shared" si="689"/>
        <v>0</v>
      </c>
      <c r="I705" s="1438">
        <f t="shared" si="689"/>
        <v>0</v>
      </c>
      <c r="J705" s="1438">
        <f t="shared" si="689"/>
        <v>0</v>
      </c>
      <c r="K705" s="1438">
        <f t="shared" si="689"/>
        <v>0</v>
      </c>
      <c r="L705" s="1438">
        <f t="shared" si="689"/>
        <v>0</v>
      </c>
      <c r="M705" s="1438">
        <f t="shared" si="689"/>
        <v>0</v>
      </c>
      <c r="N705" s="1438">
        <f t="shared" si="689"/>
        <v>0</v>
      </c>
      <c r="O705" s="1438">
        <f t="shared" si="689"/>
        <v>0</v>
      </c>
      <c r="P705" s="1438">
        <f t="shared" si="689"/>
        <v>0</v>
      </c>
      <c r="Q705" s="1438">
        <f t="shared" si="689"/>
        <v>0</v>
      </c>
      <c r="R705" s="1438">
        <f t="shared" si="689"/>
        <v>0</v>
      </c>
      <c r="S705" s="1438">
        <f t="shared" si="689"/>
        <v>0</v>
      </c>
      <c r="T705" s="1438">
        <f t="shared" si="689"/>
        <v>0</v>
      </c>
      <c r="U705" s="1438">
        <f t="shared" si="689"/>
        <v>0</v>
      </c>
      <c r="V705" s="1438">
        <f t="shared" si="689"/>
        <v>0</v>
      </c>
      <c r="W705" s="1438">
        <f t="shared" si="689"/>
        <v>0</v>
      </c>
      <c r="X705" s="1438">
        <f t="shared" si="689"/>
        <v>0</v>
      </c>
      <c r="Y705" s="1438">
        <f t="shared" si="689"/>
        <v>0</v>
      </c>
      <c r="Z705" s="1438">
        <f t="shared" si="689"/>
        <v>0</v>
      </c>
      <c r="AA705" s="1438">
        <f t="shared" si="689"/>
        <v>0</v>
      </c>
      <c r="AB705" s="1438">
        <f t="shared" si="689"/>
        <v>0</v>
      </c>
      <c r="AC705" s="1438">
        <f t="shared" si="689"/>
        <v>0</v>
      </c>
      <c r="AD705" s="1438">
        <f t="shared" si="689"/>
        <v>0</v>
      </c>
      <c r="AE705" s="1438">
        <f t="shared" si="689"/>
        <v>0</v>
      </c>
      <c r="AF705" s="1438">
        <f t="shared" si="689"/>
        <v>0</v>
      </c>
      <c r="AG705" s="1438">
        <f t="shared" si="689"/>
        <v>0</v>
      </c>
      <c r="AH705" s="1438">
        <f t="shared" si="689"/>
        <v>0</v>
      </c>
      <c r="AI705" s="1438">
        <f>AI707+AI712+AI714+AI715+AI716+AI717+AI718+AI719+AI720+AI721</f>
        <v>0</v>
      </c>
      <c r="AJ705" s="1438">
        <f>AJ707+AJ712+AJ714+AJ715+AJ716+AJ717+AJ718+AJ719+AJ720+AJ721</f>
        <v>0</v>
      </c>
      <c r="AL705" s="561"/>
      <c r="AM705" s="1526"/>
      <c r="AN705" s="1526"/>
      <c r="AO705" s="1526"/>
      <c r="AP705" s="1526"/>
      <c r="AQ705" s="1526"/>
      <c r="AR705" s="1526"/>
      <c r="AS705" s="1526"/>
      <c r="AT705" s="1526"/>
      <c r="AU705" s="1526"/>
      <c r="AV705" s="1526"/>
      <c r="AW705" s="1526"/>
      <c r="AX705" s="1526"/>
      <c r="AY705" s="1526"/>
      <c r="AZ705" s="1526"/>
      <c r="BA705" s="1526"/>
      <c r="BB705" s="1526"/>
      <c r="BC705" s="1526"/>
      <c r="BD705" s="1526"/>
      <c r="BE705" s="1526"/>
      <c r="BF705" s="1526"/>
      <c r="BG705" s="1526"/>
      <c r="BH705" s="1526"/>
    </row>
    <row r="706" spans="1:60" s="1525" customFormat="1">
      <c r="A706" s="1375"/>
      <c r="B706" s="1439" t="s">
        <v>2512</v>
      </c>
      <c r="C706" s="1440"/>
      <c r="D706" s="1440"/>
      <c r="E706" s="1440"/>
      <c r="F706" s="1440"/>
      <c r="G706" s="1553"/>
      <c r="H706" s="1440"/>
      <c r="I706" s="1553"/>
      <c r="J706" s="1440"/>
      <c r="K706" s="1440"/>
      <c r="L706" s="1440"/>
      <c r="M706" s="1440"/>
      <c r="N706" s="1440"/>
      <c r="O706" s="1440"/>
      <c r="P706" s="1440"/>
      <c r="Q706" s="1440"/>
      <c r="R706" s="1440"/>
      <c r="S706" s="1440"/>
      <c r="T706" s="1553"/>
      <c r="U706" s="1554"/>
      <c r="V706" s="1554"/>
      <c r="W706" s="1554"/>
      <c r="X706" s="1554"/>
      <c r="Y706" s="1554"/>
      <c r="Z706" s="1554"/>
      <c r="AA706" s="1554"/>
      <c r="AB706" s="1554"/>
      <c r="AC706" s="1554"/>
      <c r="AD706" s="1554"/>
      <c r="AE706" s="1554"/>
      <c r="AF706" s="1554"/>
      <c r="AG706" s="1554"/>
      <c r="AH706" s="1554"/>
      <c r="AI706" s="1554"/>
      <c r="AJ706" s="1554"/>
      <c r="AL706" s="561"/>
      <c r="AM706" s="1526"/>
      <c r="AN706" s="1526"/>
      <c r="AO706" s="1526"/>
      <c r="AP706" s="1526"/>
      <c r="AQ706" s="1526"/>
      <c r="AR706" s="1526"/>
      <c r="AS706" s="1526"/>
      <c r="AT706" s="1526"/>
      <c r="AU706" s="1526"/>
      <c r="AV706" s="1526"/>
      <c r="AW706" s="1526"/>
      <c r="AX706" s="1526"/>
      <c r="AY706" s="1526"/>
      <c r="AZ706" s="1526"/>
      <c r="BA706" s="1526"/>
      <c r="BB706" s="1526"/>
      <c r="BC706" s="1526"/>
      <c r="BD706" s="1526"/>
      <c r="BE706" s="1526"/>
      <c r="BF706" s="1526"/>
      <c r="BG706" s="1526"/>
      <c r="BH706" s="1526"/>
    </row>
    <row r="707" spans="1:60" s="1525" customFormat="1">
      <c r="A707" s="1375">
        <v>1</v>
      </c>
      <c r="B707" s="1376" t="s">
        <v>2489</v>
      </c>
      <c r="C707" s="1365">
        <f>C708+C710</f>
        <v>0</v>
      </c>
      <c r="D707" s="1365"/>
      <c r="E707" s="1365"/>
      <c r="F707" s="1365">
        <f>F708+F710</f>
        <v>0</v>
      </c>
      <c r="G707" s="1555">
        <f t="shared" ref="G707:AJ707" si="690">G708+G710</f>
        <v>0</v>
      </c>
      <c r="H707" s="1365">
        <f>H708+H710</f>
        <v>0</v>
      </c>
      <c r="I707" s="1555">
        <f t="shared" si="690"/>
        <v>0</v>
      </c>
      <c r="J707" s="1365">
        <f t="shared" si="690"/>
        <v>0</v>
      </c>
      <c r="K707" s="1365">
        <f t="shared" si="690"/>
        <v>0</v>
      </c>
      <c r="L707" s="1365">
        <f t="shared" si="690"/>
        <v>0</v>
      </c>
      <c r="M707" s="1365">
        <f t="shared" si="690"/>
        <v>0</v>
      </c>
      <c r="N707" s="1365">
        <f t="shared" si="690"/>
        <v>0</v>
      </c>
      <c r="O707" s="1365">
        <f t="shared" si="690"/>
        <v>0</v>
      </c>
      <c r="P707" s="1365">
        <f t="shared" si="690"/>
        <v>0</v>
      </c>
      <c r="Q707" s="1365">
        <f t="shared" si="690"/>
        <v>0</v>
      </c>
      <c r="R707" s="1365">
        <f t="shared" si="690"/>
        <v>0</v>
      </c>
      <c r="S707" s="1365">
        <f t="shared" si="690"/>
        <v>0</v>
      </c>
      <c r="T707" s="1555">
        <f t="shared" si="690"/>
        <v>0</v>
      </c>
      <c r="U707" s="1556">
        <f t="shared" si="690"/>
        <v>0</v>
      </c>
      <c r="V707" s="1556">
        <f t="shared" si="690"/>
        <v>0</v>
      </c>
      <c r="W707" s="1556">
        <f t="shared" si="690"/>
        <v>0</v>
      </c>
      <c r="X707" s="1556">
        <f t="shared" si="690"/>
        <v>0</v>
      </c>
      <c r="Y707" s="1556">
        <f t="shared" si="690"/>
        <v>0</v>
      </c>
      <c r="Z707" s="1556">
        <f t="shared" si="690"/>
        <v>0</v>
      </c>
      <c r="AA707" s="1556">
        <f t="shared" si="690"/>
        <v>0</v>
      </c>
      <c r="AB707" s="1556">
        <f t="shared" si="690"/>
        <v>0</v>
      </c>
      <c r="AC707" s="1556">
        <f t="shared" si="690"/>
        <v>0</v>
      </c>
      <c r="AD707" s="1556">
        <f t="shared" si="690"/>
        <v>0</v>
      </c>
      <c r="AE707" s="1556">
        <f t="shared" si="690"/>
        <v>0</v>
      </c>
      <c r="AF707" s="1556">
        <f t="shared" si="690"/>
        <v>0</v>
      </c>
      <c r="AG707" s="1556">
        <f t="shared" si="690"/>
        <v>0</v>
      </c>
      <c r="AH707" s="1556">
        <f t="shared" si="690"/>
        <v>0</v>
      </c>
      <c r="AI707" s="1556">
        <f t="shared" si="690"/>
        <v>0</v>
      </c>
      <c r="AJ707" s="1556">
        <f t="shared" si="690"/>
        <v>0</v>
      </c>
      <c r="AL707" s="561"/>
      <c r="AM707" s="1526"/>
      <c r="AN707" s="1526"/>
      <c r="AO707" s="1526"/>
      <c r="AP707" s="1526"/>
      <c r="AQ707" s="1526"/>
      <c r="AR707" s="1526"/>
      <c r="AS707" s="1526"/>
      <c r="AT707" s="1526"/>
      <c r="AU707" s="1526"/>
      <c r="AV707" s="1526"/>
      <c r="AW707" s="1526"/>
      <c r="AX707" s="1526"/>
      <c r="AY707" s="1526"/>
      <c r="AZ707" s="1526"/>
      <c r="BA707" s="1526"/>
      <c r="BB707" s="1526"/>
      <c r="BC707" s="1526"/>
      <c r="BD707" s="1526"/>
      <c r="BE707" s="1526"/>
      <c r="BF707" s="1526"/>
      <c r="BG707" s="1526"/>
      <c r="BH707" s="1526"/>
    </row>
    <row r="708" spans="1:60" s="1525" customFormat="1">
      <c r="A708" s="1375"/>
      <c r="B708" s="1449" t="s">
        <v>2490</v>
      </c>
      <c r="C708" s="1365"/>
      <c r="D708" s="1365"/>
      <c r="E708" s="1365"/>
      <c r="F708" s="1365"/>
      <c r="G708" s="1553">
        <f t="shared" ref="G708" si="691">H708+I708+T708</f>
        <v>0</v>
      </c>
      <c r="H708" s="1365"/>
      <c r="I708" s="1553">
        <f>SUM(J708:S708)</f>
        <v>0</v>
      </c>
      <c r="J708" s="1365"/>
      <c r="K708" s="1492"/>
      <c r="L708" s="1365"/>
      <c r="M708" s="1365"/>
      <c r="N708" s="1365"/>
      <c r="O708" s="1365"/>
      <c r="P708" s="1365"/>
      <c r="Q708" s="1365"/>
      <c r="R708" s="1365"/>
      <c r="S708" s="1365"/>
      <c r="T708" s="1555">
        <f t="shared" ref="T708:T720" si="692">(H708+K708+L708+R708)*23.5%</f>
        <v>0</v>
      </c>
      <c r="U708" s="1554">
        <f t="shared" ref="U708:U720" si="693">V708+W708+AH708</f>
        <v>0</v>
      </c>
      <c r="V708" s="1554">
        <f>(H708/1.39)*1.49</f>
        <v>0</v>
      </c>
      <c r="W708" s="1554">
        <f t="shared" ref="W708:W725" si="694">SUM(X708:AG708)</f>
        <v>0</v>
      </c>
      <c r="X708" s="1554">
        <f>(J708/1.39)*1.49</f>
        <v>0</v>
      </c>
      <c r="Y708" s="1554">
        <f>(K708/1.39)*1.49</f>
        <v>0</v>
      </c>
      <c r="Z708" s="1554">
        <f>(L708/1.39)*1.49</f>
        <v>0</v>
      </c>
      <c r="AA708" s="1554">
        <f>(M708/1.39)*1.49</f>
        <v>0</v>
      </c>
      <c r="AB708" s="1554">
        <f t="shared" ref="AB708:AG723" si="695">(N708/1.39)*1.49</f>
        <v>0</v>
      </c>
      <c r="AC708" s="1554">
        <f t="shared" si="695"/>
        <v>0</v>
      </c>
      <c r="AD708" s="1554">
        <f t="shared" si="695"/>
        <v>0</v>
      </c>
      <c r="AE708" s="1554">
        <f t="shared" si="695"/>
        <v>0</v>
      </c>
      <c r="AF708" s="1554">
        <f t="shared" si="695"/>
        <v>0</v>
      </c>
      <c r="AG708" s="1554">
        <f t="shared" si="695"/>
        <v>0</v>
      </c>
      <c r="AH708" s="1554">
        <f>(V708+Y708+Z708+AF708)*23.5%</f>
        <v>0</v>
      </c>
      <c r="AI708" s="1556">
        <f t="shared" ref="AI708:AI720" si="696">U708-G708</f>
        <v>0</v>
      </c>
      <c r="AJ708" s="1556">
        <f t="shared" ref="AJ708:AJ720" si="697">AI708*6</f>
        <v>0</v>
      </c>
      <c r="AL708" s="561"/>
      <c r="AM708" s="1526"/>
      <c r="AN708" s="1526"/>
      <c r="AO708" s="1526"/>
      <c r="AP708" s="1526"/>
      <c r="AQ708" s="1526"/>
      <c r="AR708" s="1526"/>
      <c r="AS708" s="1526"/>
      <c r="AT708" s="1526"/>
      <c r="AU708" s="1526"/>
      <c r="AV708" s="1526"/>
      <c r="AW708" s="1526"/>
      <c r="AX708" s="1526"/>
      <c r="AY708" s="1526"/>
      <c r="AZ708" s="1526"/>
      <c r="BA708" s="1526"/>
      <c r="BB708" s="1526"/>
      <c r="BC708" s="1526"/>
      <c r="BD708" s="1526"/>
      <c r="BE708" s="1526"/>
      <c r="BF708" s="1526"/>
      <c r="BG708" s="1526"/>
      <c r="BH708" s="1526"/>
    </row>
    <row r="709" spans="1:60" s="1525" customFormat="1">
      <c r="A709" s="1456"/>
      <c r="B709" s="1535" t="s">
        <v>2529</v>
      </c>
      <c r="C709" s="1365"/>
      <c r="D709" s="1365"/>
      <c r="E709" s="1365"/>
      <c r="F709" s="1365"/>
      <c r="G709" s="1555"/>
      <c r="H709" s="1365"/>
      <c r="I709" s="1555"/>
      <c r="J709" s="1365"/>
      <c r="K709" s="1365"/>
      <c r="L709" s="1365"/>
      <c r="M709" s="1365"/>
      <c r="N709" s="1365"/>
      <c r="O709" s="1365"/>
      <c r="P709" s="1365"/>
      <c r="Q709" s="1365"/>
      <c r="R709" s="1365"/>
      <c r="S709" s="1365"/>
      <c r="T709" s="1555">
        <f t="shared" si="692"/>
        <v>0</v>
      </c>
      <c r="U709" s="1554">
        <f t="shared" si="693"/>
        <v>0</v>
      </c>
      <c r="V709" s="1554">
        <f t="shared" ref="V709:V724" si="698">(H709/1.39)*1.49</f>
        <v>0</v>
      </c>
      <c r="W709" s="1554">
        <f t="shared" si="694"/>
        <v>0</v>
      </c>
      <c r="X709" s="1554">
        <f t="shared" ref="X709:AG724" si="699">(J709/1.39)*1.49</f>
        <v>0</v>
      </c>
      <c r="Y709" s="1554">
        <f t="shared" si="699"/>
        <v>0</v>
      </c>
      <c r="Z709" s="1554">
        <f t="shared" si="699"/>
        <v>0</v>
      </c>
      <c r="AA709" s="1554">
        <f t="shared" si="699"/>
        <v>0</v>
      </c>
      <c r="AB709" s="1554">
        <f t="shared" si="695"/>
        <v>0</v>
      </c>
      <c r="AC709" s="1554">
        <f t="shared" si="695"/>
        <v>0</v>
      </c>
      <c r="AD709" s="1554">
        <f t="shared" si="695"/>
        <v>0</v>
      </c>
      <c r="AE709" s="1554">
        <f t="shared" si="695"/>
        <v>0</v>
      </c>
      <c r="AF709" s="1554">
        <f t="shared" si="695"/>
        <v>0</v>
      </c>
      <c r="AG709" s="1554">
        <f t="shared" si="695"/>
        <v>0</v>
      </c>
      <c r="AH709" s="1554">
        <f t="shared" ref="AH709:AH720" si="700">(V709+Y709+Z709+AF709)*23.5%</f>
        <v>0</v>
      </c>
      <c r="AI709" s="1556">
        <f t="shared" si="696"/>
        <v>0</v>
      </c>
      <c r="AJ709" s="1556">
        <f t="shared" si="697"/>
        <v>0</v>
      </c>
      <c r="AL709" s="561"/>
      <c r="AM709" s="1526"/>
      <c r="AN709" s="1526"/>
      <c r="AO709" s="1526"/>
      <c r="AP709" s="1526"/>
      <c r="AQ709" s="1526"/>
      <c r="AR709" s="1526"/>
      <c r="AS709" s="1526"/>
      <c r="AT709" s="1526"/>
      <c r="AU709" s="1526"/>
      <c r="AV709" s="1526"/>
      <c r="AW709" s="1526"/>
      <c r="AX709" s="1526"/>
      <c r="AY709" s="1526"/>
      <c r="AZ709" s="1526"/>
      <c r="BA709" s="1526"/>
      <c r="BB709" s="1526"/>
      <c r="BC709" s="1526"/>
      <c r="BD709" s="1526"/>
      <c r="BE709" s="1526"/>
      <c r="BF709" s="1526"/>
      <c r="BG709" s="1526"/>
      <c r="BH709" s="1526"/>
    </row>
    <row r="710" spans="1:60" s="1525" customFormat="1">
      <c r="A710" s="1456"/>
      <c r="B710" s="1449" t="s">
        <v>2491</v>
      </c>
      <c r="C710" s="1365"/>
      <c r="D710" s="1365"/>
      <c r="E710" s="1365"/>
      <c r="F710" s="1365"/>
      <c r="G710" s="1553">
        <f t="shared" ref="G710" si="701">H710+I710+T710</f>
        <v>0</v>
      </c>
      <c r="H710" s="1365"/>
      <c r="I710" s="1553">
        <f>SUM(J710:S710)</f>
        <v>0</v>
      </c>
      <c r="J710" s="1365"/>
      <c r="K710" s="1365"/>
      <c r="L710" s="1365"/>
      <c r="M710" s="1365"/>
      <c r="N710" s="1365"/>
      <c r="O710" s="1365"/>
      <c r="P710" s="1365"/>
      <c r="Q710" s="1365"/>
      <c r="R710" s="1365"/>
      <c r="S710" s="1365"/>
      <c r="T710" s="1555">
        <f t="shared" si="692"/>
        <v>0</v>
      </c>
      <c r="U710" s="1554">
        <f t="shared" si="693"/>
        <v>0</v>
      </c>
      <c r="V710" s="1554">
        <f t="shared" si="698"/>
        <v>0</v>
      </c>
      <c r="W710" s="1554">
        <f t="shared" si="694"/>
        <v>0</v>
      </c>
      <c r="X710" s="1554">
        <f t="shared" si="699"/>
        <v>0</v>
      </c>
      <c r="Y710" s="1554">
        <f t="shared" si="699"/>
        <v>0</v>
      </c>
      <c r="Z710" s="1554">
        <f t="shared" si="699"/>
        <v>0</v>
      </c>
      <c r="AA710" s="1554">
        <f t="shared" si="699"/>
        <v>0</v>
      </c>
      <c r="AB710" s="1554">
        <f t="shared" si="695"/>
        <v>0</v>
      </c>
      <c r="AC710" s="1554">
        <f t="shared" si="695"/>
        <v>0</v>
      </c>
      <c r="AD710" s="1554">
        <f t="shared" si="695"/>
        <v>0</v>
      </c>
      <c r="AE710" s="1554">
        <f t="shared" si="695"/>
        <v>0</v>
      </c>
      <c r="AF710" s="1554">
        <f t="shared" si="695"/>
        <v>0</v>
      </c>
      <c r="AG710" s="1554">
        <f t="shared" si="695"/>
        <v>0</v>
      </c>
      <c r="AH710" s="1554">
        <f t="shared" si="700"/>
        <v>0</v>
      </c>
      <c r="AI710" s="1556">
        <f t="shared" si="696"/>
        <v>0</v>
      </c>
      <c r="AJ710" s="1556">
        <f t="shared" si="697"/>
        <v>0</v>
      </c>
      <c r="AL710" s="561"/>
      <c r="AM710" s="1526"/>
      <c r="AN710" s="1526"/>
      <c r="AO710" s="1526"/>
      <c r="AP710" s="1526"/>
      <c r="AQ710" s="1526"/>
      <c r="AR710" s="1526"/>
      <c r="AS710" s="1526"/>
      <c r="AT710" s="1526"/>
      <c r="AU710" s="1526"/>
      <c r="AV710" s="1526"/>
      <c r="AW710" s="1526"/>
      <c r="AX710" s="1526"/>
      <c r="AY710" s="1526"/>
      <c r="AZ710" s="1526"/>
      <c r="BA710" s="1526"/>
      <c r="BB710" s="1526"/>
      <c r="BC710" s="1526"/>
      <c r="BD710" s="1526"/>
      <c r="BE710" s="1526"/>
      <c r="BF710" s="1526"/>
      <c r="BG710" s="1526"/>
      <c r="BH710" s="1526"/>
    </row>
    <row r="711" spans="1:60" s="1525" customFormat="1">
      <c r="A711" s="1456"/>
      <c r="B711" s="1535" t="s">
        <v>2529</v>
      </c>
      <c r="C711" s="1365"/>
      <c r="D711" s="1365"/>
      <c r="E711" s="1365"/>
      <c r="F711" s="1365"/>
      <c r="G711" s="1555"/>
      <c r="H711" s="1365"/>
      <c r="I711" s="1555"/>
      <c r="J711" s="1365"/>
      <c r="K711" s="1365"/>
      <c r="L711" s="1365"/>
      <c r="M711" s="1365"/>
      <c r="N711" s="1365"/>
      <c r="O711" s="1365"/>
      <c r="P711" s="1365"/>
      <c r="Q711" s="1365"/>
      <c r="R711" s="1365"/>
      <c r="S711" s="1365"/>
      <c r="T711" s="1555">
        <f t="shared" si="692"/>
        <v>0</v>
      </c>
      <c r="U711" s="1554">
        <f t="shared" si="693"/>
        <v>0</v>
      </c>
      <c r="V711" s="1554">
        <f t="shared" si="698"/>
        <v>0</v>
      </c>
      <c r="W711" s="1554">
        <f t="shared" si="694"/>
        <v>0</v>
      </c>
      <c r="X711" s="1554">
        <f t="shared" si="699"/>
        <v>0</v>
      </c>
      <c r="Y711" s="1554">
        <f t="shared" si="699"/>
        <v>0</v>
      </c>
      <c r="Z711" s="1554">
        <f t="shared" si="699"/>
        <v>0</v>
      </c>
      <c r="AA711" s="1554">
        <f t="shared" si="699"/>
        <v>0</v>
      </c>
      <c r="AB711" s="1554">
        <f t="shared" si="695"/>
        <v>0</v>
      </c>
      <c r="AC711" s="1554">
        <f t="shared" si="695"/>
        <v>0</v>
      </c>
      <c r="AD711" s="1554">
        <f t="shared" si="695"/>
        <v>0</v>
      </c>
      <c r="AE711" s="1554">
        <f t="shared" si="695"/>
        <v>0</v>
      </c>
      <c r="AF711" s="1554">
        <f t="shared" si="695"/>
        <v>0</v>
      </c>
      <c r="AG711" s="1554">
        <f t="shared" si="695"/>
        <v>0</v>
      </c>
      <c r="AH711" s="1554">
        <f t="shared" si="700"/>
        <v>0</v>
      </c>
      <c r="AI711" s="1556">
        <f t="shared" si="696"/>
        <v>0</v>
      </c>
      <c r="AJ711" s="1556">
        <f t="shared" si="697"/>
        <v>0</v>
      </c>
      <c r="AL711" s="561"/>
      <c r="AM711" s="1526"/>
      <c r="AN711" s="1526"/>
      <c r="AO711" s="1526"/>
      <c r="AP711" s="1526"/>
      <c r="AQ711" s="1526"/>
      <c r="AR711" s="1526"/>
      <c r="AS711" s="1526"/>
      <c r="AT711" s="1526"/>
      <c r="AU711" s="1526"/>
      <c r="AV711" s="1526"/>
      <c r="AW711" s="1526"/>
      <c r="AX711" s="1526"/>
      <c r="AY711" s="1526"/>
      <c r="AZ711" s="1526"/>
      <c r="BA711" s="1526"/>
      <c r="BB711" s="1526"/>
      <c r="BC711" s="1526"/>
      <c r="BD711" s="1526"/>
      <c r="BE711" s="1526"/>
      <c r="BF711" s="1526"/>
      <c r="BG711" s="1526"/>
      <c r="BH711" s="1526"/>
    </row>
    <row r="712" spans="1:60" s="1525" customFormat="1">
      <c r="A712" s="1375">
        <v>2</v>
      </c>
      <c r="B712" s="1376" t="s">
        <v>2237</v>
      </c>
      <c r="C712" s="1365"/>
      <c r="D712" s="1365"/>
      <c r="E712" s="1365"/>
      <c r="F712" s="1365"/>
      <c r="G712" s="1553">
        <f t="shared" ref="G712:G720" si="702">H712+I712+T712</f>
        <v>0</v>
      </c>
      <c r="H712" s="1365"/>
      <c r="I712" s="1553">
        <f>SUM(J712:S712)</f>
        <v>0</v>
      </c>
      <c r="J712" s="1365"/>
      <c r="K712" s="1492"/>
      <c r="L712" s="1365"/>
      <c r="M712" s="1365"/>
      <c r="N712" s="1365"/>
      <c r="O712" s="1365"/>
      <c r="P712" s="1365"/>
      <c r="Q712" s="1365"/>
      <c r="R712" s="1365"/>
      <c r="S712" s="1365"/>
      <c r="T712" s="1555">
        <f t="shared" si="692"/>
        <v>0</v>
      </c>
      <c r="U712" s="1554">
        <f t="shared" si="693"/>
        <v>0</v>
      </c>
      <c r="V712" s="1554">
        <f t="shared" si="698"/>
        <v>0</v>
      </c>
      <c r="W712" s="1554">
        <f t="shared" si="694"/>
        <v>0</v>
      </c>
      <c r="X712" s="1554">
        <f t="shared" si="699"/>
        <v>0</v>
      </c>
      <c r="Y712" s="1554">
        <f t="shared" si="699"/>
        <v>0</v>
      </c>
      <c r="Z712" s="1554">
        <f t="shared" si="699"/>
        <v>0</v>
      </c>
      <c r="AA712" s="1554">
        <f t="shared" si="699"/>
        <v>0</v>
      </c>
      <c r="AB712" s="1554">
        <f t="shared" si="695"/>
        <v>0</v>
      </c>
      <c r="AC712" s="1554">
        <f t="shared" si="695"/>
        <v>0</v>
      </c>
      <c r="AD712" s="1554">
        <f t="shared" si="695"/>
        <v>0</v>
      </c>
      <c r="AE712" s="1554">
        <f t="shared" si="695"/>
        <v>0</v>
      </c>
      <c r="AF712" s="1554">
        <f t="shared" si="695"/>
        <v>0</v>
      </c>
      <c r="AG712" s="1554">
        <f t="shared" si="695"/>
        <v>0</v>
      </c>
      <c r="AH712" s="1554">
        <f t="shared" si="700"/>
        <v>0</v>
      </c>
      <c r="AI712" s="1556">
        <f t="shared" si="696"/>
        <v>0</v>
      </c>
      <c r="AJ712" s="1556">
        <f t="shared" si="697"/>
        <v>0</v>
      </c>
      <c r="AL712" s="561"/>
      <c r="AM712" s="1526"/>
      <c r="AN712" s="1526"/>
      <c r="AO712" s="1526"/>
      <c r="AP712" s="1526"/>
      <c r="AQ712" s="1526"/>
      <c r="AR712" s="1526"/>
      <c r="AS712" s="1526"/>
      <c r="AT712" s="1526"/>
      <c r="AU712" s="1526"/>
      <c r="AV712" s="1526"/>
      <c r="AW712" s="1526"/>
      <c r="AX712" s="1526"/>
      <c r="AY712" s="1526"/>
      <c r="AZ712" s="1526"/>
      <c r="BA712" s="1526"/>
      <c r="BB712" s="1526"/>
      <c r="BC712" s="1526"/>
      <c r="BD712" s="1526"/>
      <c r="BE712" s="1526"/>
      <c r="BF712" s="1526"/>
      <c r="BG712" s="1526"/>
      <c r="BH712" s="1526"/>
    </row>
    <row r="713" spans="1:60" s="1525" customFormat="1">
      <c r="A713" s="1456"/>
      <c r="B713" s="1535" t="s">
        <v>2529</v>
      </c>
      <c r="C713" s="1365"/>
      <c r="D713" s="1365"/>
      <c r="E713" s="1365"/>
      <c r="F713" s="1365"/>
      <c r="G713" s="1555"/>
      <c r="H713" s="1365"/>
      <c r="I713" s="1555"/>
      <c r="J713" s="1365"/>
      <c r="K713" s="1365"/>
      <c r="L713" s="1365"/>
      <c r="M713" s="1365"/>
      <c r="N713" s="1365"/>
      <c r="O713" s="1365"/>
      <c r="P713" s="1365"/>
      <c r="Q713" s="1365"/>
      <c r="R713" s="1365"/>
      <c r="S713" s="1365"/>
      <c r="T713" s="1555">
        <f t="shared" si="692"/>
        <v>0</v>
      </c>
      <c r="U713" s="1554">
        <f t="shared" si="693"/>
        <v>0</v>
      </c>
      <c r="V713" s="1554">
        <f t="shared" si="698"/>
        <v>0</v>
      </c>
      <c r="W713" s="1554">
        <f t="shared" si="694"/>
        <v>0</v>
      </c>
      <c r="X713" s="1554">
        <f t="shared" si="699"/>
        <v>0</v>
      </c>
      <c r="Y713" s="1554">
        <f t="shared" si="699"/>
        <v>0</v>
      </c>
      <c r="Z713" s="1554">
        <f t="shared" si="699"/>
        <v>0</v>
      </c>
      <c r="AA713" s="1554">
        <f t="shared" si="699"/>
        <v>0</v>
      </c>
      <c r="AB713" s="1554">
        <f t="shared" si="695"/>
        <v>0</v>
      </c>
      <c r="AC713" s="1554" t="s">
        <v>2530</v>
      </c>
      <c r="AD713" s="1554">
        <f t="shared" si="695"/>
        <v>0</v>
      </c>
      <c r="AE713" s="1554">
        <f t="shared" si="695"/>
        <v>0</v>
      </c>
      <c r="AF713" s="1554">
        <f t="shared" si="695"/>
        <v>0</v>
      </c>
      <c r="AG713" s="1554">
        <f t="shared" si="695"/>
        <v>0</v>
      </c>
      <c r="AH713" s="1554">
        <f t="shared" si="700"/>
        <v>0</v>
      </c>
      <c r="AI713" s="1556">
        <f t="shared" si="696"/>
        <v>0</v>
      </c>
      <c r="AJ713" s="1556">
        <f t="shared" si="697"/>
        <v>0</v>
      </c>
      <c r="AL713" s="561"/>
      <c r="AM713" s="1526"/>
      <c r="AN713" s="1526"/>
      <c r="AO713" s="1526"/>
      <c r="AP713" s="1526"/>
      <c r="AQ713" s="1526"/>
      <c r="AR713" s="1526"/>
      <c r="AS713" s="1526"/>
      <c r="AT713" s="1526"/>
      <c r="AU713" s="1526"/>
      <c r="AV713" s="1526"/>
      <c r="AW713" s="1526"/>
      <c r="AX713" s="1526"/>
      <c r="AY713" s="1526"/>
      <c r="AZ713" s="1526"/>
      <c r="BA713" s="1526"/>
      <c r="BB713" s="1526"/>
      <c r="BC713" s="1526"/>
      <c r="BD713" s="1526"/>
      <c r="BE713" s="1526"/>
      <c r="BF713" s="1526"/>
      <c r="BG713" s="1526"/>
      <c r="BH713" s="1526"/>
    </row>
    <row r="714" spans="1:60" s="1525" customFormat="1">
      <c r="A714" s="1375">
        <v>3</v>
      </c>
      <c r="B714" s="1376" t="s">
        <v>2531</v>
      </c>
      <c r="C714" s="1365"/>
      <c r="D714" s="1365"/>
      <c r="E714" s="1365"/>
      <c r="F714" s="1365"/>
      <c r="G714" s="1553">
        <f t="shared" si="702"/>
        <v>0</v>
      </c>
      <c r="H714" s="1365"/>
      <c r="I714" s="1553">
        <f t="shared" ref="I714:I720" si="703">SUM(J714:S714)</f>
        <v>0</v>
      </c>
      <c r="J714" s="1365"/>
      <c r="K714" s="1365"/>
      <c r="L714" s="1365"/>
      <c r="M714" s="1365"/>
      <c r="N714" s="1365"/>
      <c r="O714" s="1365"/>
      <c r="P714" s="1365"/>
      <c r="Q714" s="1365"/>
      <c r="R714" s="1365"/>
      <c r="S714" s="1365"/>
      <c r="T714" s="1555">
        <f t="shared" si="692"/>
        <v>0</v>
      </c>
      <c r="U714" s="1554">
        <f t="shared" si="693"/>
        <v>0</v>
      </c>
      <c r="V714" s="1554">
        <f t="shared" si="698"/>
        <v>0</v>
      </c>
      <c r="W714" s="1554">
        <f t="shared" si="694"/>
        <v>0</v>
      </c>
      <c r="X714" s="1554">
        <f t="shared" si="699"/>
        <v>0</v>
      </c>
      <c r="Y714" s="1554">
        <f t="shared" si="699"/>
        <v>0</v>
      </c>
      <c r="Z714" s="1554">
        <f t="shared" si="699"/>
        <v>0</v>
      </c>
      <c r="AA714" s="1554">
        <f t="shared" si="699"/>
        <v>0</v>
      </c>
      <c r="AB714" s="1554">
        <f t="shared" si="695"/>
        <v>0</v>
      </c>
      <c r="AC714" s="1554">
        <f t="shared" si="695"/>
        <v>0</v>
      </c>
      <c r="AD714" s="1554">
        <f t="shared" si="695"/>
        <v>0</v>
      </c>
      <c r="AE714" s="1554">
        <f t="shared" si="695"/>
        <v>0</v>
      </c>
      <c r="AF714" s="1554">
        <f t="shared" si="695"/>
        <v>0</v>
      </c>
      <c r="AG714" s="1554">
        <f t="shared" si="695"/>
        <v>0</v>
      </c>
      <c r="AH714" s="1554">
        <f t="shared" si="700"/>
        <v>0</v>
      </c>
      <c r="AI714" s="1556">
        <f t="shared" si="696"/>
        <v>0</v>
      </c>
      <c r="AJ714" s="1556">
        <f t="shared" si="697"/>
        <v>0</v>
      </c>
      <c r="AL714" s="561"/>
      <c r="AM714" s="1526"/>
      <c r="AN714" s="1526"/>
      <c r="AO714" s="1526"/>
      <c r="AP714" s="1526"/>
      <c r="AQ714" s="1526"/>
      <c r="AR714" s="1526"/>
      <c r="AS714" s="1526"/>
      <c r="AT714" s="1526"/>
      <c r="AU714" s="1526"/>
      <c r="AV714" s="1526"/>
      <c r="AW714" s="1526"/>
      <c r="AX714" s="1526"/>
      <c r="AY714" s="1526"/>
      <c r="AZ714" s="1526"/>
      <c r="BA714" s="1526"/>
      <c r="BB714" s="1526"/>
      <c r="BC714" s="1526"/>
      <c r="BD714" s="1526"/>
      <c r="BE714" s="1526"/>
      <c r="BF714" s="1526"/>
      <c r="BG714" s="1526"/>
      <c r="BH714" s="1526"/>
    </row>
    <row r="715" spans="1:60" s="1525" customFormat="1">
      <c r="A715" s="1375">
        <v>4</v>
      </c>
      <c r="B715" s="1376" t="s">
        <v>2532</v>
      </c>
      <c r="C715" s="1365"/>
      <c r="D715" s="1365"/>
      <c r="E715" s="1365"/>
      <c r="F715" s="1365"/>
      <c r="G715" s="1553">
        <f t="shared" si="702"/>
        <v>0</v>
      </c>
      <c r="H715" s="1365"/>
      <c r="I715" s="1553">
        <f t="shared" si="703"/>
        <v>0</v>
      </c>
      <c r="J715" s="1365"/>
      <c r="K715" s="1365"/>
      <c r="L715" s="1365"/>
      <c r="M715" s="1365"/>
      <c r="N715" s="1365"/>
      <c r="O715" s="1365"/>
      <c r="P715" s="1365"/>
      <c r="Q715" s="1365"/>
      <c r="R715" s="1365"/>
      <c r="S715" s="1365"/>
      <c r="T715" s="1555">
        <f t="shared" si="692"/>
        <v>0</v>
      </c>
      <c r="U715" s="1554">
        <f t="shared" si="693"/>
        <v>0</v>
      </c>
      <c r="V715" s="1554">
        <f t="shared" si="698"/>
        <v>0</v>
      </c>
      <c r="W715" s="1554">
        <f t="shared" si="694"/>
        <v>0</v>
      </c>
      <c r="X715" s="1554">
        <f t="shared" si="699"/>
        <v>0</v>
      </c>
      <c r="Y715" s="1554">
        <f t="shared" si="699"/>
        <v>0</v>
      </c>
      <c r="Z715" s="1554">
        <f t="shared" si="699"/>
        <v>0</v>
      </c>
      <c r="AA715" s="1554">
        <f t="shared" si="699"/>
        <v>0</v>
      </c>
      <c r="AB715" s="1554">
        <f t="shared" si="695"/>
        <v>0</v>
      </c>
      <c r="AC715" s="1554">
        <f t="shared" si="695"/>
        <v>0</v>
      </c>
      <c r="AD715" s="1554">
        <f t="shared" si="695"/>
        <v>0</v>
      </c>
      <c r="AE715" s="1554">
        <f t="shared" si="695"/>
        <v>0</v>
      </c>
      <c r="AF715" s="1554">
        <f t="shared" si="695"/>
        <v>0</v>
      </c>
      <c r="AG715" s="1554">
        <f t="shared" si="695"/>
        <v>0</v>
      </c>
      <c r="AH715" s="1554">
        <f t="shared" si="700"/>
        <v>0</v>
      </c>
      <c r="AI715" s="1556">
        <f t="shared" si="696"/>
        <v>0</v>
      </c>
      <c r="AJ715" s="1556">
        <f t="shared" si="697"/>
        <v>0</v>
      </c>
      <c r="AL715" s="561"/>
      <c r="AM715" s="1526"/>
      <c r="AN715" s="1526"/>
      <c r="AO715" s="1526"/>
      <c r="AP715" s="1526"/>
      <c r="AQ715" s="1526"/>
      <c r="AR715" s="1526"/>
      <c r="AS715" s="1526"/>
      <c r="AT715" s="1526"/>
      <c r="AU715" s="1526"/>
      <c r="AV715" s="1526"/>
      <c r="AW715" s="1526"/>
      <c r="AX715" s="1526"/>
      <c r="AY715" s="1526"/>
      <c r="AZ715" s="1526"/>
      <c r="BA715" s="1526"/>
      <c r="BB715" s="1526"/>
      <c r="BC715" s="1526"/>
      <c r="BD715" s="1526"/>
      <c r="BE715" s="1526"/>
      <c r="BF715" s="1526"/>
      <c r="BG715" s="1526"/>
      <c r="BH715" s="1526"/>
    </row>
    <row r="716" spans="1:60" s="1525" customFormat="1">
      <c r="A716" s="1375">
        <v>5</v>
      </c>
      <c r="B716" s="1376" t="s">
        <v>2533</v>
      </c>
      <c r="C716" s="1365"/>
      <c r="D716" s="1365"/>
      <c r="E716" s="1365"/>
      <c r="F716" s="1365"/>
      <c r="G716" s="1553">
        <f t="shared" si="702"/>
        <v>0</v>
      </c>
      <c r="H716" s="1365"/>
      <c r="I716" s="1553">
        <f t="shared" si="703"/>
        <v>0</v>
      </c>
      <c r="J716" s="1365"/>
      <c r="K716" s="1365"/>
      <c r="L716" s="1365"/>
      <c r="M716" s="1365"/>
      <c r="N716" s="1365"/>
      <c r="O716" s="1365"/>
      <c r="P716" s="1492"/>
      <c r="Q716" s="1365"/>
      <c r="R716" s="1365"/>
      <c r="S716" s="593"/>
      <c r="T716" s="1555">
        <f t="shared" si="692"/>
        <v>0</v>
      </c>
      <c r="U716" s="1554">
        <f t="shared" si="693"/>
        <v>0</v>
      </c>
      <c r="V716" s="1554">
        <f t="shared" si="698"/>
        <v>0</v>
      </c>
      <c r="W716" s="1554">
        <f t="shared" si="694"/>
        <v>0</v>
      </c>
      <c r="X716" s="1554">
        <f t="shared" si="699"/>
        <v>0</v>
      </c>
      <c r="Y716" s="1554">
        <f t="shared" si="699"/>
        <v>0</v>
      </c>
      <c r="Z716" s="1554">
        <f t="shared" si="699"/>
        <v>0</v>
      </c>
      <c r="AA716" s="1554">
        <f t="shared" si="699"/>
        <v>0</v>
      </c>
      <c r="AB716" s="1554">
        <f t="shared" si="695"/>
        <v>0</v>
      </c>
      <c r="AC716" s="1554">
        <f t="shared" si="695"/>
        <v>0</v>
      </c>
      <c r="AD716" s="1554">
        <f t="shared" si="695"/>
        <v>0</v>
      </c>
      <c r="AE716" s="1554">
        <f t="shared" si="695"/>
        <v>0</v>
      </c>
      <c r="AF716" s="1554">
        <f t="shared" si="695"/>
        <v>0</v>
      </c>
      <c r="AG716" s="1554">
        <f t="shared" si="695"/>
        <v>0</v>
      </c>
      <c r="AH716" s="1554">
        <f t="shared" si="700"/>
        <v>0</v>
      </c>
      <c r="AI716" s="1556">
        <f t="shared" si="696"/>
        <v>0</v>
      </c>
      <c r="AJ716" s="1556">
        <f t="shared" si="697"/>
        <v>0</v>
      </c>
      <c r="AL716" s="561"/>
      <c r="AM716" s="1526"/>
      <c r="AN716" s="1526"/>
      <c r="AO716" s="1526"/>
      <c r="AP716" s="1526"/>
      <c r="AQ716" s="1526"/>
      <c r="AR716" s="1526"/>
      <c r="AS716" s="1526"/>
      <c r="AT716" s="1526"/>
      <c r="AU716" s="1526"/>
      <c r="AV716" s="1526"/>
      <c r="AW716" s="1526"/>
      <c r="AX716" s="1526"/>
      <c r="AY716" s="1526"/>
      <c r="AZ716" s="1526"/>
      <c r="BA716" s="1526"/>
      <c r="BB716" s="1526"/>
      <c r="BC716" s="1526"/>
      <c r="BD716" s="1526"/>
      <c r="BE716" s="1526"/>
      <c r="BF716" s="1526"/>
      <c r="BG716" s="1526"/>
      <c r="BH716" s="1526"/>
    </row>
    <row r="717" spans="1:60" s="1525" customFormat="1">
      <c r="A717" s="1375">
        <v>6</v>
      </c>
      <c r="B717" s="1376" t="s">
        <v>2534</v>
      </c>
      <c r="C717" s="1365"/>
      <c r="D717" s="1365"/>
      <c r="E717" s="1365"/>
      <c r="F717" s="1365"/>
      <c r="G717" s="1553">
        <f t="shared" si="702"/>
        <v>0</v>
      </c>
      <c r="H717" s="1365"/>
      <c r="I717" s="1553">
        <f t="shared" si="703"/>
        <v>0</v>
      </c>
      <c r="J717" s="1365"/>
      <c r="K717" s="1365"/>
      <c r="L717" s="1365"/>
      <c r="M717" s="1365"/>
      <c r="N717" s="1365"/>
      <c r="O717" s="1365"/>
      <c r="P717" s="1365"/>
      <c r="Q717" s="1365"/>
      <c r="R717" s="1365"/>
      <c r="S717" s="1365"/>
      <c r="T717" s="1555">
        <f t="shared" si="692"/>
        <v>0</v>
      </c>
      <c r="U717" s="1554">
        <f t="shared" si="693"/>
        <v>0</v>
      </c>
      <c r="V717" s="1554">
        <f t="shared" si="698"/>
        <v>0</v>
      </c>
      <c r="W717" s="1554">
        <f t="shared" si="694"/>
        <v>0</v>
      </c>
      <c r="X717" s="1554">
        <f t="shared" si="699"/>
        <v>0</v>
      </c>
      <c r="Y717" s="1554">
        <f t="shared" si="699"/>
        <v>0</v>
      </c>
      <c r="Z717" s="1554">
        <f t="shared" si="699"/>
        <v>0</v>
      </c>
      <c r="AA717" s="1554">
        <f t="shared" si="699"/>
        <v>0</v>
      </c>
      <c r="AB717" s="1554">
        <f t="shared" si="695"/>
        <v>0</v>
      </c>
      <c r="AC717" s="1554">
        <f t="shared" si="695"/>
        <v>0</v>
      </c>
      <c r="AD717" s="1554">
        <f t="shared" si="695"/>
        <v>0</v>
      </c>
      <c r="AE717" s="1554">
        <f t="shared" si="695"/>
        <v>0</v>
      </c>
      <c r="AF717" s="1554">
        <f t="shared" si="695"/>
        <v>0</v>
      </c>
      <c r="AG717" s="1554">
        <f t="shared" si="695"/>
        <v>0</v>
      </c>
      <c r="AH717" s="1554">
        <f t="shared" si="700"/>
        <v>0</v>
      </c>
      <c r="AI717" s="1556">
        <f t="shared" si="696"/>
        <v>0</v>
      </c>
      <c r="AJ717" s="1556">
        <f t="shared" si="697"/>
        <v>0</v>
      </c>
      <c r="AL717" s="561"/>
      <c r="AM717" s="1526"/>
      <c r="AN717" s="1526"/>
      <c r="AO717" s="1526"/>
      <c r="AP717" s="1526"/>
      <c r="AQ717" s="1526"/>
      <c r="AR717" s="1526"/>
      <c r="AS717" s="1526"/>
      <c r="AT717" s="1526"/>
      <c r="AU717" s="1526"/>
      <c r="AV717" s="1526"/>
      <c r="AW717" s="1526"/>
      <c r="AX717" s="1526"/>
      <c r="AY717" s="1526"/>
      <c r="AZ717" s="1526"/>
      <c r="BA717" s="1526"/>
      <c r="BB717" s="1526"/>
      <c r="BC717" s="1526"/>
      <c r="BD717" s="1526"/>
      <c r="BE717" s="1526"/>
      <c r="BF717" s="1526"/>
      <c r="BG717" s="1526"/>
      <c r="BH717" s="1526"/>
    </row>
    <row r="718" spans="1:60" s="1525" customFormat="1">
      <c r="A718" s="1375">
        <v>7</v>
      </c>
      <c r="B718" s="1376" t="s">
        <v>2535</v>
      </c>
      <c r="C718" s="1365"/>
      <c r="D718" s="1365"/>
      <c r="E718" s="1365"/>
      <c r="F718" s="1365"/>
      <c r="G718" s="1553">
        <f t="shared" si="702"/>
        <v>0</v>
      </c>
      <c r="H718" s="1365"/>
      <c r="I718" s="1553">
        <f t="shared" si="703"/>
        <v>0</v>
      </c>
      <c r="J718" s="1365"/>
      <c r="K718" s="1365"/>
      <c r="L718" s="1365"/>
      <c r="M718" s="1365"/>
      <c r="N718" s="1365"/>
      <c r="O718" s="1365"/>
      <c r="P718" s="1365"/>
      <c r="Q718" s="1365"/>
      <c r="R718" s="1365"/>
      <c r="S718" s="593"/>
      <c r="T718" s="1555">
        <f t="shared" si="692"/>
        <v>0</v>
      </c>
      <c r="U718" s="1554">
        <f t="shared" si="693"/>
        <v>0</v>
      </c>
      <c r="V718" s="1554">
        <f t="shared" si="698"/>
        <v>0</v>
      </c>
      <c r="W718" s="1554">
        <f t="shared" si="694"/>
        <v>0</v>
      </c>
      <c r="X718" s="1554">
        <f t="shared" si="699"/>
        <v>0</v>
      </c>
      <c r="Y718" s="1554">
        <f t="shared" si="699"/>
        <v>0</v>
      </c>
      <c r="Z718" s="1554">
        <f t="shared" si="699"/>
        <v>0</v>
      </c>
      <c r="AA718" s="1554">
        <f t="shared" si="699"/>
        <v>0</v>
      </c>
      <c r="AB718" s="1554">
        <f t="shared" si="695"/>
        <v>0</v>
      </c>
      <c r="AC718" s="1554">
        <f t="shared" si="695"/>
        <v>0</v>
      </c>
      <c r="AD718" s="1554">
        <f t="shared" si="695"/>
        <v>0</v>
      </c>
      <c r="AE718" s="1554">
        <f t="shared" si="695"/>
        <v>0</v>
      </c>
      <c r="AF718" s="1554">
        <f t="shared" si="695"/>
        <v>0</v>
      </c>
      <c r="AG718" s="1554">
        <f t="shared" si="695"/>
        <v>0</v>
      </c>
      <c r="AH718" s="1554">
        <f t="shared" si="700"/>
        <v>0</v>
      </c>
      <c r="AI718" s="1556">
        <f t="shared" si="696"/>
        <v>0</v>
      </c>
      <c r="AJ718" s="1556">
        <f t="shared" si="697"/>
        <v>0</v>
      </c>
      <c r="AL718" s="561"/>
      <c r="AM718" s="1526"/>
      <c r="AN718" s="1526"/>
      <c r="AO718" s="1526"/>
      <c r="AP718" s="1526"/>
      <c r="AQ718" s="1526"/>
      <c r="AR718" s="1526"/>
      <c r="AS718" s="1526"/>
      <c r="AT718" s="1526"/>
      <c r="AU718" s="1526"/>
      <c r="AV718" s="1526"/>
      <c r="AW718" s="1526"/>
      <c r="AX718" s="1526"/>
      <c r="AY718" s="1526"/>
      <c r="AZ718" s="1526"/>
      <c r="BA718" s="1526"/>
      <c r="BB718" s="1526"/>
      <c r="BC718" s="1526"/>
      <c r="BD718" s="1526"/>
      <c r="BE718" s="1526"/>
      <c r="BF718" s="1526"/>
      <c r="BG718" s="1526"/>
      <c r="BH718" s="1526"/>
    </row>
    <row r="719" spans="1:60" s="1525" customFormat="1">
      <c r="A719" s="1375">
        <v>8</v>
      </c>
      <c r="B719" s="1590" t="s">
        <v>2536</v>
      </c>
      <c r="C719" s="1365"/>
      <c r="D719" s="1365"/>
      <c r="E719" s="1365"/>
      <c r="F719" s="1365"/>
      <c r="G719" s="1553">
        <f t="shared" si="702"/>
        <v>0</v>
      </c>
      <c r="H719" s="1365"/>
      <c r="I719" s="1553">
        <f t="shared" si="703"/>
        <v>0</v>
      </c>
      <c r="J719" s="1365"/>
      <c r="K719" s="1365"/>
      <c r="L719" s="1365"/>
      <c r="M719" s="1365"/>
      <c r="N719" s="1365"/>
      <c r="O719" s="1365"/>
      <c r="P719" s="1365"/>
      <c r="Q719" s="1365"/>
      <c r="R719" s="1365"/>
      <c r="S719" s="1365"/>
      <c r="T719" s="1555">
        <f t="shared" si="692"/>
        <v>0</v>
      </c>
      <c r="U719" s="1554">
        <f t="shared" si="693"/>
        <v>0</v>
      </c>
      <c r="V719" s="1554">
        <f t="shared" si="698"/>
        <v>0</v>
      </c>
      <c r="W719" s="1554">
        <f t="shared" si="694"/>
        <v>0</v>
      </c>
      <c r="X719" s="1554">
        <f t="shared" si="699"/>
        <v>0</v>
      </c>
      <c r="Y719" s="1554">
        <f t="shared" si="699"/>
        <v>0</v>
      </c>
      <c r="Z719" s="1554">
        <f t="shared" si="699"/>
        <v>0</v>
      </c>
      <c r="AA719" s="1554">
        <f t="shared" si="699"/>
        <v>0</v>
      </c>
      <c r="AB719" s="1554">
        <f t="shared" si="695"/>
        <v>0</v>
      </c>
      <c r="AC719" s="1554">
        <f t="shared" si="695"/>
        <v>0</v>
      </c>
      <c r="AD719" s="1554">
        <f t="shared" si="695"/>
        <v>0</v>
      </c>
      <c r="AE719" s="1554">
        <f t="shared" si="695"/>
        <v>0</v>
      </c>
      <c r="AF719" s="1554">
        <f t="shared" si="695"/>
        <v>0</v>
      </c>
      <c r="AG719" s="1554">
        <f t="shared" si="695"/>
        <v>0</v>
      </c>
      <c r="AH719" s="1554">
        <f t="shared" si="700"/>
        <v>0</v>
      </c>
      <c r="AI719" s="1556">
        <f t="shared" si="696"/>
        <v>0</v>
      </c>
      <c r="AJ719" s="1556">
        <f t="shared" si="697"/>
        <v>0</v>
      </c>
      <c r="AL719" s="561"/>
      <c r="AM719" s="1526"/>
      <c r="AN719" s="1526"/>
      <c r="AO719" s="1526"/>
      <c r="AP719" s="1526"/>
      <c r="AQ719" s="1526"/>
      <c r="AR719" s="1526"/>
      <c r="AS719" s="1526"/>
      <c r="AT719" s="1526"/>
      <c r="AU719" s="1526"/>
      <c r="AV719" s="1526"/>
      <c r="AW719" s="1526"/>
      <c r="AX719" s="1526"/>
      <c r="AY719" s="1526"/>
      <c r="AZ719" s="1526"/>
      <c r="BA719" s="1526"/>
      <c r="BB719" s="1526"/>
      <c r="BC719" s="1526"/>
      <c r="BD719" s="1526"/>
      <c r="BE719" s="1526"/>
      <c r="BF719" s="1526"/>
      <c r="BG719" s="1526"/>
      <c r="BH719" s="1526"/>
    </row>
    <row r="720" spans="1:60" s="1525" customFormat="1">
      <c r="A720" s="1375">
        <v>9</v>
      </c>
      <c r="B720" s="1590" t="s">
        <v>2537</v>
      </c>
      <c r="C720" s="1365"/>
      <c r="D720" s="1365"/>
      <c r="E720" s="1365"/>
      <c r="F720" s="1365"/>
      <c r="G720" s="1553">
        <f t="shared" si="702"/>
        <v>0</v>
      </c>
      <c r="H720" s="1365"/>
      <c r="I720" s="1553">
        <f t="shared" si="703"/>
        <v>0</v>
      </c>
      <c r="J720" s="1365"/>
      <c r="K720" s="1365"/>
      <c r="L720" s="1365"/>
      <c r="M720" s="1365"/>
      <c r="N720" s="1365"/>
      <c r="O720" s="1365"/>
      <c r="P720" s="1365"/>
      <c r="Q720" s="1365"/>
      <c r="R720" s="1365"/>
      <c r="S720" s="1365"/>
      <c r="T720" s="1555">
        <f t="shared" si="692"/>
        <v>0</v>
      </c>
      <c r="U720" s="1554">
        <f t="shared" si="693"/>
        <v>0</v>
      </c>
      <c r="V720" s="1554">
        <f t="shared" si="698"/>
        <v>0</v>
      </c>
      <c r="W720" s="1554">
        <f t="shared" si="694"/>
        <v>0</v>
      </c>
      <c r="X720" s="1554">
        <f t="shared" si="699"/>
        <v>0</v>
      </c>
      <c r="Y720" s="1554">
        <f t="shared" si="699"/>
        <v>0</v>
      </c>
      <c r="Z720" s="1554">
        <f t="shared" si="699"/>
        <v>0</v>
      </c>
      <c r="AA720" s="1554">
        <f t="shared" si="699"/>
        <v>0</v>
      </c>
      <c r="AB720" s="1554">
        <f t="shared" si="695"/>
        <v>0</v>
      </c>
      <c r="AC720" s="1554">
        <f t="shared" si="695"/>
        <v>0</v>
      </c>
      <c r="AD720" s="1554">
        <f t="shared" si="695"/>
        <v>0</v>
      </c>
      <c r="AE720" s="1554">
        <f t="shared" si="695"/>
        <v>0</v>
      </c>
      <c r="AF720" s="1554">
        <f t="shared" si="695"/>
        <v>0</v>
      </c>
      <c r="AG720" s="1554">
        <f t="shared" si="695"/>
        <v>0</v>
      </c>
      <c r="AH720" s="1554">
        <f t="shared" si="700"/>
        <v>0</v>
      </c>
      <c r="AI720" s="1556">
        <f t="shared" si="696"/>
        <v>0</v>
      </c>
      <c r="AJ720" s="1556">
        <f t="shared" si="697"/>
        <v>0</v>
      </c>
      <c r="AL720" s="561"/>
      <c r="AM720" s="1526"/>
      <c r="AN720" s="1526"/>
      <c r="AO720" s="1526"/>
      <c r="AP720" s="1526"/>
      <c r="AQ720" s="1526"/>
      <c r="AR720" s="1526"/>
      <c r="AS720" s="1526"/>
      <c r="AT720" s="1526"/>
      <c r="AU720" s="1526"/>
      <c r="AV720" s="1526"/>
      <c r="AW720" s="1526"/>
      <c r="AX720" s="1526"/>
      <c r="AY720" s="1526"/>
      <c r="AZ720" s="1526"/>
      <c r="BA720" s="1526"/>
      <c r="BB720" s="1526"/>
      <c r="BC720" s="1526"/>
      <c r="BD720" s="1526"/>
      <c r="BE720" s="1526"/>
      <c r="BF720" s="1526"/>
      <c r="BG720" s="1526"/>
      <c r="BH720" s="1526"/>
    </row>
    <row r="721" spans="1:60" s="1525" customFormat="1">
      <c r="A721" s="1375">
        <v>10</v>
      </c>
      <c r="B721" s="1376" t="s">
        <v>2492</v>
      </c>
      <c r="C721" s="1555">
        <f>SUM(C722:C724)</f>
        <v>0</v>
      </c>
      <c r="D721" s="1555"/>
      <c r="E721" s="1555"/>
      <c r="F721" s="1555">
        <f t="shared" ref="F721:AJ721" si="704">SUM(F722:F724)</f>
        <v>0</v>
      </c>
      <c r="G721" s="1555">
        <f t="shared" si="704"/>
        <v>0</v>
      </c>
      <c r="H721" s="1555">
        <f t="shared" si="704"/>
        <v>0</v>
      </c>
      <c r="I721" s="1555">
        <f t="shared" si="704"/>
        <v>0</v>
      </c>
      <c r="J721" s="1555">
        <f t="shared" si="704"/>
        <v>0</v>
      </c>
      <c r="K721" s="1555">
        <f t="shared" si="704"/>
        <v>0</v>
      </c>
      <c r="L721" s="1555">
        <f t="shared" si="704"/>
        <v>0</v>
      </c>
      <c r="M721" s="1555">
        <f t="shared" si="704"/>
        <v>0</v>
      </c>
      <c r="N721" s="1555">
        <f t="shared" si="704"/>
        <v>0</v>
      </c>
      <c r="O721" s="1555">
        <f t="shared" si="704"/>
        <v>0</v>
      </c>
      <c r="P721" s="1555">
        <f t="shared" si="704"/>
        <v>0</v>
      </c>
      <c r="Q721" s="1555">
        <f t="shared" si="704"/>
        <v>0</v>
      </c>
      <c r="R721" s="1555">
        <f t="shared" si="704"/>
        <v>0</v>
      </c>
      <c r="S721" s="1555">
        <f t="shared" si="704"/>
        <v>0</v>
      </c>
      <c r="T721" s="1555">
        <f>SUM(T722:T724)</f>
        <v>0</v>
      </c>
      <c r="U721" s="1556">
        <f t="shared" si="704"/>
        <v>0</v>
      </c>
      <c r="V721" s="1554">
        <f t="shared" si="698"/>
        <v>0</v>
      </c>
      <c r="W721" s="1554">
        <f t="shared" si="694"/>
        <v>0</v>
      </c>
      <c r="X721" s="1554">
        <f t="shared" si="699"/>
        <v>0</v>
      </c>
      <c r="Y721" s="1554">
        <f t="shared" si="699"/>
        <v>0</v>
      </c>
      <c r="Z721" s="1554">
        <f t="shared" si="699"/>
        <v>0</v>
      </c>
      <c r="AA721" s="1554">
        <f t="shared" si="699"/>
        <v>0</v>
      </c>
      <c r="AB721" s="1554">
        <f t="shared" si="695"/>
        <v>0</v>
      </c>
      <c r="AC721" s="1554">
        <f t="shared" si="695"/>
        <v>0</v>
      </c>
      <c r="AD721" s="1554">
        <f t="shared" si="695"/>
        <v>0</v>
      </c>
      <c r="AE721" s="1554">
        <f t="shared" si="695"/>
        <v>0</v>
      </c>
      <c r="AF721" s="1554">
        <f t="shared" si="695"/>
        <v>0</v>
      </c>
      <c r="AG721" s="1554">
        <f t="shared" si="695"/>
        <v>0</v>
      </c>
      <c r="AH721" s="1556">
        <f t="shared" si="704"/>
        <v>0</v>
      </c>
      <c r="AI721" s="1556">
        <f t="shared" si="704"/>
        <v>0</v>
      </c>
      <c r="AJ721" s="1556">
        <f t="shared" si="704"/>
        <v>0</v>
      </c>
      <c r="AL721" s="561"/>
      <c r="AM721" s="1526"/>
      <c r="AN721" s="1526"/>
      <c r="AO721" s="1526"/>
      <c r="AP721" s="1526"/>
      <c r="AQ721" s="1526"/>
      <c r="AR721" s="1526"/>
      <c r="AS721" s="1526"/>
      <c r="AT721" s="1526"/>
      <c r="AU721" s="1526"/>
      <c r="AV721" s="1526"/>
      <c r="AW721" s="1526"/>
      <c r="AX721" s="1526"/>
      <c r="AY721" s="1526"/>
      <c r="AZ721" s="1526"/>
      <c r="BA721" s="1526"/>
      <c r="BB721" s="1526"/>
      <c r="BC721" s="1526"/>
      <c r="BD721" s="1526"/>
      <c r="BE721" s="1526"/>
      <c r="BF721" s="1526"/>
      <c r="BG721" s="1526"/>
      <c r="BH721" s="1526"/>
    </row>
    <row r="722" spans="1:60" s="1525" customFormat="1">
      <c r="A722" s="1499"/>
      <c r="B722" s="1520" t="s">
        <v>2538</v>
      </c>
      <c r="C722" s="1368"/>
      <c r="D722" s="1368"/>
      <c r="E722" s="1368"/>
      <c r="F722" s="1368"/>
      <c r="G722" s="1557">
        <f t="shared" ref="G722:G725" si="705">H722+I722+T722</f>
        <v>0</v>
      </c>
      <c r="H722" s="1368"/>
      <c r="I722" s="1557">
        <f t="shared" ref="I722:I724" si="706">SUM(J722:S722)</f>
        <v>0</v>
      </c>
      <c r="J722" s="1368"/>
      <c r="K722" s="1368"/>
      <c r="L722" s="1368"/>
      <c r="M722" s="1368"/>
      <c r="N722" s="1368"/>
      <c r="O722" s="1368"/>
      <c r="P722" s="1368"/>
      <c r="Q722" s="1368"/>
      <c r="R722" s="1368"/>
      <c r="S722" s="1594"/>
      <c r="T722" s="1558">
        <f>(H722+K722+L722+R722)*22.5%</f>
        <v>0</v>
      </c>
      <c r="U722" s="1559">
        <f t="shared" ref="U722:U725" si="707">V722+W722+AH722</f>
        <v>0</v>
      </c>
      <c r="V722" s="1554">
        <f t="shared" si="698"/>
        <v>0</v>
      </c>
      <c r="W722" s="1554">
        <f t="shared" si="694"/>
        <v>0</v>
      </c>
      <c r="X722" s="1554">
        <f t="shared" si="699"/>
        <v>0</v>
      </c>
      <c r="Y722" s="1554">
        <f t="shared" si="699"/>
        <v>0</v>
      </c>
      <c r="Z722" s="1554">
        <f t="shared" si="699"/>
        <v>0</v>
      </c>
      <c r="AA722" s="1554">
        <f t="shared" si="699"/>
        <v>0</v>
      </c>
      <c r="AB722" s="1554">
        <f t="shared" si="695"/>
        <v>0</v>
      </c>
      <c r="AC722" s="1554">
        <f t="shared" si="695"/>
        <v>0</v>
      </c>
      <c r="AD722" s="1554">
        <f t="shared" si="695"/>
        <v>0</v>
      </c>
      <c r="AE722" s="1554">
        <f t="shared" si="695"/>
        <v>0</v>
      </c>
      <c r="AF722" s="1554">
        <f t="shared" si="695"/>
        <v>0</v>
      </c>
      <c r="AG722" s="1554">
        <f t="shared" si="695"/>
        <v>0</v>
      </c>
      <c r="AH722" s="1560">
        <f>(V722+Y722+Z722+AF722)*22.5%</f>
        <v>0</v>
      </c>
      <c r="AI722" s="1561">
        <f t="shared" ref="AI722:AI724" si="708">U722-G722</f>
        <v>0</v>
      </c>
      <c r="AJ722" s="1561">
        <f t="shared" ref="AJ722:AJ724" si="709">AI722*6</f>
        <v>0</v>
      </c>
      <c r="AL722" s="561"/>
      <c r="AM722" s="1526"/>
      <c r="AN722" s="1526"/>
      <c r="AO722" s="1526"/>
      <c r="AP722" s="1526"/>
      <c r="AQ722" s="1526"/>
      <c r="AR722" s="1526"/>
      <c r="AS722" s="1526"/>
      <c r="AT722" s="1526"/>
      <c r="AU722" s="1526"/>
      <c r="AV722" s="1526"/>
      <c r="AW722" s="1526"/>
      <c r="AX722" s="1526"/>
      <c r="AY722" s="1526"/>
      <c r="AZ722" s="1526"/>
      <c r="BA722" s="1526"/>
      <c r="BB722" s="1526"/>
      <c r="BC722" s="1526"/>
      <c r="BD722" s="1526"/>
      <c r="BE722" s="1526"/>
      <c r="BF722" s="1526"/>
      <c r="BG722" s="1526"/>
      <c r="BH722" s="1526"/>
    </row>
    <row r="723" spans="1:60" s="1525" customFormat="1">
      <c r="A723" s="1499"/>
      <c r="B723" s="1520" t="s">
        <v>2539</v>
      </c>
      <c r="C723" s="1368"/>
      <c r="D723" s="1368"/>
      <c r="E723" s="1368"/>
      <c r="F723" s="1368"/>
      <c r="G723" s="1557">
        <f t="shared" si="705"/>
        <v>0</v>
      </c>
      <c r="H723" s="1368"/>
      <c r="I723" s="1557">
        <f t="shared" si="706"/>
        <v>0</v>
      </c>
      <c r="J723" s="1368"/>
      <c r="K723" s="1368"/>
      <c r="L723" s="1368"/>
      <c r="M723" s="1368"/>
      <c r="N723" s="1368"/>
      <c r="O723" s="1368"/>
      <c r="P723" s="1368"/>
      <c r="Q723" s="1368"/>
      <c r="R723" s="1368"/>
      <c r="S723" s="1368"/>
      <c r="T723" s="1558">
        <f>(H723+K723+L723+R723)*22.5%</f>
        <v>0</v>
      </c>
      <c r="U723" s="1559">
        <f t="shared" si="707"/>
        <v>0</v>
      </c>
      <c r="V723" s="1554">
        <f t="shared" si="698"/>
        <v>0</v>
      </c>
      <c r="W723" s="1554">
        <f t="shared" si="694"/>
        <v>0</v>
      </c>
      <c r="X723" s="1554">
        <f t="shared" si="699"/>
        <v>0</v>
      </c>
      <c r="Y723" s="1554">
        <f t="shared" si="699"/>
        <v>0</v>
      </c>
      <c r="Z723" s="1554">
        <f t="shared" si="699"/>
        <v>0</v>
      </c>
      <c r="AA723" s="1554">
        <f t="shared" si="699"/>
        <v>0</v>
      </c>
      <c r="AB723" s="1554">
        <f t="shared" si="695"/>
        <v>0</v>
      </c>
      <c r="AC723" s="1554">
        <f t="shared" si="695"/>
        <v>0</v>
      </c>
      <c r="AD723" s="1554">
        <f t="shared" si="695"/>
        <v>0</v>
      </c>
      <c r="AE723" s="1554">
        <f t="shared" si="695"/>
        <v>0</v>
      </c>
      <c r="AF723" s="1554">
        <f t="shared" si="695"/>
        <v>0</v>
      </c>
      <c r="AG723" s="1554">
        <f t="shared" si="695"/>
        <v>0</v>
      </c>
      <c r="AH723" s="1560">
        <f>(V723+Y723+Z723+AF723)*22.5%</f>
        <v>0</v>
      </c>
      <c r="AI723" s="1561">
        <f t="shared" si="708"/>
        <v>0</v>
      </c>
      <c r="AJ723" s="1561">
        <f t="shared" si="709"/>
        <v>0</v>
      </c>
      <c r="AL723" s="561"/>
      <c r="AM723" s="1526"/>
      <c r="AN723" s="1526"/>
      <c r="AO723" s="1526"/>
      <c r="AP723" s="1526"/>
      <c r="AQ723" s="1526"/>
      <c r="AR723" s="1526"/>
      <c r="AS723" s="1526"/>
      <c r="AT723" s="1526"/>
      <c r="AU723" s="1526"/>
      <c r="AV723" s="1526"/>
      <c r="AW723" s="1526"/>
      <c r="AX723" s="1526"/>
      <c r="AY723" s="1526"/>
      <c r="AZ723" s="1526"/>
      <c r="BA723" s="1526"/>
      <c r="BB723" s="1526"/>
      <c r="BC723" s="1526"/>
      <c r="BD723" s="1526"/>
      <c r="BE723" s="1526"/>
      <c r="BF723" s="1526"/>
      <c r="BG723" s="1526"/>
      <c r="BH723" s="1526"/>
    </row>
    <row r="724" spans="1:60" s="1525" customFormat="1">
      <c r="A724" s="1499"/>
      <c r="B724" s="1520" t="s">
        <v>2540</v>
      </c>
      <c r="C724" s="1368"/>
      <c r="D724" s="1368"/>
      <c r="E724" s="1368"/>
      <c r="F724" s="1368"/>
      <c r="G724" s="1557">
        <f t="shared" si="705"/>
        <v>0</v>
      </c>
      <c r="H724" s="1368"/>
      <c r="I724" s="1557">
        <f t="shared" si="706"/>
        <v>0</v>
      </c>
      <c r="J724" s="1368"/>
      <c r="K724" s="1368"/>
      <c r="L724" s="1368"/>
      <c r="M724" s="1368"/>
      <c r="N724" s="1368"/>
      <c r="O724" s="1368"/>
      <c r="P724" s="1368"/>
      <c r="Q724" s="1368"/>
      <c r="R724" s="1594"/>
      <c r="S724" s="1368"/>
      <c r="T724" s="1558">
        <f>(H724+K724+L724+R724)*22.5%</f>
        <v>0</v>
      </c>
      <c r="U724" s="1559">
        <f t="shared" si="707"/>
        <v>0</v>
      </c>
      <c r="V724" s="1554">
        <f t="shared" si="698"/>
        <v>0</v>
      </c>
      <c r="W724" s="1554">
        <f t="shared" si="694"/>
        <v>0</v>
      </c>
      <c r="X724" s="1554">
        <f t="shared" si="699"/>
        <v>0</v>
      </c>
      <c r="Y724" s="1554">
        <f t="shared" si="699"/>
        <v>0</v>
      </c>
      <c r="Z724" s="1554">
        <f t="shared" si="699"/>
        <v>0</v>
      </c>
      <c r="AA724" s="1554">
        <f t="shared" si="699"/>
        <v>0</v>
      </c>
      <c r="AB724" s="1554">
        <f t="shared" si="699"/>
        <v>0</v>
      </c>
      <c r="AC724" s="1554">
        <f t="shared" si="699"/>
        <v>0</v>
      </c>
      <c r="AD724" s="1554">
        <f t="shared" si="699"/>
        <v>0</v>
      </c>
      <c r="AE724" s="1554">
        <f t="shared" si="699"/>
        <v>0</v>
      </c>
      <c r="AF724" s="1554">
        <f t="shared" si="699"/>
        <v>0</v>
      </c>
      <c r="AG724" s="1554">
        <f t="shared" si="699"/>
        <v>0</v>
      </c>
      <c r="AH724" s="1560">
        <f>(V724+Y724+Z724+AF724)*22.5%</f>
        <v>0</v>
      </c>
      <c r="AI724" s="1561">
        <f t="shared" si="708"/>
        <v>0</v>
      </c>
      <c r="AJ724" s="1561">
        <f t="shared" si="709"/>
        <v>0</v>
      </c>
      <c r="AL724" s="561"/>
      <c r="AM724" s="1526"/>
      <c r="AN724" s="1526"/>
      <c r="AO724" s="1526"/>
      <c r="AP724" s="1526"/>
      <c r="AQ724" s="1526"/>
      <c r="AR724" s="1526"/>
      <c r="AS724" s="1526"/>
      <c r="AT724" s="1526"/>
      <c r="AU724" s="1526"/>
      <c r="AV724" s="1526"/>
      <c r="AW724" s="1526"/>
      <c r="AX724" s="1526"/>
      <c r="AY724" s="1526"/>
      <c r="AZ724" s="1526"/>
      <c r="BA724" s="1526"/>
      <c r="BB724" s="1526"/>
      <c r="BC724" s="1526"/>
      <c r="BD724" s="1526"/>
      <c r="BE724" s="1526"/>
      <c r="BF724" s="1526"/>
      <c r="BG724" s="1526"/>
      <c r="BH724" s="1526"/>
    </row>
    <row r="725" spans="1:60" s="1525" customFormat="1">
      <c r="A725" s="1516" t="s">
        <v>65</v>
      </c>
      <c r="B725" s="1517" t="s">
        <v>2541</v>
      </c>
      <c r="C725" s="1370"/>
      <c r="D725" s="1370"/>
      <c r="E725" s="1370"/>
      <c r="F725" s="1370"/>
      <c r="G725" s="1553">
        <f t="shared" si="705"/>
        <v>0</v>
      </c>
      <c r="H725" s="1370"/>
      <c r="I725" s="1553">
        <f t="shared" ref="I725" si="710">SUM(J725:S725)</f>
        <v>0</v>
      </c>
      <c r="J725" s="1370"/>
      <c r="K725" s="1370"/>
      <c r="L725" s="1370"/>
      <c r="M725" s="1370"/>
      <c r="N725" s="1370"/>
      <c r="O725" s="1370"/>
      <c r="P725" s="1370"/>
      <c r="Q725" s="1370"/>
      <c r="R725" s="1370"/>
      <c r="S725" s="1370"/>
      <c r="T725" s="1558">
        <f>(H725+K725+L725+R725)*22.5%</f>
        <v>0</v>
      </c>
      <c r="U725" s="1562">
        <f t="shared" si="707"/>
        <v>0</v>
      </c>
      <c r="V725" s="1554">
        <f>(H725/1.39)*1.49</f>
        <v>0</v>
      </c>
      <c r="W725" s="1562">
        <f t="shared" si="694"/>
        <v>0</v>
      </c>
      <c r="X725" s="1554">
        <f>(J725/1.39)*1.49</f>
        <v>0</v>
      </c>
      <c r="Y725" s="1554">
        <f t="shared" ref="Y725:AG725" si="711">(K725/1.39)*1.49</f>
        <v>0</v>
      </c>
      <c r="Z725" s="1554">
        <f t="shared" si="711"/>
        <v>0</v>
      </c>
      <c r="AA725" s="1554">
        <f t="shared" si="711"/>
        <v>0</v>
      </c>
      <c r="AB725" s="1554">
        <f t="shared" si="711"/>
        <v>0</v>
      </c>
      <c r="AC725" s="1554">
        <f t="shared" si="711"/>
        <v>0</v>
      </c>
      <c r="AD725" s="1554">
        <f t="shared" si="711"/>
        <v>0</v>
      </c>
      <c r="AE725" s="1554">
        <f t="shared" si="711"/>
        <v>0</v>
      </c>
      <c r="AF725" s="1554">
        <f t="shared" si="711"/>
        <v>0</v>
      </c>
      <c r="AG725" s="1554">
        <f t="shared" si="711"/>
        <v>0</v>
      </c>
      <c r="AH725" s="1560">
        <f>(V725+Y725+Z725+AF725)*22.5%</f>
        <v>0</v>
      </c>
      <c r="AI725" s="1563">
        <f>U725-G725</f>
        <v>0</v>
      </c>
      <c r="AJ725" s="1563">
        <f>AI725*6</f>
        <v>0</v>
      </c>
      <c r="AL725" s="561"/>
      <c r="AM725" s="1526"/>
      <c r="AN725" s="1526"/>
      <c r="AO725" s="1526"/>
      <c r="AP725" s="1526"/>
      <c r="AQ725" s="1526"/>
      <c r="AR725" s="1526"/>
      <c r="AS725" s="1526"/>
      <c r="AT725" s="1526"/>
      <c r="AU725" s="1526"/>
      <c r="AV725" s="1526"/>
      <c r="AW725" s="1526"/>
      <c r="AX725" s="1526"/>
      <c r="AY725" s="1526"/>
      <c r="AZ725" s="1526"/>
      <c r="BA725" s="1526"/>
      <c r="BB725" s="1526"/>
      <c r="BC725" s="1526"/>
      <c r="BD725" s="1526"/>
      <c r="BE725" s="1526"/>
      <c r="BF725" s="1526"/>
      <c r="BG725" s="1526"/>
      <c r="BH725" s="1526"/>
    </row>
    <row r="726" spans="1:60" s="1525" customFormat="1">
      <c r="A726" s="1516" t="s">
        <v>14</v>
      </c>
      <c r="B726" s="1517" t="s">
        <v>2542</v>
      </c>
      <c r="C726" s="1564">
        <f>SUM(C727:C729)</f>
        <v>0</v>
      </c>
      <c r="D726" s="1564"/>
      <c r="E726" s="1564"/>
      <c r="F726" s="1564">
        <f t="shared" ref="F726:AJ726" si="712">SUM(F727:F729)</f>
        <v>0</v>
      </c>
      <c r="G726" s="1564">
        <f t="shared" si="712"/>
        <v>0</v>
      </c>
      <c r="H726" s="1564">
        <f t="shared" si="712"/>
        <v>0</v>
      </c>
      <c r="I726" s="1564">
        <f t="shared" si="712"/>
        <v>0</v>
      </c>
      <c r="J726" s="1564">
        <f t="shared" si="712"/>
        <v>0</v>
      </c>
      <c r="K726" s="1564">
        <f t="shared" si="712"/>
        <v>0</v>
      </c>
      <c r="L726" s="1564">
        <f t="shared" si="712"/>
        <v>0</v>
      </c>
      <c r="M726" s="1564">
        <f t="shared" si="712"/>
        <v>0</v>
      </c>
      <c r="N726" s="1564">
        <f t="shared" si="712"/>
        <v>0</v>
      </c>
      <c r="O726" s="1564">
        <f t="shared" si="712"/>
        <v>0</v>
      </c>
      <c r="P726" s="1564">
        <f t="shared" si="712"/>
        <v>0</v>
      </c>
      <c r="Q726" s="1564">
        <f t="shared" si="712"/>
        <v>0</v>
      </c>
      <c r="R726" s="1564">
        <f t="shared" si="712"/>
        <v>0</v>
      </c>
      <c r="S726" s="1564">
        <f t="shared" si="712"/>
        <v>0</v>
      </c>
      <c r="T726" s="1564">
        <f t="shared" si="712"/>
        <v>0</v>
      </c>
      <c r="U726" s="1563">
        <f t="shared" si="712"/>
        <v>0</v>
      </c>
      <c r="V726" s="1563">
        <f t="shared" si="712"/>
        <v>0</v>
      </c>
      <c r="W726" s="1563">
        <f t="shared" si="712"/>
        <v>0</v>
      </c>
      <c r="X726" s="1563">
        <f t="shared" si="712"/>
        <v>0</v>
      </c>
      <c r="Y726" s="1563">
        <f t="shared" si="712"/>
        <v>0</v>
      </c>
      <c r="Z726" s="1563">
        <f t="shared" si="712"/>
        <v>0</v>
      </c>
      <c r="AA726" s="1563">
        <f t="shared" si="712"/>
        <v>0</v>
      </c>
      <c r="AB726" s="1563">
        <f t="shared" si="712"/>
        <v>0</v>
      </c>
      <c r="AC726" s="1563">
        <f t="shared" si="712"/>
        <v>0</v>
      </c>
      <c r="AD726" s="1563">
        <f t="shared" si="712"/>
        <v>0</v>
      </c>
      <c r="AE726" s="1563">
        <f t="shared" si="712"/>
        <v>0</v>
      </c>
      <c r="AF726" s="1563">
        <f t="shared" si="712"/>
        <v>0</v>
      </c>
      <c r="AG726" s="1563">
        <f t="shared" si="712"/>
        <v>0</v>
      </c>
      <c r="AH726" s="1563">
        <f t="shared" si="712"/>
        <v>0</v>
      </c>
      <c r="AI726" s="1563">
        <f t="shared" si="712"/>
        <v>0</v>
      </c>
      <c r="AJ726" s="1563">
        <f t="shared" si="712"/>
        <v>0</v>
      </c>
      <c r="AL726" s="561"/>
      <c r="AM726" s="1526"/>
      <c r="AN726" s="1526"/>
      <c r="AO726" s="1526"/>
      <c r="AP726" s="1526"/>
      <c r="AQ726" s="1526"/>
      <c r="AR726" s="1526"/>
      <c r="AS726" s="1526"/>
      <c r="AT726" s="1526"/>
      <c r="AU726" s="1526"/>
      <c r="AV726" s="1526"/>
      <c r="AW726" s="1526"/>
      <c r="AX726" s="1526"/>
      <c r="AY726" s="1526"/>
      <c r="AZ726" s="1526"/>
      <c r="BA726" s="1526"/>
      <c r="BB726" s="1526"/>
      <c r="BC726" s="1526"/>
      <c r="BD726" s="1526"/>
      <c r="BE726" s="1526"/>
      <c r="BF726" s="1526"/>
      <c r="BG726" s="1526"/>
      <c r="BH726" s="1526"/>
    </row>
    <row r="727" spans="1:60" s="1525" customFormat="1">
      <c r="A727" s="1499"/>
      <c r="B727" s="1520" t="s">
        <v>2543</v>
      </c>
      <c r="C727" s="1368"/>
      <c r="D727" s="1368"/>
      <c r="E727" s="1368"/>
      <c r="F727" s="1368"/>
      <c r="G727" s="1557">
        <f t="shared" ref="G727:G729" si="713">H727+I727+T727</f>
        <v>0</v>
      </c>
      <c r="H727" s="577"/>
      <c r="I727" s="1557">
        <f t="shared" ref="I727:I729" si="714">SUM(J727:S727)</f>
        <v>0</v>
      </c>
      <c r="J727" s="577"/>
      <c r="K727" s="577"/>
      <c r="L727" s="577"/>
      <c r="M727" s="577"/>
      <c r="N727" s="577"/>
      <c r="O727" s="577"/>
      <c r="P727" s="577"/>
      <c r="Q727" s="577"/>
      <c r="R727" s="577"/>
      <c r="S727" s="578">
        <f>F727*0.5*1.3</f>
        <v>0</v>
      </c>
      <c r="T727" s="1565"/>
      <c r="U727" s="1559">
        <f t="shared" ref="U727:U729" si="715">V727+W727+AH727</f>
        <v>0</v>
      </c>
      <c r="V727" s="1566"/>
      <c r="W727" s="1559">
        <f t="shared" ref="W727:W729" si="716">SUM(X727:AG727)</f>
        <v>0</v>
      </c>
      <c r="X727" s="1566"/>
      <c r="Y727" s="1566"/>
      <c r="Z727" s="1566"/>
      <c r="AA727" s="1566"/>
      <c r="AB727" s="1566"/>
      <c r="AC727" s="1566"/>
      <c r="AD727" s="1566"/>
      <c r="AE727" s="1566"/>
      <c r="AF727" s="1566"/>
      <c r="AG727" s="1554">
        <f t="shared" ref="AG727:AG733" si="717">(S727/1.39)*1.49</f>
        <v>0</v>
      </c>
      <c r="AH727" s="1566"/>
      <c r="AI727" s="1561">
        <f t="shared" ref="AI727:AI729" si="718">U727-G727</f>
        <v>0</v>
      </c>
      <c r="AJ727" s="1561">
        <f t="shared" ref="AJ727:AJ729" si="719">AI727*6</f>
        <v>0</v>
      </c>
      <c r="AL727" s="561"/>
      <c r="AM727" s="1526"/>
      <c r="AN727" s="1526"/>
      <c r="AO727" s="1526"/>
      <c r="AP727" s="1526"/>
      <c r="AQ727" s="1526"/>
      <c r="AR727" s="1526"/>
      <c r="AS727" s="1526"/>
      <c r="AT727" s="1526"/>
      <c r="AU727" s="1526"/>
      <c r="AV727" s="1526"/>
      <c r="AW727" s="1526"/>
      <c r="AX727" s="1526"/>
      <c r="AY727" s="1526"/>
      <c r="AZ727" s="1526"/>
      <c r="BA727" s="1526"/>
      <c r="BB727" s="1526"/>
      <c r="BC727" s="1526"/>
      <c r="BD727" s="1526"/>
      <c r="BE727" s="1526"/>
      <c r="BF727" s="1526"/>
      <c r="BG727" s="1526"/>
      <c r="BH727" s="1526"/>
    </row>
    <row r="728" spans="1:60" s="1525" customFormat="1">
      <c r="A728" s="1499"/>
      <c r="B728" s="1520" t="s">
        <v>2544</v>
      </c>
      <c r="C728" s="1368"/>
      <c r="D728" s="1368"/>
      <c r="E728" s="1368"/>
      <c r="F728" s="1368"/>
      <c r="G728" s="1557">
        <f t="shared" si="713"/>
        <v>0</v>
      </c>
      <c r="H728" s="577"/>
      <c r="I728" s="1557">
        <f t="shared" si="714"/>
        <v>0</v>
      </c>
      <c r="J728" s="577"/>
      <c r="K728" s="577"/>
      <c r="L728" s="577"/>
      <c r="M728" s="577"/>
      <c r="N728" s="577"/>
      <c r="O728" s="577"/>
      <c r="P728" s="577"/>
      <c r="Q728" s="577"/>
      <c r="R728" s="577"/>
      <c r="S728" s="1368">
        <f>F728*0.4*1.39</f>
        <v>0</v>
      </c>
      <c r="T728" s="1565"/>
      <c r="U728" s="1559">
        <f t="shared" si="715"/>
        <v>0</v>
      </c>
      <c r="V728" s="1566"/>
      <c r="W728" s="1559">
        <f t="shared" si="716"/>
        <v>0</v>
      </c>
      <c r="X728" s="1566"/>
      <c r="Y728" s="1566"/>
      <c r="Z728" s="1566"/>
      <c r="AA728" s="1566"/>
      <c r="AB728" s="1566"/>
      <c r="AC728" s="1566"/>
      <c r="AD728" s="1566"/>
      <c r="AE728" s="1566"/>
      <c r="AF728" s="1566"/>
      <c r="AG728" s="1554">
        <f t="shared" si="717"/>
        <v>0</v>
      </c>
      <c r="AH728" s="1566"/>
      <c r="AI728" s="1561">
        <f t="shared" si="718"/>
        <v>0</v>
      </c>
      <c r="AJ728" s="1561">
        <f t="shared" si="719"/>
        <v>0</v>
      </c>
      <c r="AL728" s="561"/>
      <c r="AM728" s="1526"/>
      <c r="AN728" s="1526"/>
      <c r="AO728" s="1526"/>
      <c r="AP728" s="1526"/>
      <c r="AQ728" s="1526"/>
      <c r="AR728" s="1526"/>
      <c r="AS728" s="1526"/>
      <c r="AT728" s="1526"/>
      <c r="AU728" s="1526"/>
      <c r="AV728" s="1526"/>
      <c r="AW728" s="1526"/>
      <c r="AX728" s="1526"/>
      <c r="AY728" s="1526"/>
      <c r="AZ728" s="1526"/>
      <c r="BA728" s="1526"/>
      <c r="BB728" s="1526"/>
      <c r="BC728" s="1526"/>
      <c r="BD728" s="1526"/>
      <c r="BE728" s="1526"/>
      <c r="BF728" s="1526"/>
      <c r="BG728" s="1526"/>
      <c r="BH728" s="1526"/>
    </row>
    <row r="729" spans="1:60" s="1525" customFormat="1">
      <c r="A729" s="1499"/>
      <c r="B729" s="1520" t="s">
        <v>2545</v>
      </c>
      <c r="C729" s="1368"/>
      <c r="D729" s="1368"/>
      <c r="E729" s="1368"/>
      <c r="F729" s="1368"/>
      <c r="G729" s="1557">
        <f t="shared" si="713"/>
        <v>0</v>
      </c>
      <c r="H729" s="577"/>
      <c r="I729" s="1557">
        <f t="shared" si="714"/>
        <v>0</v>
      </c>
      <c r="J729" s="577"/>
      <c r="K729" s="577"/>
      <c r="L729" s="577"/>
      <c r="M729" s="577"/>
      <c r="N729" s="577"/>
      <c r="O729" s="577"/>
      <c r="P729" s="577"/>
      <c r="Q729" s="577"/>
      <c r="R729" s="577"/>
      <c r="S729" s="1368">
        <f>F729*0.3*1.39</f>
        <v>0</v>
      </c>
      <c r="T729" s="1565"/>
      <c r="U729" s="1559">
        <f t="shared" si="715"/>
        <v>0</v>
      </c>
      <c r="V729" s="1566"/>
      <c r="W729" s="1559">
        <f t="shared" si="716"/>
        <v>0</v>
      </c>
      <c r="X729" s="1566"/>
      <c r="Y729" s="1566"/>
      <c r="Z729" s="1566"/>
      <c r="AA729" s="1566"/>
      <c r="AB729" s="1566"/>
      <c r="AC729" s="1566"/>
      <c r="AD729" s="1566"/>
      <c r="AE729" s="1566"/>
      <c r="AF729" s="1566"/>
      <c r="AG729" s="1554">
        <f t="shared" si="717"/>
        <v>0</v>
      </c>
      <c r="AH729" s="1566"/>
      <c r="AI729" s="1561">
        <f t="shared" si="718"/>
        <v>0</v>
      </c>
      <c r="AJ729" s="1561">
        <f t="shared" si="719"/>
        <v>0</v>
      </c>
      <c r="AL729" s="561"/>
      <c r="AM729" s="1526"/>
      <c r="AN729" s="1526"/>
      <c r="AO729" s="1526"/>
      <c r="AP729" s="1526"/>
      <c r="AQ729" s="1526"/>
      <c r="AR729" s="1526"/>
      <c r="AS729" s="1526"/>
      <c r="AT729" s="1526"/>
      <c r="AU729" s="1526"/>
      <c r="AV729" s="1526"/>
      <c r="AW729" s="1526"/>
      <c r="AX729" s="1526"/>
      <c r="AY729" s="1526"/>
      <c r="AZ729" s="1526"/>
      <c r="BA729" s="1526"/>
      <c r="BB729" s="1526"/>
      <c r="BC729" s="1526"/>
      <c r="BD729" s="1526"/>
      <c r="BE729" s="1526"/>
      <c r="BF729" s="1526"/>
      <c r="BG729" s="1526"/>
      <c r="BH729" s="1526"/>
    </row>
    <row r="730" spans="1:60" s="1525" customFormat="1">
      <c r="A730" s="1516" t="s">
        <v>18</v>
      </c>
      <c r="B730" s="1517" t="s">
        <v>2546</v>
      </c>
      <c r="C730" s="1564">
        <f>SUM(C731:C733)</f>
        <v>0</v>
      </c>
      <c r="D730" s="1564"/>
      <c r="E730" s="1564"/>
      <c r="F730" s="1564">
        <f t="shared" ref="F730:AJ730" si="720">SUM(F731:F733)</f>
        <v>0</v>
      </c>
      <c r="G730" s="1564">
        <f t="shared" si="720"/>
        <v>0</v>
      </c>
      <c r="H730" s="1564">
        <f t="shared" si="720"/>
        <v>0</v>
      </c>
      <c r="I730" s="1564">
        <f t="shared" si="720"/>
        <v>0</v>
      </c>
      <c r="J730" s="1564">
        <f t="shared" si="720"/>
        <v>0</v>
      </c>
      <c r="K730" s="1564">
        <f t="shared" si="720"/>
        <v>0</v>
      </c>
      <c r="L730" s="1564">
        <f t="shared" si="720"/>
        <v>0</v>
      </c>
      <c r="M730" s="1564">
        <f t="shared" si="720"/>
        <v>0</v>
      </c>
      <c r="N730" s="1564">
        <f t="shared" si="720"/>
        <v>0</v>
      </c>
      <c r="O730" s="1564">
        <f t="shared" si="720"/>
        <v>0</v>
      </c>
      <c r="P730" s="1564">
        <f t="shared" si="720"/>
        <v>0</v>
      </c>
      <c r="Q730" s="1564">
        <f t="shared" si="720"/>
        <v>0</v>
      </c>
      <c r="R730" s="1564">
        <f t="shared" si="720"/>
        <v>0</v>
      </c>
      <c r="S730" s="1564">
        <f t="shared" si="720"/>
        <v>0</v>
      </c>
      <c r="T730" s="1564">
        <f t="shared" si="720"/>
        <v>0</v>
      </c>
      <c r="U730" s="1563">
        <f t="shared" si="720"/>
        <v>0</v>
      </c>
      <c r="V730" s="1563">
        <f t="shared" si="720"/>
        <v>0</v>
      </c>
      <c r="W730" s="1563">
        <f t="shared" si="720"/>
        <v>0</v>
      </c>
      <c r="X730" s="1563">
        <f t="shared" si="720"/>
        <v>0</v>
      </c>
      <c r="Y730" s="1563">
        <f t="shared" si="720"/>
        <v>0</v>
      </c>
      <c r="Z730" s="1563">
        <f t="shared" si="720"/>
        <v>0</v>
      </c>
      <c r="AA730" s="1563">
        <f t="shared" si="720"/>
        <v>0</v>
      </c>
      <c r="AB730" s="1563">
        <f t="shared" si="720"/>
        <v>0</v>
      </c>
      <c r="AC730" s="1563">
        <f t="shared" si="720"/>
        <v>0</v>
      </c>
      <c r="AD730" s="1563">
        <f t="shared" si="720"/>
        <v>0</v>
      </c>
      <c r="AE730" s="1563">
        <f t="shared" si="720"/>
        <v>0</v>
      </c>
      <c r="AF730" s="1563">
        <f t="shared" si="720"/>
        <v>0</v>
      </c>
      <c r="AG730" s="1563">
        <f t="shared" si="720"/>
        <v>0</v>
      </c>
      <c r="AH730" s="1563">
        <f t="shared" si="720"/>
        <v>0</v>
      </c>
      <c r="AI730" s="1563">
        <f t="shared" si="720"/>
        <v>0</v>
      </c>
      <c r="AJ730" s="1563">
        <f t="shared" si="720"/>
        <v>0</v>
      </c>
      <c r="AL730" s="561"/>
      <c r="AM730" s="1526"/>
      <c r="AN730" s="1526"/>
      <c r="AO730" s="1526"/>
      <c r="AP730" s="1526"/>
      <c r="AQ730" s="1526"/>
      <c r="AR730" s="1526"/>
      <c r="AS730" s="1526"/>
      <c r="AT730" s="1526"/>
      <c r="AU730" s="1526"/>
      <c r="AV730" s="1526"/>
      <c r="AW730" s="1526"/>
      <c r="AX730" s="1526"/>
      <c r="AY730" s="1526"/>
      <c r="AZ730" s="1526"/>
      <c r="BA730" s="1526"/>
      <c r="BB730" s="1526"/>
      <c r="BC730" s="1526"/>
      <c r="BD730" s="1526"/>
      <c r="BE730" s="1526"/>
      <c r="BF730" s="1526"/>
      <c r="BG730" s="1526"/>
      <c r="BH730" s="1526"/>
    </row>
    <row r="731" spans="1:60" s="1525" customFormat="1">
      <c r="A731" s="1499"/>
      <c r="B731" s="1520" t="s">
        <v>2547</v>
      </c>
      <c r="C731" s="1368"/>
      <c r="D731" s="1368"/>
      <c r="E731" s="1368"/>
      <c r="F731" s="1368"/>
      <c r="G731" s="1557">
        <f t="shared" ref="G731:G733" si="721">H731+I731+T731</f>
        <v>0</v>
      </c>
      <c r="H731" s="577"/>
      <c r="I731" s="1557">
        <f t="shared" ref="I731:I733" si="722">SUM(J731:S731)</f>
        <v>0</v>
      </c>
      <c r="J731" s="577"/>
      <c r="K731" s="577"/>
      <c r="L731" s="577"/>
      <c r="M731" s="577"/>
      <c r="N731" s="577"/>
      <c r="O731" s="577"/>
      <c r="P731" s="577"/>
      <c r="Q731" s="577"/>
      <c r="R731" s="577"/>
      <c r="S731" s="1368">
        <f>F731*0.5*1.3</f>
        <v>0</v>
      </c>
      <c r="T731" s="1565"/>
      <c r="U731" s="1559">
        <f t="shared" ref="U731:U733" si="723">V731+W731+AH731</f>
        <v>0</v>
      </c>
      <c r="V731" s="1566"/>
      <c r="W731" s="1559">
        <f t="shared" ref="W731:W733" si="724">SUM(X731:AG731)</f>
        <v>0</v>
      </c>
      <c r="X731" s="1566"/>
      <c r="Y731" s="1566"/>
      <c r="Z731" s="1566"/>
      <c r="AA731" s="1566"/>
      <c r="AB731" s="1566"/>
      <c r="AC731" s="1566"/>
      <c r="AD731" s="1566"/>
      <c r="AE731" s="1566"/>
      <c r="AF731" s="1566"/>
      <c r="AG731" s="1554">
        <f t="shared" si="717"/>
        <v>0</v>
      </c>
      <c r="AH731" s="1566"/>
      <c r="AI731" s="1561">
        <f t="shared" ref="AI731:AI733" si="725">U731-G731</f>
        <v>0</v>
      </c>
      <c r="AJ731" s="1561">
        <f t="shared" ref="AJ731:AJ733" si="726">AI731*6</f>
        <v>0</v>
      </c>
      <c r="AL731" s="561"/>
      <c r="AM731" s="1526"/>
      <c r="AN731" s="1526"/>
      <c r="AO731" s="1526"/>
      <c r="AP731" s="1526"/>
      <c r="AQ731" s="1526"/>
      <c r="AR731" s="1526"/>
      <c r="AS731" s="1526"/>
      <c r="AT731" s="1526"/>
      <c r="AU731" s="1526"/>
      <c r="AV731" s="1526"/>
      <c r="AW731" s="1526"/>
      <c r="AX731" s="1526"/>
      <c r="AY731" s="1526"/>
      <c r="AZ731" s="1526"/>
      <c r="BA731" s="1526"/>
      <c r="BB731" s="1526"/>
      <c r="BC731" s="1526"/>
      <c r="BD731" s="1526"/>
      <c r="BE731" s="1526"/>
      <c r="BF731" s="1526"/>
      <c r="BG731" s="1526"/>
      <c r="BH731" s="1526"/>
    </row>
    <row r="732" spans="1:60" s="1525" customFormat="1">
      <c r="A732" s="1499"/>
      <c r="B732" s="1520" t="s">
        <v>2548</v>
      </c>
      <c r="C732" s="1368"/>
      <c r="D732" s="1368"/>
      <c r="E732" s="1368"/>
      <c r="F732" s="1368"/>
      <c r="G732" s="1557">
        <f t="shared" si="721"/>
        <v>0</v>
      </c>
      <c r="H732" s="577"/>
      <c r="I732" s="1557">
        <f t="shared" si="722"/>
        <v>0</v>
      </c>
      <c r="J732" s="577"/>
      <c r="K732" s="577"/>
      <c r="L732" s="577"/>
      <c r="M732" s="577"/>
      <c r="N732" s="577"/>
      <c r="O732" s="577"/>
      <c r="P732" s="577"/>
      <c r="Q732" s="577"/>
      <c r="R732" s="577"/>
      <c r="S732" s="1368">
        <f>F732*0.4*1.39</f>
        <v>0</v>
      </c>
      <c r="T732" s="1565"/>
      <c r="U732" s="1559">
        <f t="shared" si="723"/>
        <v>0</v>
      </c>
      <c r="V732" s="1566"/>
      <c r="W732" s="1559">
        <f t="shared" si="724"/>
        <v>0</v>
      </c>
      <c r="X732" s="1566"/>
      <c r="Y732" s="1566"/>
      <c r="Z732" s="1566"/>
      <c r="AA732" s="1566"/>
      <c r="AB732" s="1566"/>
      <c r="AC732" s="1566"/>
      <c r="AD732" s="1566"/>
      <c r="AE732" s="1566"/>
      <c r="AF732" s="1566"/>
      <c r="AG732" s="1554">
        <f t="shared" si="717"/>
        <v>0</v>
      </c>
      <c r="AH732" s="1566"/>
      <c r="AI732" s="1561">
        <f t="shared" si="725"/>
        <v>0</v>
      </c>
      <c r="AJ732" s="1561">
        <f t="shared" si="726"/>
        <v>0</v>
      </c>
      <c r="AL732" s="561"/>
      <c r="AM732" s="1526"/>
      <c r="AN732" s="1526"/>
      <c r="AO732" s="1526"/>
      <c r="AP732" s="1526"/>
      <c r="AQ732" s="1526"/>
      <c r="AR732" s="1526"/>
      <c r="AS732" s="1526"/>
      <c r="AT732" s="1526"/>
      <c r="AU732" s="1526"/>
      <c r="AV732" s="1526"/>
      <c r="AW732" s="1526"/>
      <c r="AX732" s="1526"/>
      <c r="AY732" s="1526"/>
      <c r="AZ732" s="1526"/>
      <c r="BA732" s="1526"/>
      <c r="BB732" s="1526"/>
      <c r="BC732" s="1526"/>
      <c r="BD732" s="1526"/>
      <c r="BE732" s="1526"/>
      <c r="BF732" s="1526"/>
      <c r="BG732" s="1526"/>
      <c r="BH732" s="1526"/>
    </row>
    <row r="733" spans="1:60" s="1525" customFormat="1">
      <c r="A733" s="1499"/>
      <c r="B733" s="1520" t="s">
        <v>2549</v>
      </c>
      <c r="C733" s="1368"/>
      <c r="D733" s="1368"/>
      <c r="E733" s="1368"/>
      <c r="F733" s="1368"/>
      <c r="G733" s="1557">
        <f t="shared" si="721"/>
        <v>0</v>
      </c>
      <c r="H733" s="577"/>
      <c r="I733" s="1557">
        <f t="shared" si="722"/>
        <v>0</v>
      </c>
      <c r="J733" s="577"/>
      <c r="K733" s="577"/>
      <c r="L733" s="577"/>
      <c r="M733" s="577"/>
      <c r="N733" s="577"/>
      <c r="O733" s="577"/>
      <c r="P733" s="577"/>
      <c r="Q733" s="577"/>
      <c r="R733" s="577"/>
      <c r="S733" s="1368">
        <f>F733*0.3*1.39</f>
        <v>0</v>
      </c>
      <c r="T733" s="1565"/>
      <c r="U733" s="1559">
        <f t="shared" si="723"/>
        <v>0</v>
      </c>
      <c r="V733" s="1566"/>
      <c r="W733" s="1559">
        <f t="shared" si="724"/>
        <v>0</v>
      </c>
      <c r="X733" s="1566"/>
      <c r="Y733" s="1566"/>
      <c r="Z733" s="1566"/>
      <c r="AA733" s="1566"/>
      <c r="AB733" s="1566"/>
      <c r="AC733" s="1566"/>
      <c r="AD733" s="1566"/>
      <c r="AE733" s="1566"/>
      <c r="AF733" s="1566"/>
      <c r="AG733" s="1554">
        <f t="shared" si="717"/>
        <v>0</v>
      </c>
      <c r="AH733" s="1566"/>
      <c r="AI733" s="1561">
        <f t="shared" si="725"/>
        <v>0</v>
      </c>
      <c r="AJ733" s="1561">
        <f t="shared" si="726"/>
        <v>0</v>
      </c>
      <c r="AL733" s="561"/>
      <c r="AM733" s="1526"/>
      <c r="AN733" s="1526"/>
      <c r="AO733" s="1526"/>
      <c r="AP733" s="1526"/>
      <c r="AQ733" s="1526"/>
      <c r="AR733" s="1526"/>
      <c r="AS733" s="1526"/>
      <c r="AT733" s="1526"/>
      <c r="AU733" s="1526"/>
      <c r="AV733" s="1526"/>
      <c r="AW733" s="1526"/>
      <c r="AX733" s="1526"/>
      <c r="AY733" s="1526"/>
      <c r="AZ733" s="1526"/>
      <c r="BA733" s="1526"/>
      <c r="BB733" s="1526"/>
      <c r="BC733" s="1526"/>
      <c r="BD733" s="1526"/>
      <c r="BE733" s="1526"/>
      <c r="BF733" s="1526"/>
      <c r="BG733" s="1526"/>
      <c r="BH733" s="1526"/>
    </row>
    <row r="734" spans="1:60" s="1525" customFormat="1">
      <c r="A734" s="558"/>
      <c r="B734" s="1584" t="s">
        <v>2495</v>
      </c>
      <c r="C734" s="1568">
        <f>C735+C777+C778+C782</f>
        <v>0</v>
      </c>
      <c r="D734" s="1568"/>
      <c r="E734" s="1568"/>
      <c r="F734" s="1568">
        <f t="shared" ref="F734:AJ734" si="727">F735+F777+F778+F782</f>
        <v>0</v>
      </c>
      <c r="G734" s="1568">
        <f t="shared" si="727"/>
        <v>0</v>
      </c>
      <c r="H734" s="1568">
        <f t="shared" si="727"/>
        <v>0</v>
      </c>
      <c r="I734" s="1568">
        <f t="shared" si="727"/>
        <v>0</v>
      </c>
      <c r="J734" s="1568">
        <f t="shared" si="727"/>
        <v>0</v>
      </c>
      <c r="K734" s="1568">
        <f t="shared" si="727"/>
        <v>0</v>
      </c>
      <c r="L734" s="1568">
        <f t="shared" si="727"/>
        <v>0</v>
      </c>
      <c r="M734" s="1568">
        <f t="shared" si="727"/>
        <v>0</v>
      </c>
      <c r="N734" s="1568">
        <f t="shared" si="727"/>
        <v>0</v>
      </c>
      <c r="O734" s="1568">
        <f t="shared" si="727"/>
        <v>0</v>
      </c>
      <c r="P734" s="1568">
        <f t="shared" si="727"/>
        <v>0</v>
      </c>
      <c r="Q734" s="1568">
        <f t="shared" si="727"/>
        <v>0</v>
      </c>
      <c r="R734" s="1568">
        <f t="shared" si="727"/>
        <v>0</v>
      </c>
      <c r="S734" s="1568">
        <f t="shared" si="727"/>
        <v>0</v>
      </c>
      <c r="T734" s="1568">
        <f t="shared" si="727"/>
        <v>2422.6445469330506</v>
      </c>
      <c r="U734" s="1568">
        <f t="shared" si="727"/>
        <v>19657.90009635075</v>
      </c>
      <c r="V734" s="1568">
        <f t="shared" si="727"/>
        <v>9041.3945000000003</v>
      </c>
      <c r="W734" s="1568">
        <f t="shared" si="727"/>
        <v>7589.5690450000002</v>
      </c>
      <c r="X734" s="1568">
        <f t="shared" si="727"/>
        <v>0</v>
      </c>
      <c r="Y734" s="1568">
        <f t="shared" si="727"/>
        <v>150.71349999999998</v>
      </c>
      <c r="Z734" s="1568">
        <f t="shared" si="727"/>
        <v>156.17330700000002</v>
      </c>
      <c r="AA734" s="1568">
        <f t="shared" si="727"/>
        <v>5576.18567755</v>
      </c>
      <c r="AB734" s="1568">
        <f t="shared" si="727"/>
        <v>0</v>
      </c>
      <c r="AC734" s="1568">
        <f t="shared" si="727"/>
        <v>0</v>
      </c>
      <c r="AD734" s="1568">
        <f t="shared" si="727"/>
        <v>0</v>
      </c>
      <c r="AE734" s="1568">
        <f t="shared" si="727"/>
        <v>0</v>
      </c>
      <c r="AF734" s="1568">
        <f t="shared" si="727"/>
        <v>1680.7195604500002</v>
      </c>
      <c r="AG734" s="1568">
        <f t="shared" si="727"/>
        <v>25.776999999999987</v>
      </c>
      <c r="AH734" s="1568">
        <f t="shared" si="727"/>
        <v>2671.7354513507507</v>
      </c>
      <c r="AI734" s="1568">
        <f t="shared" si="727"/>
        <v>1293.9412182877004</v>
      </c>
      <c r="AJ734" s="1568">
        <f t="shared" si="727"/>
        <v>7763.6473097262033</v>
      </c>
      <c r="AL734" s="561"/>
      <c r="AM734" s="1526"/>
      <c r="AN734" s="1526"/>
      <c r="AO734" s="1526"/>
      <c r="AP734" s="1526"/>
      <c r="AQ734" s="1526"/>
      <c r="AR734" s="1526"/>
      <c r="AS734" s="1526"/>
      <c r="AT734" s="1526"/>
      <c r="AU734" s="1526"/>
      <c r="AV734" s="1526"/>
      <c r="AW734" s="1526"/>
      <c r="AX734" s="1526"/>
      <c r="AY734" s="1526"/>
      <c r="AZ734" s="1526"/>
      <c r="BA734" s="1526"/>
      <c r="BB734" s="1526"/>
      <c r="BC734" s="1526"/>
      <c r="BD734" s="1526"/>
      <c r="BE734" s="1526"/>
      <c r="BF734" s="1526"/>
      <c r="BG734" s="1526"/>
      <c r="BH734" s="1526"/>
    </row>
    <row r="735" spans="1:60" s="1525" customFormat="1">
      <c r="A735" s="1433" t="s">
        <v>13</v>
      </c>
      <c r="B735" s="1585" t="s">
        <v>2528</v>
      </c>
      <c r="C735" s="1438">
        <f>C737+C742+C744+C745+C746+C747+C748+C749+C750+C751</f>
        <v>0</v>
      </c>
      <c r="D735" s="1438"/>
      <c r="E735" s="1438"/>
      <c r="F735" s="1438">
        <f t="shared" ref="F735:AH735" si="728">F737+F742+F744+F745+F746+F747+F748+F749+F750+F751</f>
        <v>0</v>
      </c>
      <c r="G735" s="1438">
        <f t="shared" si="728"/>
        <v>0</v>
      </c>
      <c r="H735" s="1438">
        <f t="shared" si="728"/>
        <v>0</v>
      </c>
      <c r="I735" s="1438">
        <f t="shared" si="728"/>
        <v>0</v>
      </c>
      <c r="J735" s="1438">
        <f t="shared" si="728"/>
        <v>0</v>
      </c>
      <c r="K735" s="1438">
        <f t="shared" si="728"/>
        <v>0</v>
      </c>
      <c r="L735" s="1438">
        <f t="shared" si="728"/>
        <v>0</v>
      </c>
      <c r="M735" s="1438">
        <f t="shared" si="728"/>
        <v>0</v>
      </c>
      <c r="N735" s="1438">
        <f t="shared" si="728"/>
        <v>0</v>
      </c>
      <c r="O735" s="1438">
        <f t="shared" si="728"/>
        <v>0</v>
      </c>
      <c r="P735" s="1438">
        <f t="shared" si="728"/>
        <v>0</v>
      </c>
      <c r="Q735" s="1438">
        <f t="shared" si="728"/>
        <v>0</v>
      </c>
      <c r="R735" s="1438">
        <f t="shared" si="728"/>
        <v>0</v>
      </c>
      <c r="S735" s="1438">
        <f t="shared" si="728"/>
        <v>0</v>
      </c>
      <c r="T735" s="1438">
        <f t="shared" si="728"/>
        <v>2422.6445469330506</v>
      </c>
      <c r="U735" s="1438">
        <f t="shared" si="728"/>
        <v>19657.90009635075</v>
      </c>
      <c r="V735" s="1438">
        <f t="shared" si="728"/>
        <v>9041.3945000000003</v>
      </c>
      <c r="W735" s="1438">
        <f t="shared" si="728"/>
        <v>7589.5690450000002</v>
      </c>
      <c r="X735" s="1438">
        <f t="shared" si="728"/>
        <v>0</v>
      </c>
      <c r="Y735" s="1438">
        <f t="shared" si="728"/>
        <v>150.71349999999998</v>
      </c>
      <c r="Z735" s="1438">
        <f t="shared" si="728"/>
        <v>156.17330700000002</v>
      </c>
      <c r="AA735" s="1438">
        <f t="shared" si="728"/>
        <v>5576.18567755</v>
      </c>
      <c r="AB735" s="1438">
        <f t="shared" si="728"/>
        <v>0</v>
      </c>
      <c r="AC735" s="1438">
        <f t="shared" si="728"/>
        <v>0</v>
      </c>
      <c r="AD735" s="1438">
        <f t="shared" si="728"/>
        <v>0</v>
      </c>
      <c r="AE735" s="1438">
        <f t="shared" si="728"/>
        <v>0</v>
      </c>
      <c r="AF735" s="1438">
        <f t="shared" si="728"/>
        <v>1680.7195604500002</v>
      </c>
      <c r="AG735" s="1438">
        <f t="shared" si="728"/>
        <v>25.776999999999987</v>
      </c>
      <c r="AH735" s="1438">
        <f t="shared" si="728"/>
        <v>2671.7354513507507</v>
      </c>
      <c r="AI735" s="1438">
        <f>AI737+AI742+AI744+AI745+AI746+AI747+AI748+AI749+AI750+AI751</f>
        <v>1293.9412182877004</v>
      </c>
      <c r="AJ735" s="1438">
        <f>AJ737+AJ742+AJ744+AJ745+AJ746+AJ747+AJ748+AJ749+AJ750+AJ751</f>
        <v>7763.6473097262033</v>
      </c>
      <c r="AL735" s="561"/>
      <c r="AM735" s="1526"/>
      <c r="AN735" s="1526"/>
      <c r="AO735" s="1526"/>
      <c r="AP735" s="1526"/>
      <c r="AQ735" s="1526"/>
      <c r="AR735" s="1526"/>
      <c r="AS735" s="1526"/>
      <c r="AT735" s="1526"/>
      <c r="AU735" s="1526"/>
      <c r="AV735" s="1526"/>
      <c r="AW735" s="1526"/>
      <c r="AX735" s="1526"/>
      <c r="AY735" s="1526"/>
      <c r="AZ735" s="1526"/>
      <c r="BA735" s="1526"/>
      <c r="BB735" s="1526"/>
      <c r="BC735" s="1526"/>
      <c r="BD735" s="1526"/>
      <c r="BE735" s="1526"/>
      <c r="BF735" s="1526"/>
      <c r="BG735" s="1526"/>
      <c r="BH735" s="1526"/>
    </row>
    <row r="736" spans="1:60" s="1525" customFormat="1">
      <c r="A736" s="1375"/>
      <c r="B736" s="1439" t="s">
        <v>2512</v>
      </c>
      <c r="C736" s="1440"/>
      <c r="D736" s="1440"/>
      <c r="E736" s="1440"/>
      <c r="F736" s="1440"/>
      <c r="G736" s="1553"/>
      <c r="H736" s="1440"/>
      <c r="I736" s="1553"/>
      <c r="J736" s="1440"/>
      <c r="K736" s="1440"/>
      <c r="L736" s="1440"/>
      <c r="M736" s="1440"/>
      <c r="N736" s="1440"/>
      <c r="O736" s="1440"/>
      <c r="P736" s="1440"/>
      <c r="Q736" s="1440"/>
      <c r="R736" s="1440"/>
      <c r="S736" s="1440"/>
      <c r="T736" s="1553"/>
      <c r="U736" s="1554"/>
      <c r="V736" s="1554"/>
      <c r="W736" s="1554"/>
      <c r="X736" s="1554"/>
      <c r="Y736" s="1554"/>
      <c r="Z736" s="1554"/>
      <c r="AA736" s="1554"/>
      <c r="AB736" s="1554"/>
      <c r="AC736" s="1554"/>
      <c r="AD736" s="1554"/>
      <c r="AE736" s="1554"/>
      <c r="AF736" s="1554"/>
      <c r="AG736" s="1554"/>
      <c r="AH736" s="1554"/>
      <c r="AI736" s="1554"/>
      <c r="AJ736" s="1554"/>
      <c r="AL736" s="561"/>
      <c r="AM736" s="1526"/>
      <c r="AN736" s="1526"/>
      <c r="AO736" s="1526"/>
      <c r="AP736" s="1526"/>
      <c r="AQ736" s="1526"/>
      <c r="AR736" s="1526"/>
      <c r="AS736" s="1526"/>
      <c r="AT736" s="1526"/>
      <c r="AU736" s="1526"/>
      <c r="AV736" s="1526"/>
      <c r="AW736" s="1526"/>
      <c r="AX736" s="1526"/>
      <c r="AY736" s="1526"/>
      <c r="AZ736" s="1526"/>
      <c r="BA736" s="1526"/>
      <c r="BB736" s="1526"/>
      <c r="BC736" s="1526"/>
      <c r="BD736" s="1526"/>
      <c r="BE736" s="1526"/>
      <c r="BF736" s="1526"/>
      <c r="BG736" s="1526"/>
      <c r="BH736" s="1526"/>
    </row>
    <row r="737" spans="1:60" s="1525" customFormat="1">
      <c r="A737" s="1375">
        <v>1</v>
      </c>
      <c r="B737" s="1376" t="s">
        <v>2489</v>
      </c>
      <c r="C737" s="1555">
        <f>C738+C740</f>
        <v>0</v>
      </c>
      <c r="D737" s="1555"/>
      <c r="E737" s="1555"/>
      <c r="F737" s="1555">
        <f t="shared" ref="F737:AJ738" si="729">F738+F740</f>
        <v>0</v>
      </c>
      <c r="G737" s="1555">
        <f t="shared" si="729"/>
        <v>0</v>
      </c>
      <c r="H737" s="1555">
        <f t="shared" si="729"/>
        <v>0</v>
      </c>
      <c r="I737" s="1555">
        <f t="shared" si="729"/>
        <v>0</v>
      </c>
      <c r="J737" s="1555">
        <f t="shared" si="729"/>
        <v>0</v>
      </c>
      <c r="K737" s="1555">
        <f t="shared" si="729"/>
        <v>0</v>
      </c>
      <c r="L737" s="1555">
        <f t="shared" si="729"/>
        <v>0</v>
      </c>
      <c r="M737" s="1555">
        <f t="shared" si="729"/>
        <v>0</v>
      </c>
      <c r="N737" s="1555">
        <f t="shared" si="729"/>
        <v>0</v>
      </c>
      <c r="O737" s="1555">
        <f t="shared" si="729"/>
        <v>0</v>
      </c>
      <c r="P737" s="1555">
        <f t="shared" si="729"/>
        <v>0</v>
      </c>
      <c r="Q737" s="1555">
        <f t="shared" si="729"/>
        <v>0</v>
      </c>
      <c r="R737" s="1555">
        <f t="shared" si="729"/>
        <v>0</v>
      </c>
      <c r="S737" s="1555">
        <f t="shared" si="729"/>
        <v>0</v>
      </c>
      <c r="T737" s="1555">
        <f t="shared" si="729"/>
        <v>2422.6445469330506</v>
      </c>
      <c r="U737" s="1556">
        <f t="shared" si="729"/>
        <v>19222.778748850749</v>
      </c>
      <c r="V737" s="1556">
        <f t="shared" si="729"/>
        <v>9041.3945000000003</v>
      </c>
      <c r="W737" s="1556">
        <f t="shared" si="729"/>
        <v>7589.5690450000002</v>
      </c>
      <c r="X737" s="1556">
        <f t="shared" si="729"/>
        <v>0</v>
      </c>
      <c r="Y737" s="1556">
        <f t="shared" si="729"/>
        <v>150.71349999999998</v>
      </c>
      <c r="Z737" s="1556">
        <f t="shared" si="729"/>
        <v>156.17330700000002</v>
      </c>
      <c r="AA737" s="1556">
        <f t="shared" si="729"/>
        <v>5576.18567755</v>
      </c>
      <c r="AB737" s="1556">
        <f t="shared" si="729"/>
        <v>0</v>
      </c>
      <c r="AC737" s="1556">
        <f t="shared" si="729"/>
        <v>0</v>
      </c>
      <c r="AD737" s="1556">
        <f t="shared" si="729"/>
        <v>0</v>
      </c>
      <c r="AE737" s="1556">
        <f t="shared" si="729"/>
        <v>0</v>
      </c>
      <c r="AF737" s="1556">
        <f t="shared" si="729"/>
        <v>1680.7195604500002</v>
      </c>
      <c r="AG737" s="1556">
        <f t="shared" si="729"/>
        <v>25.776999999999987</v>
      </c>
      <c r="AH737" s="1556">
        <f t="shared" si="729"/>
        <v>2591.8152038507505</v>
      </c>
      <c r="AI737" s="1556">
        <f t="shared" si="729"/>
        <v>1264.7384432877004</v>
      </c>
      <c r="AJ737" s="1556">
        <f t="shared" si="729"/>
        <v>7588.430659726203</v>
      </c>
      <c r="AL737" s="561"/>
      <c r="AM737" s="1526"/>
      <c r="AN737" s="1526"/>
      <c r="AO737" s="1526"/>
      <c r="AP737" s="1526"/>
      <c r="AQ737" s="1526"/>
      <c r="AR737" s="1526"/>
      <c r="AS737" s="1526"/>
      <c r="AT737" s="1526"/>
      <c r="AU737" s="1526"/>
      <c r="AV737" s="1526"/>
      <c r="AW737" s="1526"/>
      <c r="AX737" s="1526"/>
      <c r="AY737" s="1526"/>
      <c r="AZ737" s="1526"/>
      <c r="BA737" s="1526"/>
      <c r="BB737" s="1526"/>
      <c r="BC737" s="1526"/>
      <c r="BD737" s="1526"/>
      <c r="BE737" s="1526"/>
      <c r="BF737" s="1526"/>
      <c r="BG737" s="1526"/>
      <c r="BH737" s="1526"/>
    </row>
    <row r="738" spans="1:60" s="1525" customFormat="1">
      <c r="A738" s="1375"/>
      <c r="B738" s="1449" t="s">
        <v>2490</v>
      </c>
      <c r="C738" s="1365"/>
      <c r="D738" s="1365"/>
      <c r="E738" s="1365"/>
      <c r="F738" s="1365"/>
      <c r="G738" s="1555">
        <f t="shared" si="729"/>
        <v>0</v>
      </c>
      <c r="H738" s="1365"/>
      <c r="I738" s="1553">
        <f>SUM(J738:S738)</f>
        <v>0</v>
      </c>
      <c r="J738" s="1365"/>
      <c r="K738" s="1365"/>
      <c r="L738" s="1365"/>
      <c r="M738" s="1365"/>
      <c r="N738" s="1365"/>
      <c r="O738" s="1365"/>
      <c r="P738" s="1365"/>
      <c r="Q738" s="1365"/>
      <c r="R738" s="1365"/>
      <c r="S738" s="1365"/>
      <c r="T738" s="1555">
        <v>2422.6445469330506</v>
      </c>
      <c r="U738" s="1554">
        <v>19222.778748850749</v>
      </c>
      <c r="V738" s="1554">
        <v>9041.3945000000003</v>
      </c>
      <c r="W738" s="1554">
        <v>7589.5690450000002</v>
      </c>
      <c r="X738" s="1554">
        <v>0</v>
      </c>
      <c r="Y738" s="1554">
        <v>150.71349999999998</v>
      </c>
      <c r="Z738" s="1554">
        <v>156.17330700000002</v>
      </c>
      <c r="AA738" s="1554">
        <v>5576.18567755</v>
      </c>
      <c r="AB738" s="1554">
        <v>0</v>
      </c>
      <c r="AC738" s="1554">
        <v>0</v>
      </c>
      <c r="AD738" s="1554">
        <v>0</v>
      </c>
      <c r="AE738" s="1554">
        <v>0</v>
      </c>
      <c r="AF738" s="1554">
        <v>1680.7195604500002</v>
      </c>
      <c r="AG738" s="1554">
        <v>25.776999999999987</v>
      </c>
      <c r="AH738" s="1554">
        <v>2591.8152038507505</v>
      </c>
      <c r="AI738" s="1556">
        <v>1264.7384432877004</v>
      </c>
      <c r="AJ738" s="1556">
        <v>7588.430659726203</v>
      </c>
      <c r="AL738" s="561"/>
      <c r="AM738" s="1526"/>
      <c r="AN738" s="1526"/>
      <c r="AO738" s="1526"/>
      <c r="AP738" s="1526"/>
      <c r="AQ738" s="1526"/>
      <c r="AR738" s="1526"/>
      <c r="AS738" s="1526"/>
      <c r="AT738" s="1526"/>
      <c r="AU738" s="1526"/>
      <c r="AV738" s="1526"/>
      <c r="AW738" s="1526"/>
      <c r="AX738" s="1526"/>
      <c r="AY738" s="1526"/>
      <c r="AZ738" s="1526"/>
      <c r="BA738" s="1526"/>
      <c r="BB738" s="1526"/>
      <c r="BC738" s="1526"/>
      <c r="BD738" s="1526"/>
      <c r="BE738" s="1526"/>
      <c r="BF738" s="1526"/>
      <c r="BG738" s="1526"/>
      <c r="BH738" s="1526"/>
    </row>
    <row r="739" spans="1:60" s="1525" customFormat="1">
      <c r="A739" s="1456"/>
      <c r="B739" s="1535" t="s">
        <v>2529</v>
      </c>
      <c r="C739" s="1365"/>
      <c r="D739" s="1365"/>
      <c r="E739" s="1365"/>
      <c r="F739" s="1365"/>
      <c r="G739" s="1555"/>
      <c r="H739" s="1365"/>
      <c r="I739" s="1555"/>
      <c r="J739" s="1365"/>
      <c r="K739" s="1365"/>
      <c r="L739" s="1365"/>
      <c r="M739" s="1365"/>
      <c r="N739" s="1365"/>
      <c r="O739" s="1365"/>
      <c r="P739" s="1365"/>
      <c r="Q739" s="1365"/>
      <c r="R739" s="1365"/>
      <c r="S739" s="1365"/>
      <c r="T739" s="1555">
        <f t="shared" ref="T739:T751" si="730">(H739+K739+L739+R739)*23.5%</f>
        <v>0</v>
      </c>
      <c r="U739" s="1554">
        <f t="shared" ref="U739:U750" si="731">V739+W739+AH739</f>
        <v>0</v>
      </c>
      <c r="V739" s="1554">
        <f t="shared" ref="V739:V776" si="732">(H739/1.39)*1.49</f>
        <v>0</v>
      </c>
      <c r="W739" s="1554">
        <f t="shared" ref="W739:W777" si="733">SUM(X739:AG739)</f>
        <v>0</v>
      </c>
      <c r="X739" s="1554">
        <f t="shared" ref="X739:AG763" si="734">(J739/1.39)*1.49</f>
        <v>0</v>
      </c>
      <c r="Y739" s="1554">
        <f t="shared" si="734"/>
        <v>0</v>
      </c>
      <c r="Z739" s="1554">
        <f t="shared" si="734"/>
        <v>0</v>
      </c>
      <c r="AA739" s="1554">
        <f t="shared" si="734"/>
        <v>0</v>
      </c>
      <c r="AB739" s="1554">
        <f t="shared" si="734"/>
        <v>0</v>
      </c>
      <c r="AC739" s="1554">
        <f t="shared" si="734"/>
        <v>0</v>
      </c>
      <c r="AD739" s="1554">
        <f t="shared" si="734"/>
        <v>0</v>
      </c>
      <c r="AE739" s="1554">
        <f t="shared" si="734"/>
        <v>0</v>
      </c>
      <c r="AF739" s="1554">
        <f t="shared" si="734"/>
        <v>0</v>
      </c>
      <c r="AG739" s="1554">
        <f t="shared" si="734"/>
        <v>0</v>
      </c>
      <c r="AH739" s="1554">
        <f t="shared" ref="AH739:AH750" si="735">(V739+Y739+Z739+AF739)*23.5%</f>
        <v>0</v>
      </c>
      <c r="AI739" s="1556">
        <f t="shared" ref="AI739:AI750" si="736">U739-G739</f>
        <v>0</v>
      </c>
      <c r="AJ739" s="1556">
        <f t="shared" ref="AJ739:AJ750" si="737">AI739*6</f>
        <v>0</v>
      </c>
      <c r="AL739" s="561"/>
      <c r="AM739" s="1526"/>
      <c r="AN739" s="1526"/>
      <c r="AO739" s="1526"/>
      <c r="AP739" s="1526"/>
      <c r="AQ739" s="1526"/>
      <c r="AR739" s="1526"/>
      <c r="AS739" s="1526"/>
      <c r="AT739" s="1526"/>
      <c r="AU739" s="1526"/>
      <c r="AV739" s="1526"/>
      <c r="AW739" s="1526"/>
      <c r="AX739" s="1526"/>
      <c r="AY739" s="1526"/>
      <c r="AZ739" s="1526"/>
      <c r="BA739" s="1526"/>
      <c r="BB739" s="1526"/>
      <c r="BC739" s="1526"/>
      <c r="BD739" s="1526"/>
      <c r="BE739" s="1526"/>
      <c r="BF739" s="1526"/>
      <c r="BG739" s="1526"/>
      <c r="BH739" s="1526"/>
    </row>
    <row r="740" spans="1:60" s="1525" customFormat="1">
      <c r="A740" s="1456"/>
      <c r="B740" s="1449" t="s">
        <v>2491</v>
      </c>
      <c r="C740" s="1365"/>
      <c r="D740" s="1365"/>
      <c r="E740" s="1365"/>
      <c r="F740" s="1365"/>
      <c r="G740" s="1553">
        <f t="shared" ref="G740" si="738">H740+I740+T740</f>
        <v>0</v>
      </c>
      <c r="H740" s="1365"/>
      <c r="I740" s="1553">
        <f>SUM(J740:S740)</f>
        <v>0</v>
      </c>
      <c r="J740" s="1365"/>
      <c r="K740" s="1492"/>
      <c r="L740" s="1365"/>
      <c r="M740" s="1365"/>
      <c r="N740" s="1365"/>
      <c r="O740" s="1365"/>
      <c r="P740" s="1365"/>
      <c r="Q740" s="1365"/>
      <c r="R740" s="1365"/>
      <c r="S740" s="1492"/>
      <c r="T740" s="1555">
        <f t="shared" si="730"/>
        <v>0</v>
      </c>
      <c r="U740" s="1554">
        <f t="shared" si="731"/>
        <v>0</v>
      </c>
      <c r="V740" s="1554">
        <f t="shared" si="732"/>
        <v>0</v>
      </c>
      <c r="W740" s="1554">
        <f t="shared" si="733"/>
        <v>0</v>
      </c>
      <c r="X740" s="1554">
        <f t="shared" si="734"/>
        <v>0</v>
      </c>
      <c r="Y740" s="1554">
        <f t="shared" si="734"/>
        <v>0</v>
      </c>
      <c r="Z740" s="1554">
        <f t="shared" si="734"/>
        <v>0</v>
      </c>
      <c r="AA740" s="1554">
        <f t="shared" si="734"/>
        <v>0</v>
      </c>
      <c r="AB740" s="1554">
        <f t="shared" si="734"/>
        <v>0</v>
      </c>
      <c r="AC740" s="1554">
        <f t="shared" si="734"/>
        <v>0</v>
      </c>
      <c r="AD740" s="1554">
        <f t="shared" si="734"/>
        <v>0</v>
      </c>
      <c r="AE740" s="1554">
        <f t="shared" si="734"/>
        <v>0</v>
      </c>
      <c r="AF740" s="1554">
        <f t="shared" si="734"/>
        <v>0</v>
      </c>
      <c r="AG740" s="1554">
        <f t="shared" si="734"/>
        <v>0</v>
      </c>
      <c r="AH740" s="1554">
        <f t="shared" si="735"/>
        <v>0</v>
      </c>
      <c r="AI740" s="1556">
        <f t="shared" si="736"/>
        <v>0</v>
      </c>
      <c r="AJ740" s="1556">
        <f t="shared" si="737"/>
        <v>0</v>
      </c>
      <c r="AL740" s="561"/>
      <c r="AM740" s="1526"/>
      <c r="AN740" s="1526"/>
      <c r="AO740" s="1526"/>
      <c r="AP740" s="1526"/>
      <c r="AQ740" s="1526"/>
      <c r="AR740" s="1526"/>
      <c r="AS740" s="1526"/>
      <c r="AT740" s="1526"/>
      <c r="AU740" s="1526"/>
      <c r="AV740" s="1526"/>
      <c r="AW740" s="1526"/>
      <c r="AX740" s="1526"/>
      <c r="AY740" s="1526"/>
      <c r="AZ740" s="1526"/>
      <c r="BA740" s="1526"/>
      <c r="BB740" s="1526"/>
      <c r="BC740" s="1526"/>
      <c r="BD740" s="1526"/>
      <c r="BE740" s="1526"/>
      <c r="BF740" s="1526"/>
      <c r="BG740" s="1526"/>
      <c r="BH740" s="1526"/>
    </row>
    <row r="741" spans="1:60" s="1525" customFormat="1">
      <c r="A741" s="1456"/>
      <c r="B741" s="1535" t="s">
        <v>2529</v>
      </c>
      <c r="C741" s="1365"/>
      <c r="D741" s="1365"/>
      <c r="E741" s="1365"/>
      <c r="F741" s="1365"/>
      <c r="G741" s="1555"/>
      <c r="H741" s="1365"/>
      <c r="I741" s="1553">
        <f>SUM(J741:S741)</f>
        <v>0</v>
      </c>
      <c r="J741" s="1365"/>
      <c r="K741" s="1365"/>
      <c r="L741" s="1365"/>
      <c r="M741" s="1365"/>
      <c r="N741" s="1365"/>
      <c r="O741" s="1365"/>
      <c r="P741" s="1365"/>
      <c r="Q741" s="1365"/>
      <c r="R741" s="1365"/>
      <c r="S741" s="1365"/>
      <c r="T741" s="1555">
        <f t="shared" si="730"/>
        <v>0</v>
      </c>
      <c r="U741" s="1554">
        <f t="shared" si="731"/>
        <v>0</v>
      </c>
      <c r="V741" s="1554">
        <f t="shared" si="732"/>
        <v>0</v>
      </c>
      <c r="W741" s="1554">
        <f t="shared" si="733"/>
        <v>0</v>
      </c>
      <c r="X741" s="1554">
        <f t="shared" si="734"/>
        <v>0</v>
      </c>
      <c r="Y741" s="1554">
        <f t="shared" si="734"/>
        <v>0</v>
      </c>
      <c r="Z741" s="1554">
        <f t="shared" si="734"/>
        <v>0</v>
      </c>
      <c r="AA741" s="1554">
        <f t="shared" si="734"/>
        <v>0</v>
      </c>
      <c r="AB741" s="1554">
        <f t="shared" si="734"/>
        <v>0</v>
      </c>
      <c r="AC741" s="1554">
        <f t="shared" si="734"/>
        <v>0</v>
      </c>
      <c r="AD741" s="1554">
        <f t="shared" si="734"/>
        <v>0</v>
      </c>
      <c r="AE741" s="1554">
        <f t="shared" si="734"/>
        <v>0</v>
      </c>
      <c r="AF741" s="1554">
        <f t="shared" si="734"/>
        <v>0</v>
      </c>
      <c r="AG741" s="1554">
        <f t="shared" si="734"/>
        <v>0</v>
      </c>
      <c r="AH741" s="1554">
        <f t="shared" si="735"/>
        <v>0</v>
      </c>
      <c r="AI741" s="1556">
        <f t="shared" si="736"/>
        <v>0</v>
      </c>
      <c r="AJ741" s="1556">
        <f t="shared" si="737"/>
        <v>0</v>
      </c>
      <c r="AL741" s="561"/>
      <c r="AM741" s="1526"/>
      <c r="AN741" s="1526"/>
      <c r="AO741" s="1526"/>
      <c r="AP741" s="1526"/>
      <c r="AQ741" s="1526"/>
      <c r="AR741" s="1526"/>
      <c r="AS741" s="1526"/>
      <c r="AT741" s="1526"/>
      <c r="AU741" s="1526"/>
      <c r="AV741" s="1526"/>
      <c r="AW741" s="1526"/>
      <c r="AX741" s="1526"/>
      <c r="AY741" s="1526"/>
      <c r="AZ741" s="1526"/>
      <c r="BA741" s="1526"/>
      <c r="BB741" s="1526"/>
      <c r="BC741" s="1526"/>
      <c r="BD741" s="1526"/>
      <c r="BE741" s="1526"/>
      <c r="BF741" s="1526"/>
      <c r="BG741" s="1526"/>
      <c r="BH741" s="1526"/>
    </row>
    <row r="742" spans="1:60" s="1525" customFormat="1">
      <c r="A742" s="1375">
        <v>2</v>
      </c>
      <c r="B742" s="1376" t="s">
        <v>2237</v>
      </c>
      <c r="C742" s="1365"/>
      <c r="D742" s="1365"/>
      <c r="E742" s="1365"/>
      <c r="F742" s="1365"/>
      <c r="G742" s="1553">
        <f t="shared" ref="G742:G777" si="739">H742+I742+T742</f>
        <v>0</v>
      </c>
      <c r="H742" s="1365"/>
      <c r="I742" s="1553">
        <f>SUM(J742:S742)</f>
        <v>0</v>
      </c>
      <c r="J742" s="1365"/>
      <c r="K742" s="1365"/>
      <c r="L742" s="1365"/>
      <c r="M742" s="1365"/>
      <c r="N742" s="1365"/>
      <c r="O742" s="1365"/>
      <c r="P742" s="1365"/>
      <c r="Q742" s="1365"/>
      <c r="R742" s="1365"/>
      <c r="S742" s="1365"/>
      <c r="T742" s="1555">
        <f t="shared" si="730"/>
        <v>0</v>
      </c>
      <c r="U742" s="1554">
        <f t="shared" si="731"/>
        <v>0</v>
      </c>
      <c r="V742" s="1554">
        <f t="shared" si="732"/>
        <v>0</v>
      </c>
      <c r="W742" s="1554">
        <f t="shared" si="733"/>
        <v>0</v>
      </c>
      <c r="X742" s="1554">
        <f t="shared" si="734"/>
        <v>0</v>
      </c>
      <c r="Y742" s="1554">
        <f t="shared" si="734"/>
        <v>0</v>
      </c>
      <c r="Z742" s="1554">
        <f t="shared" si="734"/>
        <v>0</v>
      </c>
      <c r="AA742" s="1554">
        <f t="shared" si="734"/>
        <v>0</v>
      </c>
      <c r="AB742" s="1554">
        <f t="shared" si="734"/>
        <v>0</v>
      </c>
      <c r="AC742" s="1554">
        <f t="shared" si="734"/>
        <v>0</v>
      </c>
      <c r="AD742" s="1554">
        <f t="shared" si="734"/>
        <v>0</v>
      </c>
      <c r="AE742" s="1554">
        <f t="shared" si="734"/>
        <v>0</v>
      </c>
      <c r="AF742" s="1554">
        <f t="shared" si="734"/>
        <v>0</v>
      </c>
      <c r="AG742" s="1554">
        <f t="shared" si="734"/>
        <v>0</v>
      </c>
      <c r="AH742" s="1554">
        <f t="shared" si="735"/>
        <v>0</v>
      </c>
      <c r="AI742" s="1556">
        <f t="shared" si="736"/>
        <v>0</v>
      </c>
      <c r="AJ742" s="1556">
        <f t="shared" si="737"/>
        <v>0</v>
      </c>
      <c r="AL742" s="561"/>
      <c r="AM742" s="1526"/>
      <c r="AN742" s="1526"/>
      <c r="AO742" s="1526"/>
      <c r="AP742" s="1526"/>
      <c r="AQ742" s="1526"/>
      <c r="AR742" s="1526"/>
      <c r="AS742" s="1526"/>
      <c r="AT742" s="1526"/>
      <c r="AU742" s="1526"/>
      <c r="AV742" s="1526"/>
      <c r="AW742" s="1526"/>
      <c r="AX742" s="1526"/>
      <c r="AY742" s="1526"/>
      <c r="AZ742" s="1526"/>
      <c r="BA742" s="1526"/>
      <c r="BB742" s="1526"/>
      <c r="BC742" s="1526"/>
      <c r="BD742" s="1526"/>
      <c r="BE742" s="1526"/>
      <c r="BF742" s="1526"/>
      <c r="BG742" s="1526"/>
      <c r="BH742" s="1526"/>
    </row>
    <row r="743" spans="1:60" s="1525" customFormat="1">
      <c r="A743" s="1456"/>
      <c r="B743" s="1535" t="s">
        <v>2529</v>
      </c>
      <c r="C743" s="1365"/>
      <c r="D743" s="1365"/>
      <c r="E743" s="1365"/>
      <c r="F743" s="1365"/>
      <c r="G743" s="1555"/>
      <c r="H743" s="1365"/>
      <c r="I743" s="1555"/>
      <c r="J743" s="1365"/>
      <c r="K743" s="1365"/>
      <c r="L743" s="1365"/>
      <c r="M743" s="1365"/>
      <c r="N743" s="1365"/>
      <c r="O743" s="1365"/>
      <c r="P743" s="1365"/>
      <c r="Q743" s="1365"/>
      <c r="R743" s="1365"/>
      <c r="S743" s="1365"/>
      <c r="T743" s="1555">
        <f t="shared" si="730"/>
        <v>0</v>
      </c>
      <c r="U743" s="1554">
        <f t="shared" si="731"/>
        <v>0</v>
      </c>
      <c r="V743" s="1554">
        <f t="shared" si="732"/>
        <v>0</v>
      </c>
      <c r="W743" s="1554">
        <f t="shared" si="733"/>
        <v>0</v>
      </c>
      <c r="X743" s="1554">
        <f t="shared" si="734"/>
        <v>0</v>
      </c>
      <c r="Y743" s="1554">
        <f t="shared" si="734"/>
        <v>0</v>
      </c>
      <c r="Z743" s="1554">
        <f t="shared" si="734"/>
        <v>0</v>
      </c>
      <c r="AA743" s="1554">
        <f t="shared" si="734"/>
        <v>0</v>
      </c>
      <c r="AB743" s="1554">
        <f t="shared" si="734"/>
        <v>0</v>
      </c>
      <c r="AC743" s="1554" t="s">
        <v>2530</v>
      </c>
      <c r="AD743" s="1554">
        <f t="shared" si="734"/>
        <v>0</v>
      </c>
      <c r="AE743" s="1554">
        <f t="shared" si="734"/>
        <v>0</v>
      </c>
      <c r="AF743" s="1554">
        <f t="shared" si="734"/>
        <v>0</v>
      </c>
      <c r="AG743" s="1554">
        <f t="shared" si="734"/>
        <v>0</v>
      </c>
      <c r="AH743" s="1554">
        <f t="shared" si="735"/>
        <v>0</v>
      </c>
      <c r="AI743" s="1556">
        <f t="shared" si="736"/>
        <v>0</v>
      </c>
      <c r="AJ743" s="1556">
        <f t="shared" si="737"/>
        <v>0</v>
      </c>
      <c r="AL743" s="561"/>
      <c r="AM743" s="1526"/>
      <c r="AN743" s="1526"/>
      <c r="AO743" s="1526"/>
      <c r="AP743" s="1526"/>
      <c r="AQ743" s="1526"/>
      <c r="AR743" s="1526"/>
      <c r="AS743" s="1526"/>
      <c r="AT743" s="1526"/>
      <c r="AU743" s="1526"/>
      <c r="AV743" s="1526"/>
      <c r="AW743" s="1526"/>
      <c r="AX743" s="1526"/>
      <c r="AY743" s="1526"/>
      <c r="AZ743" s="1526"/>
      <c r="BA743" s="1526"/>
      <c r="BB743" s="1526"/>
      <c r="BC743" s="1526"/>
      <c r="BD743" s="1526"/>
      <c r="BE743" s="1526"/>
      <c r="BF743" s="1526"/>
      <c r="BG743" s="1526"/>
      <c r="BH743" s="1526"/>
    </row>
    <row r="744" spans="1:60" s="1525" customFormat="1">
      <c r="A744" s="1375">
        <v>3</v>
      </c>
      <c r="B744" s="1376" t="s">
        <v>2531</v>
      </c>
      <c r="C744" s="1365"/>
      <c r="D744" s="1365"/>
      <c r="E744" s="1365"/>
      <c r="F744" s="1365"/>
      <c r="G744" s="1553">
        <f t="shared" si="739"/>
        <v>0</v>
      </c>
      <c r="H744" s="1365"/>
      <c r="I744" s="1553">
        <f t="shared" ref="I744:I750" si="740">SUM(J744:S744)</f>
        <v>0</v>
      </c>
      <c r="J744" s="1365"/>
      <c r="K744" s="1365"/>
      <c r="L744" s="1365"/>
      <c r="M744" s="1365"/>
      <c r="N744" s="1365"/>
      <c r="O744" s="1365"/>
      <c r="P744" s="1365"/>
      <c r="Q744" s="1365"/>
      <c r="R744" s="1365"/>
      <c r="S744" s="1365"/>
      <c r="T744" s="1555">
        <f t="shared" si="730"/>
        <v>0</v>
      </c>
      <c r="U744" s="1554">
        <f t="shared" si="731"/>
        <v>0</v>
      </c>
      <c r="V744" s="1554">
        <f t="shared" si="732"/>
        <v>0</v>
      </c>
      <c r="W744" s="1554">
        <f t="shared" si="733"/>
        <v>0</v>
      </c>
      <c r="X744" s="1554">
        <f t="shared" si="734"/>
        <v>0</v>
      </c>
      <c r="Y744" s="1554">
        <f t="shared" si="734"/>
        <v>0</v>
      </c>
      <c r="Z744" s="1554">
        <f t="shared" si="734"/>
        <v>0</v>
      </c>
      <c r="AA744" s="1554">
        <f t="shared" si="734"/>
        <v>0</v>
      </c>
      <c r="AB744" s="1554">
        <f t="shared" si="734"/>
        <v>0</v>
      </c>
      <c r="AC744" s="1554">
        <f t="shared" si="734"/>
        <v>0</v>
      </c>
      <c r="AD744" s="1554">
        <f t="shared" si="734"/>
        <v>0</v>
      </c>
      <c r="AE744" s="1554">
        <f t="shared" si="734"/>
        <v>0</v>
      </c>
      <c r="AF744" s="1554">
        <f t="shared" si="734"/>
        <v>0</v>
      </c>
      <c r="AG744" s="1554">
        <f t="shared" si="734"/>
        <v>0</v>
      </c>
      <c r="AH744" s="1554">
        <f t="shared" si="735"/>
        <v>0</v>
      </c>
      <c r="AI744" s="1556">
        <f t="shared" si="736"/>
        <v>0</v>
      </c>
      <c r="AJ744" s="1556">
        <f t="shared" si="737"/>
        <v>0</v>
      </c>
      <c r="AL744" s="561"/>
      <c r="AM744" s="1526"/>
      <c r="AN744" s="1526"/>
      <c r="AO744" s="1526"/>
      <c r="AP744" s="1526"/>
      <c r="AQ744" s="1526"/>
      <c r="AR744" s="1526"/>
      <c r="AS744" s="1526"/>
      <c r="AT744" s="1526"/>
      <c r="AU744" s="1526"/>
      <c r="AV744" s="1526"/>
      <c r="AW744" s="1526"/>
      <c r="AX744" s="1526"/>
      <c r="AY744" s="1526"/>
      <c r="AZ744" s="1526"/>
      <c r="BA744" s="1526"/>
      <c r="BB744" s="1526"/>
      <c r="BC744" s="1526"/>
      <c r="BD744" s="1526"/>
      <c r="BE744" s="1526"/>
      <c r="BF744" s="1526"/>
      <c r="BG744" s="1526"/>
      <c r="BH744" s="1526"/>
    </row>
    <row r="745" spans="1:60" s="1525" customFormat="1">
      <c r="A745" s="1375">
        <v>4</v>
      </c>
      <c r="B745" s="1376" t="s">
        <v>2532</v>
      </c>
      <c r="C745" s="1365"/>
      <c r="D745" s="1365"/>
      <c r="E745" s="1365"/>
      <c r="F745" s="1365"/>
      <c r="G745" s="1553">
        <f t="shared" si="739"/>
        <v>0</v>
      </c>
      <c r="H745" s="1365"/>
      <c r="I745" s="1553">
        <f t="shared" si="740"/>
        <v>0</v>
      </c>
      <c r="J745" s="1365"/>
      <c r="K745" s="1365"/>
      <c r="L745" s="1365"/>
      <c r="M745" s="1365"/>
      <c r="N745" s="1365"/>
      <c r="O745" s="1365"/>
      <c r="P745" s="1365"/>
      <c r="Q745" s="1365"/>
      <c r="R745" s="1365"/>
      <c r="S745" s="1365"/>
      <c r="T745" s="1555">
        <f t="shared" si="730"/>
        <v>0</v>
      </c>
      <c r="U745" s="1554">
        <f t="shared" si="731"/>
        <v>0</v>
      </c>
      <c r="V745" s="1554">
        <f t="shared" si="732"/>
        <v>0</v>
      </c>
      <c r="W745" s="1554">
        <f t="shared" si="733"/>
        <v>0</v>
      </c>
      <c r="X745" s="1554">
        <f t="shared" si="734"/>
        <v>0</v>
      </c>
      <c r="Y745" s="1554">
        <f t="shared" si="734"/>
        <v>0</v>
      </c>
      <c r="Z745" s="1554">
        <f t="shared" si="734"/>
        <v>0</v>
      </c>
      <c r="AA745" s="1554">
        <f t="shared" si="734"/>
        <v>0</v>
      </c>
      <c r="AB745" s="1554">
        <f t="shared" si="734"/>
        <v>0</v>
      </c>
      <c r="AC745" s="1554">
        <f t="shared" si="734"/>
        <v>0</v>
      </c>
      <c r="AD745" s="1554">
        <f t="shared" si="734"/>
        <v>0</v>
      </c>
      <c r="AE745" s="1554">
        <f t="shared" si="734"/>
        <v>0</v>
      </c>
      <c r="AF745" s="1554">
        <f t="shared" si="734"/>
        <v>0</v>
      </c>
      <c r="AG745" s="1554">
        <f t="shared" si="734"/>
        <v>0</v>
      </c>
      <c r="AH745" s="1554">
        <f t="shared" si="735"/>
        <v>0</v>
      </c>
      <c r="AI745" s="1556">
        <f t="shared" si="736"/>
        <v>0</v>
      </c>
      <c r="AJ745" s="1556">
        <f t="shared" si="737"/>
        <v>0</v>
      </c>
      <c r="AL745" s="561"/>
      <c r="AM745" s="1526"/>
      <c r="AN745" s="1526"/>
      <c r="AO745" s="1526"/>
      <c r="AP745" s="1526"/>
      <c r="AQ745" s="1526"/>
      <c r="AR745" s="1526"/>
      <c r="AS745" s="1526"/>
      <c r="AT745" s="1526"/>
      <c r="AU745" s="1526"/>
      <c r="AV745" s="1526"/>
      <c r="AW745" s="1526"/>
      <c r="AX745" s="1526"/>
      <c r="AY745" s="1526"/>
      <c r="AZ745" s="1526"/>
      <c r="BA745" s="1526"/>
      <c r="BB745" s="1526"/>
      <c r="BC745" s="1526"/>
      <c r="BD745" s="1526"/>
      <c r="BE745" s="1526"/>
      <c r="BF745" s="1526"/>
      <c r="BG745" s="1526"/>
      <c r="BH745" s="1526"/>
    </row>
    <row r="746" spans="1:60" s="1525" customFormat="1">
      <c r="A746" s="1375">
        <v>5</v>
      </c>
      <c r="B746" s="1376" t="s">
        <v>2533</v>
      </c>
      <c r="C746" s="1365"/>
      <c r="D746" s="1365"/>
      <c r="E746" s="1365"/>
      <c r="F746" s="1365"/>
      <c r="G746" s="1553">
        <f t="shared" si="739"/>
        <v>0</v>
      </c>
      <c r="H746" s="1365"/>
      <c r="I746" s="1595">
        <f t="shared" si="740"/>
        <v>0</v>
      </c>
      <c r="J746" s="1365"/>
      <c r="K746" s="1492"/>
      <c r="L746" s="1365"/>
      <c r="M746" s="1365"/>
      <c r="N746" s="1365"/>
      <c r="O746" s="1365"/>
      <c r="P746" s="1365"/>
      <c r="Q746" s="1365"/>
      <c r="R746" s="1365"/>
      <c r="S746" s="1492"/>
      <c r="T746" s="1555">
        <f t="shared" si="730"/>
        <v>0</v>
      </c>
      <c r="U746" s="1554">
        <f t="shared" si="731"/>
        <v>0</v>
      </c>
      <c r="V746" s="1554">
        <f t="shared" si="732"/>
        <v>0</v>
      </c>
      <c r="W746" s="1596">
        <f t="shared" si="733"/>
        <v>0</v>
      </c>
      <c r="X746" s="1554">
        <f t="shared" si="734"/>
        <v>0</v>
      </c>
      <c r="Y746" s="1596">
        <f t="shared" si="734"/>
        <v>0</v>
      </c>
      <c r="Z746" s="1554">
        <f t="shared" si="734"/>
        <v>0</v>
      </c>
      <c r="AA746" s="1554">
        <f t="shared" si="734"/>
        <v>0</v>
      </c>
      <c r="AB746" s="1554">
        <f t="shared" si="734"/>
        <v>0</v>
      </c>
      <c r="AC746" s="1554">
        <f t="shared" si="734"/>
        <v>0</v>
      </c>
      <c r="AD746" s="1554">
        <f t="shared" si="734"/>
        <v>0</v>
      </c>
      <c r="AE746" s="1554">
        <f t="shared" si="734"/>
        <v>0</v>
      </c>
      <c r="AF746" s="1554">
        <f t="shared" si="734"/>
        <v>0</v>
      </c>
      <c r="AG746" s="1596">
        <f t="shared" si="734"/>
        <v>0</v>
      </c>
      <c r="AH746" s="1554">
        <f t="shared" si="735"/>
        <v>0</v>
      </c>
      <c r="AI746" s="1556">
        <f t="shared" si="736"/>
        <v>0</v>
      </c>
      <c r="AJ746" s="1556">
        <f t="shared" si="737"/>
        <v>0</v>
      </c>
      <c r="AL746" s="561"/>
      <c r="AM746" s="1526"/>
      <c r="AN746" s="1526"/>
      <c r="AO746" s="1526"/>
      <c r="AP746" s="1526"/>
      <c r="AQ746" s="1526"/>
      <c r="AR746" s="1526"/>
      <c r="AS746" s="1526"/>
      <c r="AT746" s="1526"/>
      <c r="AU746" s="1526"/>
      <c r="AV746" s="1526"/>
      <c r="AW746" s="1526"/>
      <c r="AX746" s="1526"/>
      <c r="AY746" s="1526"/>
      <c r="AZ746" s="1526"/>
      <c r="BA746" s="1526"/>
      <c r="BB746" s="1526"/>
      <c r="BC746" s="1526"/>
      <c r="BD746" s="1526"/>
      <c r="BE746" s="1526"/>
      <c r="BF746" s="1526"/>
      <c r="BG746" s="1526"/>
      <c r="BH746" s="1526"/>
    </row>
    <row r="747" spans="1:60" s="1525" customFormat="1">
      <c r="A747" s="1375">
        <v>6</v>
      </c>
      <c r="B747" s="1376" t="s">
        <v>2534</v>
      </c>
      <c r="C747" s="1365"/>
      <c r="D747" s="1365"/>
      <c r="E747" s="1365"/>
      <c r="F747" s="1365"/>
      <c r="G747" s="1553">
        <f t="shared" si="739"/>
        <v>0</v>
      </c>
      <c r="H747" s="1365"/>
      <c r="I747" s="1553">
        <f t="shared" si="740"/>
        <v>0</v>
      </c>
      <c r="J747" s="1365"/>
      <c r="K747" s="1365"/>
      <c r="L747" s="1365"/>
      <c r="M747" s="1365"/>
      <c r="N747" s="1365"/>
      <c r="O747" s="1365"/>
      <c r="P747" s="1365"/>
      <c r="Q747" s="1365"/>
      <c r="R747" s="1365"/>
      <c r="S747" s="1365"/>
      <c r="T747" s="1555">
        <f t="shared" si="730"/>
        <v>0</v>
      </c>
      <c r="U747" s="1554">
        <f t="shared" si="731"/>
        <v>0</v>
      </c>
      <c r="V747" s="1554">
        <f t="shared" si="732"/>
        <v>0</v>
      </c>
      <c r="W747" s="1554">
        <f t="shared" si="733"/>
        <v>0</v>
      </c>
      <c r="X747" s="1554">
        <f t="shared" si="734"/>
        <v>0</v>
      </c>
      <c r="Y747" s="1554">
        <f t="shared" si="734"/>
        <v>0</v>
      </c>
      <c r="Z747" s="1554">
        <f t="shared" si="734"/>
        <v>0</v>
      </c>
      <c r="AA747" s="1554">
        <f t="shared" si="734"/>
        <v>0</v>
      </c>
      <c r="AB747" s="1554">
        <f t="shared" si="734"/>
        <v>0</v>
      </c>
      <c r="AC747" s="1554">
        <f t="shared" si="734"/>
        <v>0</v>
      </c>
      <c r="AD747" s="1554">
        <f t="shared" si="734"/>
        <v>0</v>
      </c>
      <c r="AE747" s="1554">
        <f t="shared" si="734"/>
        <v>0</v>
      </c>
      <c r="AF747" s="1554">
        <f t="shared" si="734"/>
        <v>0</v>
      </c>
      <c r="AG747" s="1554">
        <f t="shared" si="734"/>
        <v>0</v>
      </c>
      <c r="AH747" s="1554">
        <f t="shared" si="735"/>
        <v>0</v>
      </c>
      <c r="AI747" s="1556">
        <f t="shared" si="736"/>
        <v>0</v>
      </c>
      <c r="AJ747" s="1556">
        <f t="shared" si="737"/>
        <v>0</v>
      </c>
      <c r="AL747" s="561"/>
      <c r="AM747" s="1526"/>
      <c r="AN747" s="1526"/>
      <c r="AO747" s="1526"/>
      <c r="AP747" s="1526"/>
      <c r="AQ747" s="1526"/>
      <c r="AR747" s="1526"/>
      <c r="AS747" s="1526"/>
      <c r="AT747" s="1526"/>
      <c r="AU747" s="1526"/>
      <c r="AV747" s="1526"/>
      <c r="AW747" s="1526"/>
      <c r="AX747" s="1526"/>
      <c r="AY747" s="1526"/>
      <c r="AZ747" s="1526"/>
      <c r="BA747" s="1526"/>
      <c r="BB747" s="1526"/>
      <c r="BC747" s="1526"/>
      <c r="BD747" s="1526"/>
      <c r="BE747" s="1526"/>
      <c r="BF747" s="1526"/>
      <c r="BG747" s="1526"/>
      <c r="BH747" s="1526"/>
    </row>
    <row r="748" spans="1:60" s="1525" customFormat="1">
      <c r="A748" s="1375">
        <v>7</v>
      </c>
      <c r="B748" s="1376" t="s">
        <v>2535</v>
      </c>
      <c r="C748" s="1365"/>
      <c r="D748" s="1365"/>
      <c r="E748" s="1365"/>
      <c r="F748" s="1365"/>
      <c r="G748" s="1553">
        <f t="shared" si="739"/>
        <v>0</v>
      </c>
      <c r="H748" s="1365"/>
      <c r="I748" s="1553">
        <f t="shared" si="740"/>
        <v>0</v>
      </c>
      <c r="J748" s="1365"/>
      <c r="K748" s="1365"/>
      <c r="L748" s="1365"/>
      <c r="M748" s="1365"/>
      <c r="N748" s="1365"/>
      <c r="O748" s="1365"/>
      <c r="P748" s="1365"/>
      <c r="Q748" s="1365"/>
      <c r="R748" s="1365"/>
      <c r="S748" s="1365"/>
      <c r="T748" s="1555">
        <f t="shared" si="730"/>
        <v>0</v>
      </c>
      <c r="U748" s="1554">
        <f t="shared" si="731"/>
        <v>0</v>
      </c>
      <c r="V748" s="1554">
        <f t="shared" si="732"/>
        <v>0</v>
      </c>
      <c r="W748" s="1554">
        <f t="shared" si="733"/>
        <v>0</v>
      </c>
      <c r="X748" s="1554">
        <f t="shared" si="734"/>
        <v>0</v>
      </c>
      <c r="Y748" s="1554">
        <f t="shared" si="734"/>
        <v>0</v>
      </c>
      <c r="Z748" s="1554">
        <f t="shared" si="734"/>
        <v>0</v>
      </c>
      <c r="AA748" s="1554">
        <f t="shared" si="734"/>
        <v>0</v>
      </c>
      <c r="AB748" s="1554">
        <f t="shared" si="734"/>
        <v>0</v>
      </c>
      <c r="AC748" s="1554">
        <f t="shared" si="734"/>
        <v>0</v>
      </c>
      <c r="AD748" s="1554">
        <f t="shared" si="734"/>
        <v>0</v>
      </c>
      <c r="AE748" s="1554">
        <f t="shared" si="734"/>
        <v>0</v>
      </c>
      <c r="AF748" s="1554">
        <f t="shared" si="734"/>
        <v>0</v>
      </c>
      <c r="AG748" s="1554">
        <f t="shared" si="734"/>
        <v>0</v>
      </c>
      <c r="AH748" s="1554">
        <f t="shared" si="735"/>
        <v>0</v>
      </c>
      <c r="AI748" s="1556">
        <f t="shared" si="736"/>
        <v>0</v>
      </c>
      <c r="AJ748" s="1556">
        <f t="shared" si="737"/>
        <v>0</v>
      </c>
      <c r="AL748" s="561"/>
      <c r="AM748" s="1526"/>
      <c r="AN748" s="1526"/>
      <c r="AO748" s="1526"/>
      <c r="AP748" s="1526"/>
      <c r="AQ748" s="1526"/>
      <c r="AR748" s="1526"/>
      <c r="AS748" s="1526"/>
      <c r="AT748" s="1526"/>
      <c r="AU748" s="1526"/>
      <c r="AV748" s="1526"/>
      <c r="AW748" s="1526"/>
      <c r="AX748" s="1526"/>
      <c r="AY748" s="1526"/>
      <c r="AZ748" s="1526"/>
      <c r="BA748" s="1526"/>
      <c r="BB748" s="1526"/>
      <c r="BC748" s="1526"/>
      <c r="BD748" s="1526"/>
      <c r="BE748" s="1526"/>
      <c r="BF748" s="1526"/>
      <c r="BG748" s="1526"/>
      <c r="BH748" s="1526"/>
    </row>
    <row r="749" spans="1:60" s="1525" customFormat="1">
      <c r="A749" s="1375">
        <v>8</v>
      </c>
      <c r="B749" s="1590" t="s">
        <v>2536</v>
      </c>
      <c r="C749" s="1365"/>
      <c r="D749" s="1365"/>
      <c r="E749" s="1365"/>
      <c r="F749" s="1365"/>
      <c r="G749" s="1553">
        <f t="shared" si="739"/>
        <v>0</v>
      </c>
      <c r="H749" s="1365"/>
      <c r="I749" s="1553"/>
      <c r="J749" s="1365"/>
      <c r="K749" s="1365"/>
      <c r="L749" s="1365"/>
      <c r="M749" s="1365"/>
      <c r="N749" s="1365"/>
      <c r="O749" s="1365"/>
      <c r="P749" s="1365"/>
      <c r="Q749" s="1365"/>
      <c r="R749" s="1365"/>
      <c r="S749" s="1493"/>
      <c r="T749" s="1555">
        <f t="shared" si="730"/>
        <v>0</v>
      </c>
      <c r="U749" s="1554">
        <f t="shared" si="731"/>
        <v>0</v>
      </c>
      <c r="V749" s="1554">
        <f t="shared" si="732"/>
        <v>0</v>
      </c>
      <c r="W749" s="1554">
        <f t="shared" si="733"/>
        <v>0</v>
      </c>
      <c r="X749" s="1554">
        <f t="shared" si="734"/>
        <v>0</v>
      </c>
      <c r="Y749" s="1554">
        <f t="shared" si="734"/>
        <v>0</v>
      </c>
      <c r="Z749" s="1554">
        <f t="shared" si="734"/>
        <v>0</v>
      </c>
      <c r="AA749" s="1554">
        <f t="shared" si="734"/>
        <v>0</v>
      </c>
      <c r="AB749" s="1554">
        <f t="shared" si="734"/>
        <v>0</v>
      </c>
      <c r="AC749" s="1554">
        <f t="shared" si="734"/>
        <v>0</v>
      </c>
      <c r="AD749" s="1554">
        <f t="shared" si="734"/>
        <v>0</v>
      </c>
      <c r="AE749" s="1554">
        <f t="shared" si="734"/>
        <v>0</v>
      </c>
      <c r="AF749" s="1554">
        <f t="shared" si="734"/>
        <v>0</v>
      </c>
      <c r="AG749" s="1554">
        <f t="shared" si="734"/>
        <v>0</v>
      </c>
      <c r="AH749" s="1554">
        <f t="shared" si="735"/>
        <v>0</v>
      </c>
      <c r="AI749" s="1556">
        <f t="shared" si="736"/>
        <v>0</v>
      </c>
      <c r="AJ749" s="1556">
        <f t="shared" si="737"/>
        <v>0</v>
      </c>
      <c r="AL749" s="561"/>
      <c r="AM749" s="1526"/>
      <c r="AN749" s="1526"/>
      <c r="AO749" s="1526"/>
      <c r="AP749" s="1526"/>
      <c r="AQ749" s="1526"/>
      <c r="AR749" s="1526"/>
      <c r="AS749" s="1526"/>
      <c r="AT749" s="1526"/>
      <c r="AU749" s="1526"/>
      <c r="AV749" s="1526"/>
      <c r="AW749" s="1526"/>
      <c r="AX749" s="1526"/>
      <c r="AY749" s="1526"/>
      <c r="AZ749" s="1526"/>
      <c r="BA749" s="1526"/>
      <c r="BB749" s="1526"/>
      <c r="BC749" s="1526"/>
      <c r="BD749" s="1526"/>
      <c r="BE749" s="1526"/>
      <c r="BF749" s="1526"/>
      <c r="BG749" s="1526"/>
      <c r="BH749" s="1526"/>
    </row>
    <row r="750" spans="1:60" s="1525" customFormat="1">
      <c r="A750" s="1375">
        <v>9</v>
      </c>
      <c r="B750" s="1590" t="s">
        <v>2537</v>
      </c>
      <c r="C750" s="1365"/>
      <c r="D750" s="1365"/>
      <c r="E750" s="1365"/>
      <c r="F750" s="1365"/>
      <c r="G750" s="1553">
        <f t="shared" si="739"/>
        <v>0</v>
      </c>
      <c r="H750" s="1365"/>
      <c r="I750" s="1553">
        <f t="shared" si="740"/>
        <v>0</v>
      </c>
      <c r="J750" s="1365"/>
      <c r="K750" s="1365"/>
      <c r="L750" s="1365"/>
      <c r="M750" s="1365"/>
      <c r="N750" s="1365"/>
      <c r="O750" s="1365"/>
      <c r="P750" s="1365"/>
      <c r="Q750" s="1365"/>
      <c r="R750" s="1365"/>
      <c r="S750" s="1365"/>
      <c r="T750" s="1555">
        <f t="shared" si="730"/>
        <v>0</v>
      </c>
      <c r="U750" s="1554">
        <f t="shared" si="731"/>
        <v>0</v>
      </c>
      <c r="V750" s="1554">
        <f t="shared" si="732"/>
        <v>0</v>
      </c>
      <c r="W750" s="1554">
        <f t="shared" si="733"/>
        <v>0</v>
      </c>
      <c r="X750" s="1554">
        <f t="shared" si="734"/>
        <v>0</v>
      </c>
      <c r="Y750" s="1554">
        <f t="shared" si="734"/>
        <v>0</v>
      </c>
      <c r="Z750" s="1554">
        <f t="shared" si="734"/>
        <v>0</v>
      </c>
      <c r="AA750" s="1554">
        <f t="shared" si="734"/>
        <v>0</v>
      </c>
      <c r="AB750" s="1554">
        <f t="shared" si="734"/>
        <v>0</v>
      </c>
      <c r="AC750" s="1554">
        <f t="shared" si="734"/>
        <v>0</v>
      </c>
      <c r="AD750" s="1554">
        <f t="shared" si="734"/>
        <v>0</v>
      </c>
      <c r="AE750" s="1554">
        <f t="shared" si="734"/>
        <v>0</v>
      </c>
      <c r="AF750" s="1554">
        <f t="shared" si="734"/>
        <v>0</v>
      </c>
      <c r="AG750" s="1554">
        <f t="shared" si="734"/>
        <v>0</v>
      </c>
      <c r="AH750" s="1554">
        <f t="shared" si="735"/>
        <v>0</v>
      </c>
      <c r="AI750" s="1556">
        <f t="shared" si="736"/>
        <v>0</v>
      </c>
      <c r="AJ750" s="1556">
        <f t="shared" si="737"/>
        <v>0</v>
      </c>
      <c r="AL750" s="561"/>
      <c r="AM750" s="1526"/>
      <c r="AN750" s="1526"/>
      <c r="AO750" s="1526"/>
      <c r="AP750" s="1526"/>
      <c r="AQ750" s="1526"/>
      <c r="AR750" s="1526"/>
      <c r="AS750" s="1526"/>
      <c r="AT750" s="1526"/>
      <c r="AU750" s="1526"/>
      <c r="AV750" s="1526"/>
      <c r="AW750" s="1526"/>
      <c r="AX750" s="1526"/>
      <c r="AY750" s="1526"/>
      <c r="AZ750" s="1526"/>
      <c r="BA750" s="1526"/>
      <c r="BB750" s="1526"/>
      <c r="BC750" s="1526"/>
      <c r="BD750" s="1526"/>
      <c r="BE750" s="1526"/>
      <c r="BF750" s="1526"/>
      <c r="BG750" s="1526"/>
      <c r="BH750" s="1526"/>
    </row>
    <row r="751" spans="1:60" s="1525" customFormat="1">
      <c r="A751" s="1375">
        <v>10</v>
      </c>
      <c r="B751" s="1376" t="s">
        <v>2492</v>
      </c>
      <c r="C751" s="1555">
        <f>SUM(C752,C763,C769)</f>
        <v>0</v>
      </c>
      <c r="D751" s="1555"/>
      <c r="E751" s="1555"/>
      <c r="F751" s="1555">
        <f>SUM(F752,F763,F769)</f>
        <v>0</v>
      </c>
      <c r="G751" s="1553">
        <f t="shared" si="739"/>
        <v>0</v>
      </c>
      <c r="H751" s="1555">
        <f>SUM(H752,H763,H769)</f>
        <v>0</v>
      </c>
      <c r="I751" s="1555">
        <f t="shared" ref="I751:AJ751" si="741">SUM(I752:I769)</f>
        <v>0</v>
      </c>
      <c r="J751" s="1555">
        <f t="shared" ref="J751:S751" si="742">SUM(J752,J763,J769)</f>
        <v>0</v>
      </c>
      <c r="K751" s="1555">
        <f t="shared" si="742"/>
        <v>0</v>
      </c>
      <c r="L751" s="1555">
        <f t="shared" si="742"/>
        <v>0</v>
      </c>
      <c r="M751" s="1555">
        <f t="shared" si="742"/>
        <v>0</v>
      </c>
      <c r="N751" s="1555">
        <f t="shared" si="742"/>
        <v>0</v>
      </c>
      <c r="O751" s="1555">
        <f t="shared" si="742"/>
        <v>0</v>
      </c>
      <c r="P751" s="1555">
        <f t="shared" si="742"/>
        <v>0</v>
      </c>
      <c r="Q751" s="1555">
        <f t="shared" si="742"/>
        <v>0</v>
      </c>
      <c r="R751" s="1555">
        <f t="shared" si="742"/>
        <v>0</v>
      </c>
      <c r="S751" s="1555">
        <f t="shared" si="742"/>
        <v>0</v>
      </c>
      <c r="T751" s="1555">
        <f t="shared" si="730"/>
        <v>0</v>
      </c>
      <c r="U751" s="1555">
        <f t="shared" si="741"/>
        <v>435.12134750000001</v>
      </c>
      <c r="V751" s="1555"/>
      <c r="W751" s="1555">
        <f t="shared" si="741"/>
        <v>0</v>
      </c>
      <c r="X751" s="1555">
        <f t="shared" si="741"/>
        <v>0</v>
      </c>
      <c r="Y751" s="1555">
        <f t="shared" si="741"/>
        <v>0</v>
      </c>
      <c r="Z751" s="1555">
        <f t="shared" si="741"/>
        <v>0</v>
      </c>
      <c r="AA751" s="1555">
        <f t="shared" si="741"/>
        <v>0</v>
      </c>
      <c r="AB751" s="1555">
        <f t="shared" si="741"/>
        <v>0</v>
      </c>
      <c r="AC751" s="1555">
        <f t="shared" si="741"/>
        <v>0</v>
      </c>
      <c r="AD751" s="1555">
        <f t="shared" si="741"/>
        <v>0</v>
      </c>
      <c r="AE751" s="1555">
        <f t="shared" si="741"/>
        <v>0</v>
      </c>
      <c r="AF751" s="1555">
        <f t="shared" si="741"/>
        <v>0</v>
      </c>
      <c r="AG751" s="1555">
        <f t="shared" si="741"/>
        <v>0</v>
      </c>
      <c r="AH751" s="1555">
        <f t="shared" si="741"/>
        <v>79.920247500000002</v>
      </c>
      <c r="AI751" s="1555">
        <f t="shared" si="741"/>
        <v>29.202775000000059</v>
      </c>
      <c r="AJ751" s="1555">
        <f t="shared" si="741"/>
        <v>175.21665000000033</v>
      </c>
      <c r="AL751" s="561"/>
      <c r="AM751" s="1526"/>
      <c r="AN751" s="1526"/>
      <c r="AO751" s="1526"/>
      <c r="AP751" s="1526"/>
      <c r="AQ751" s="1526"/>
      <c r="AR751" s="1526"/>
      <c r="AS751" s="1526"/>
      <c r="AT751" s="1526"/>
      <c r="AU751" s="1526"/>
      <c r="AV751" s="1526"/>
      <c r="AW751" s="1526"/>
      <c r="AX751" s="1526"/>
      <c r="AY751" s="1526"/>
      <c r="AZ751" s="1526"/>
      <c r="BA751" s="1526"/>
      <c r="BB751" s="1526"/>
      <c r="BC751" s="1526"/>
      <c r="BD751" s="1526"/>
      <c r="BE751" s="1526"/>
      <c r="BF751" s="1526"/>
      <c r="BG751" s="1526"/>
      <c r="BH751" s="1526"/>
    </row>
    <row r="752" spans="1:60" s="1525" customFormat="1">
      <c r="A752" s="1499"/>
      <c r="B752" s="1520" t="s">
        <v>2538</v>
      </c>
      <c r="C752" s="1368"/>
      <c r="D752" s="1368"/>
      <c r="E752" s="1368"/>
      <c r="F752" s="1368"/>
      <c r="G752" s="1557">
        <f t="shared" si="739"/>
        <v>0</v>
      </c>
      <c r="H752" s="1368"/>
      <c r="I752" s="1557">
        <f>SUM(J752:S752)</f>
        <v>0</v>
      </c>
      <c r="J752" s="1368"/>
      <c r="K752" s="1368"/>
      <c r="L752" s="1368"/>
      <c r="M752" s="1368"/>
      <c r="N752" s="1368"/>
      <c r="O752" s="1368"/>
      <c r="P752" s="1368"/>
      <c r="Q752" s="1368"/>
      <c r="R752" s="1368"/>
      <c r="S752" s="1368"/>
      <c r="T752" s="1558">
        <f>(H752+K752+L752+R752)*22.5%</f>
        <v>0</v>
      </c>
      <c r="U752" s="1559">
        <f>V752+W752+AH752</f>
        <v>0</v>
      </c>
      <c r="V752" s="1554">
        <f t="shared" si="732"/>
        <v>0</v>
      </c>
      <c r="W752" s="1554">
        <f t="shared" si="733"/>
        <v>0</v>
      </c>
      <c r="X752" s="1554">
        <f t="shared" si="734"/>
        <v>0</v>
      </c>
      <c r="Y752" s="1554">
        <f t="shared" si="734"/>
        <v>0</v>
      </c>
      <c r="Z752" s="1554">
        <f t="shared" si="734"/>
        <v>0</v>
      </c>
      <c r="AA752" s="1554">
        <f t="shared" si="734"/>
        <v>0</v>
      </c>
      <c r="AB752" s="1554">
        <f t="shared" si="734"/>
        <v>0</v>
      </c>
      <c r="AC752" s="1554">
        <f t="shared" si="734"/>
        <v>0</v>
      </c>
      <c r="AD752" s="1554">
        <f t="shared" si="734"/>
        <v>0</v>
      </c>
      <c r="AE752" s="1554">
        <f t="shared" si="734"/>
        <v>0</v>
      </c>
      <c r="AF752" s="1554">
        <f t="shared" si="734"/>
        <v>0</v>
      </c>
      <c r="AG752" s="1554">
        <f t="shared" si="734"/>
        <v>0</v>
      </c>
      <c r="AH752" s="1560">
        <f>(V752+Y752+Z752+AF752)*22.5%</f>
        <v>0</v>
      </c>
      <c r="AI752" s="1561">
        <f t="shared" ref="AI752:AI776" si="743">U752-G752</f>
        <v>0</v>
      </c>
      <c r="AJ752" s="1561">
        <f t="shared" ref="AJ752:AJ776" si="744">AI752*6</f>
        <v>0</v>
      </c>
      <c r="AL752" s="561"/>
      <c r="AM752" s="1526"/>
      <c r="AN752" s="1526"/>
      <c r="AO752" s="1526"/>
      <c r="AP752" s="1526"/>
      <c r="AQ752" s="1526"/>
      <c r="AR752" s="1526"/>
      <c r="AS752" s="1526"/>
      <c r="AT752" s="1526"/>
      <c r="AU752" s="1526"/>
      <c r="AV752" s="1526"/>
      <c r="AW752" s="1526"/>
      <c r="AX752" s="1526"/>
      <c r="AY752" s="1526"/>
      <c r="AZ752" s="1526"/>
      <c r="BA752" s="1526"/>
      <c r="BB752" s="1526"/>
      <c r="BC752" s="1526"/>
      <c r="BD752" s="1526"/>
      <c r="BE752" s="1526"/>
      <c r="BF752" s="1526"/>
      <c r="BG752" s="1526"/>
      <c r="BH752" s="1526"/>
    </row>
    <row r="753" spans="1:60" s="1525" customFormat="1">
      <c r="A753" s="1597">
        <v>1</v>
      </c>
      <c r="B753" s="1598" t="s">
        <v>2799</v>
      </c>
      <c r="C753" s="1368"/>
      <c r="D753" s="1368"/>
      <c r="E753" s="1368"/>
      <c r="F753" s="1368"/>
      <c r="G753" s="1557">
        <f t="shared" si="739"/>
        <v>0</v>
      </c>
      <c r="H753" s="1368"/>
      <c r="I753" s="1557">
        <f t="shared" ref="I753:I768" si="745">SUM(J753:S753)</f>
        <v>0</v>
      </c>
      <c r="J753" s="1368"/>
      <c r="K753" s="1368"/>
      <c r="L753" s="1368"/>
      <c r="M753" s="1368"/>
      <c r="N753" s="1368"/>
      <c r="O753" s="1368"/>
      <c r="P753" s="1368"/>
      <c r="Q753" s="1368"/>
      <c r="R753" s="1368"/>
      <c r="S753" s="1368"/>
      <c r="T753" s="1558">
        <f>(H753+K753+L753+R753)*22.5%</f>
        <v>0</v>
      </c>
      <c r="U753" s="1559">
        <f t="shared" ref="U753:U777" si="746">V753+W753+AH753</f>
        <v>0</v>
      </c>
      <c r="V753" s="1554">
        <f t="shared" si="732"/>
        <v>0</v>
      </c>
      <c r="W753" s="1554">
        <f t="shared" si="733"/>
        <v>0</v>
      </c>
      <c r="X753" s="1554">
        <f t="shared" si="734"/>
        <v>0</v>
      </c>
      <c r="Y753" s="1554">
        <f t="shared" si="734"/>
        <v>0</v>
      </c>
      <c r="Z753" s="1554">
        <f t="shared" si="734"/>
        <v>0</v>
      </c>
      <c r="AA753" s="1554">
        <f t="shared" si="734"/>
        <v>0</v>
      </c>
      <c r="AB753" s="1554">
        <f t="shared" si="734"/>
        <v>0</v>
      </c>
      <c r="AC753" s="1554">
        <f t="shared" si="734"/>
        <v>0</v>
      </c>
      <c r="AD753" s="1554">
        <f t="shared" si="734"/>
        <v>0</v>
      </c>
      <c r="AE753" s="1554">
        <f t="shared" si="734"/>
        <v>0</v>
      </c>
      <c r="AF753" s="1554">
        <f t="shared" si="734"/>
        <v>0</v>
      </c>
      <c r="AG753" s="1554">
        <f t="shared" si="734"/>
        <v>0</v>
      </c>
      <c r="AH753" s="1560">
        <f t="shared" ref="AH753:AH762" si="747">(V753+Y753+Z753+AF753)*22.5%</f>
        <v>0</v>
      </c>
      <c r="AI753" s="1561">
        <f t="shared" si="743"/>
        <v>0</v>
      </c>
      <c r="AJ753" s="1561">
        <f t="shared" si="744"/>
        <v>0</v>
      </c>
      <c r="AL753" s="561"/>
      <c r="AM753" s="1526"/>
      <c r="AN753" s="1526"/>
      <c r="AO753" s="1526"/>
      <c r="AP753" s="1526"/>
      <c r="AQ753" s="1526"/>
      <c r="AR753" s="1526"/>
      <c r="AS753" s="1526"/>
      <c r="AT753" s="1526"/>
      <c r="AU753" s="1526"/>
      <c r="AV753" s="1526"/>
      <c r="AW753" s="1526"/>
      <c r="AX753" s="1526"/>
      <c r="AY753" s="1526"/>
      <c r="AZ753" s="1526"/>
      <c r="BA753" s="1526"/>
      <c r="BB753" s="1526"/>
      <c r="BC753" s="1526"/>
      <c r="BD753" s="1526"/>
      <c r="BE753" s="1526"/>
      <c r="BF753" s="1526"/>
      <c r="BG753" s="1526"/>
      <c r="BH753" s="1526"/>
    </row>
    <row r="754" spans="1:60" s="1525" customFormat="1">
      <c r="A754" s="1597">
        <v>2</v>
      </c>
      <c r="B754" s="1598" t="s">
        <v>2800</v>
      </c>
      <c r="C754" s="1368"/>
      <c r="D754" s="1368"/>
      <c r="E754" s="1368"/>
      <c r="F754" s="1368"/>
      <c r="G754" s="1557">
        <f t="shared" si="739"/>
        <v>0</v>
      </c>
      <c r="H754" s="1368"/>
      <c r="I754" s="1557">
        <f t="shared" si="745"/>
        <v>0</v>
      </c>
      <c r="J754" s="1368"/>
      <c r="K754" s="1594"/>
      <c r="L754" s="1368"/>
      <c r="M754" s="1368"/>
      <c r="N754" s="1368"/>
      <c r="O754" s="1368"/>
      <c r="P754" s="1368"/>
      <c r="Q754" s="1368"/>
      <c r="R754" s="1368"/>
      <c r="S754" s="1594"/>
      <c r="T754" s="1558">
        <f t="shared" ref="T754:T762" si="748">(H754+K754+L754+R754)*22.5%</f>
        <v>0</v>
      </c>
      <c r="U754" s="1559">
        <f t="shared" si="746"/>
        <v>0</v>
      </c>
      <c r="V754" s="1554">
        <f t="shared" si="732"/>
        <v>0</v>
      </c>
      <c r="W754" s="1554">
        <f t="shared" si="733"/>
        <v>0</v>
      </c>
      <c r="X754" s="1554">
        <f t="shared" si="734"/>
        <v>0</v>
      </c>
      <c r="Y754" s="1554">
        <f t="shared" si="734"/>
        <v>0</v>
      </c>
      <c r="Z754" s="1554">
        <f t="shared" si="734"/>
        <v>0</v>
      </c>
      <c r="AA754" s="1554">
        <f t="shared" si="734"/>
        <v>0</v>
      </c>
      <c r="AB754" s="1554">
        <f t="shared" si="734"/>
        <v>0</v>
      </c>
      <c r="AC754" s="1554">
        <f t="shared" si="734"/>
        <v>0</v>
      </c>
      <c r="AD754" s="1554">
        <f t="shared" si="734"/>
        <v>0</v>
      </c>
      <c r="AE754" s="1554">
        <f t="shared" si="734"/>
        <v>0</v>
      </c>
      <c r="AF754" s="1554">
        <f t="shared" si="734"/>
        <v>0</v>
      </c>
      <c r="AG754" s="1554">
        <f t="shared" si="734"/>
        <v>0</v>
      </c>
      <c r="AH754" s="1560">
        <f t="shared" si="747"/>
        <v>0</v>
      </c>
      <c r="AI754" s="1561">
        <f t="shared" si="743"/>
        <v>0</v>
      </c>
      <c r="AJ754" s="1561">
        <f t="shared" si="744"/>
        <v>0</v>
      </c>
      <c r="AL754" s="561"/>
      <c r="AM754" s="1526"/>
      <c r="AN754" s="1526"/>
      <c r="AO754" s="1526"/>
      <c r="AP754" s="1526"/>
      <c r="AQ754" s="1526"/>
      <c r="AR754" s="1526"/>
      <c r="AS754" s="1526"/>
      <c r="AT754" s="1526"/>
      <c r="AU754" s="1526"/>
      <c r="AV754" s="1526"/>
      <c r="AW754" s="1526"/>
      <c r="AX754" s="1526"/>
      <c r="AY754" s="1526"/>
      <c r="AZ754" s="1526"/>
      <c r="BA754" s="1526"/>
      <c r="BB754" s="1526"/>
      <c r="BC754" s="1526"/>
      <c r="BD754" s="1526"/>
      <c r="BE754" s="1526"/>
      <c r="BF754" s="1526"/>
      <c r="BG754" s="1526"/>
      <c r="BH754" s="1526"/>
    </row>
    <row r="755" spans="1:60" s="1525" customFormat="1">
      <c r="A755" s="1597">
        <v>3</v>
      </c>
      <c r="B755" s="1598" t="s">
        <v>2801</v>
      </c>
      <c r="C755" s="1368"/>
      <c r="D755" s="1368"/>
      <c r="E755" s="1368"/>
      <c r="F755" s="1368"/>
      <c r="G755" s="1557">
        <f t="shared" si="739"/>
        <v>0</v>
      </c>
      <c r="H755" s="1368"/>
      <c r="I755" s="1557">
        <f t="shared" si="745"/>
        <v>0</v>
      </c>
      <c r="J755" s="1368"/>
      <c r="K755" s="1368"/>
      <c r="L755" s="1368"/>
      <c r="M755" s="1368"/>
      <c r="N755" s="1368"/>
      <c r="O755" s="1368"/>
      <c r="P755" s="1368"/>
      <c r="Q755" s="1368"/>
      <c r="R755" s="1368"/>
      <c r="S755" s="1591"/>
      <c r="T755" s="1558">
        <f t="shared" si="748"/>
        <v>0</v>
      </c>
      <c r="U755" s="1559">
        <f t="shared" si="746"/>
        <v>0</v>
      </c>
      <c r="V755" s="1554">
        <f t="shared" si="732"/>
        <v>0</v>
      </c>
      <c r="W755" s="1554">
        <f t="shared" si="733"/>
        <v>0</v>
      </c>
      <c r="X755" s="1554">
        <f t="shared" si="734"/>
        <v>0</v>
      </c>
      <c r="Y755" s="1587">
        <f t="shared" si="734"/>
        <v>0</v>
      </c>
      <c r="Z755" s="1554">
        <f t="shared" si="734"/>
        <v>0</v>
      </c>
      <c r="AA755" s="1554">
        <f t="shared" si="734"/>
        <v>0</v>
      </c>
      <c r="AB755" s="1554">
        <f t="shared" si="734"/>
        <v>0</v>
      </c>
      <c r="AC755" s="1554">
        <f t="shared" si="734"/>
        <v>0</v>
      </c>
      <c r="AD755" s="1554">
        <f t="shared" si="734"/>
        <v>0</v>
      </c>
      <c r="AE755" s="1554">
        <f t="shared" si="734"/>
        <v>0</v>
      </c>
      <c r="AF755" s="1554">
        <f t="shared" si="734"/>
        <v>0</v>
      </c>
      <c r="AG755" s="1587">
        <f t="shared" si="734"/>
        <v>0</v>
      </c>
      <c r="AH755" s="1560">
        <f t="shared" si="747"/>
        <v>0</v>
      </c>
      <c r="AI755" s="1561">
        <f t="shared" si="743"/>
        <v>0</v>
      </c>
      <c r="AJ755" s="1561">
        <f t="shared" si="744"/>
        <v>0</v>
      </c>
      <c r="AL755" s="561"/>
      <c r="AM755" s="1526"/>
      <c r="AN755" s="1526"/>
      <c r="AO755" s="1526"/>
      <c r="AP755" s="1526"/>
      <c r="AQ755" s="1526"/>
      <c r="AR755" s="1526"/>
      <c r="AS755" s="1526"/>
      <c r="AT755" s="1526"/>
      <c r="AU755" s="1526"/>
      <c r="AV755" s="1526"/>
      <c r="AW755" s="1526"/>
      <c r="AX755" s="1526"/>
      <c r="AY755" s="1526"/>
      <c r="AZ755" s="1526"/>
      <c r="BA755" s="1526"/>
      <c r="BB755" s="1526"/>
      <c r="BC755" s="1526"/>
      <c r="BD755" s="1526"/>
      <c r="BE755" s="1526"/>
      <c r="BF755" s="1526"/>
      <c r="BG755" s="1526"/>
      <c r="BH755" s="1526"/>
    </row>
    <row r="756" spans="1:60" s="1525" customFormat="1">
      <c r="A756" s="1597">
        <v>4</v>
      </c>
      <c r="B756" s="1598" t="s">
        <v>2802</v>
      </c>
      <c r="C756" s="1368"/>
      <c r="D756" s="1368"/>
      <c r="E756" s="1368"/>
      <c r="F756" s="1368"/>
      <c r="G756" s="1557">
        <f t="shared" si="739"/>
        <v>0</v>
      </c>
      <c r="H756" s="1368"/>
      <c r="I756" s="1557">
        <f t="shared" si="745"/>
        <v>0</v>
      </c>
      <c r="J756" s="1368"/>
      <c r="K756" s="1368"/>
      <c r="L756" s="1368"/>
      <c r="M756" s="1368"/>
      <c r="N756" s="1368"/>
      <c r="O756" s="1368"/>
      <c r="P756" s="1368"/>
      <c r="Q756" s="1368"/>
      <c r="R756" s="1368"/>
      <c r="S756" s="1591"/>
      <c r="T756" s="1558">
        <f t="shared" si="748"/>
        <v>0</v>
      </c>
      <c r="U756" s="1559">
        <f t="shared" si="746"/>
        <v>0</v>
      </c>
      <c r="V756" s="1554">
        <f t="shared" si="732"/>
        <v>0</v>
      </c>
      <c r="W756" s="1554">
        <f t="shared" si="733"/>
        <v>0</v>
      </c>
      <c r="X756" s="1554">
        <f t="shared" si="734"/>
        <v>0</v>
      </c>
      <c r="Y756" s="1554">
        <f t="shared" si="734"/>
        <v>0</v>
      </c>
      <c r="Z756" s="1554">
        <f t="shared" si="734"/>
        <v>0</v>
      </c>
      <c r="AA756" s="1554">
        <f t="shared" si="734"/>
        <v>0</v>
      </c>
      <c r="AB756" s="1554">
        <f t="shared" si="734"/>
        <v>0</v>
      </c>
      <c r="AC756" s="1554">
        <f t="shared" si="734"/>
        <v>0</v>
      </c>
      <c r="AD756" s="1554">
        <f t="shared" si="734"/>
        <v>0</v>
      </c>
      <c r="AE756" s="1554">
        <f t="shared" si="734"/>
        <v>0</v>
      </c>
      <c r="AF756" s="1554">
        <f t="shared" si="734"/>
        <v>0</v>
      </c>
      <c r="AG756" s="1554">
        <f t="shared" si="734"/>
        <v>0</v>
      </c>
      <c r="AH756" s="1560">
        <f t="shared" si="747"/>
        <v>0</v>
      </c>
      <c r="AI756" s="1561">
        <f t="shared" si="743"/>
        <v>0</v>
      </c>
      <c r="AJ756" s="1561">
        <f t="shared" si="744"/>
        <v>0</v>
      </c>
      <c r="AL756" s="561"/>
      <c r="AM756" s="1526"/>
      <c r="AN756" s="1526"/>
      <c r="AO756" s="1526"/>
      <c r="AP756" s="1526"/>
      <c r="AQ756" s="1526"/>
      <c r="AR756" s="1526"/>
      <c r="AS756" s="1526"/>
      <c r="AT756" s="1526"/>
      <c r="AU756" s="1526"/>
      <c r="AV756" s="1526"/>
      <c r="AW756" s="1526"/>
      <c r="AX756" s="1526"/>
      <c r="AY756" s="1526"/>
      <c r="AZ756" s="1526"/>
      <c r="BA756" s="1526"/>
      <c r="BB756" s="1526"/>
      <c r="BC756" s="1526"/>
      <c r="BD756" s="1526"/>
      <c r="BE756" s="1526"/>
      <c r="BF756" s="1526"/>
      <c r="BG756" s="1526"/>
      <c r="BH756" s="1526"/>
    </row>
    <row r="757" spans="1:60" s="1525" customFormat="1">
      <c r="A757" s="1597">
        <v>5</v>
      </c>
      <c r="B757" s="1598" t="s">
        <v>2803</v>
      </c>
      <c r="C757" s="1368"/>
      <c r="D757" s="1368"/>
      <c r="E757" s="1368"/>
      <c r="F757" s="1368"/>
      <c r="G757" s="1557">
        <f t="shared" si="739"/>
        <v>0</v>
      </c>
      <c r="H757" s="1368"/>
      <c r="I757" s="1557">
        <f t="shared" si="745"/>
        <v>0</v>
      </c>
      <c r="J757" s="1368"/>
      <c r="K757" s="1368"/>
      <c r="L757" s="1368"/>
      <c r="M757" s="1368"/>
      <c r="N757" s="1368"/>
      <c r="O757" s="1368"/>
      <c r="P757" s="1368"/>
      <c r="Q757" s="1368"/>
      <c r="R757" s="1368"/>
      <c r="S757" s="1368"/>
      <c r="T757" s="1558">
        <f t="shared" si="748"/>
        <v>0</v>
      </c>
      <c r="U757" s="1559">
        <f t="shared" si="746"/>
        <v>0</v>
      </c>
      <c r="V757" s="1554">
        <f t="shared" si="732"/>
        <v>0</v>
      </c>
      <c r="W757" s="1554">
        <f t="shared" si="733"/>
        <v>0</v>
      </c>
      <c r="X757" s="1554">
        <f t="shared" si="734"/>
        <v>0</v>
      </c>
      <c r="Y757" s="1554">
        <f t="shared" si="734"/>
        <v>0</v>
      </c>
      <c r="Z757" s="1554">
        <f t="shared" si="734"/>
        <v>0</v>
      </c>
      <c r="AA757" s="1554">
        <f t="shared" si="734"/>
        <v>0</v>
      </c>
      <c r="AB757" s="1554">
        <f t="shared" si="734"/>
        <v>0</v>
      </c>
      <c r="AC757" s="1554">
        <f t="shared" si="734"/>
        <v>0</v>
      </c>
      <c r="AD757" s="1554">
        <f t="shared" si="734"/>
        <v>0</v>
      </c>
      <c r="AE757" s="1554">
        <f t="shared" si="734"/>
        <v>0</v>
      </c>
      <c r="AF757" s="1554">
        <f t="shared" si="734"/>
        <v>0</v>
      </c>
      <c r="AG757" s="1554">
        <f t="shared" si="734"/>
        <v>0</v>
      </c>
      <c r="AH757" s="1560">
        <f t="shared" si="747"/>
        <v>0</v>
      </c>
      <c r="AI757" s="1561">
        <f t="shared" si="743"/>
        <v>0</v>
      </c>
      <c r="AJ757" s="1561">
        <f t="shared" si="744"/>
        <v>0</v>
      </c>
      <c r="AL757" s="561"/>
      <c r="AM757" s="1526"/>
      <c r="AN757" s="1526"/>
      <c r="AO757" s="1526"/>
      <c r="AP757" s="1526"/>
      <c r="AQ757" s="1526"/>
      <c r="AR757" s="1526"/>
      <c r="AS757" s="1526"/>
      <c r="AT757" s="1526"/>
      <c r="AU757" s="1526"/>
      <c r="AV757" s="1526"/>
      <c r="AW757" s="1526"/>
      <c r="AX757" s="1526"/>
      <c r="AY757" s="1526"/>
      <c r="AZ757" s="1526"/>
      <c r="BA757" s="1526"/>
      <c r="BB757" s="1526"/>
      <c r="BC757" s="1526"/>
      <c r="BD757" s="1526"/>
      <c r="BE757" s="1526"/>
      <c r="BF757" s="1526"/>
      <c r="BG757" s="1526"/>
      <c r="BH757" s="1526"/>
    </row>
    <row r="758" spans="1:60" s="1525" customFormat="1">
      <c r="A758" s="1597">
        <v>6</v>
      </c>
      <c r="B758" s="1598" t="s">
        <v>2804</v>
      </c>
      <c r="C758" s="1368"/>
      <c r="D758" s="1368"/>
      <c r="E758" s="1368"/>
      <c r="F758" s="1368"/>
      <c r="G758" s="1557">
        <f t="shared" si="739"/>
        <v>0</v>
      </c>
      <c r="H758" s="1368"/>
      <c r="I758" s="1557">
        <f t="shared" si="745"/>
        <v>0</v>
      </c>
      <c r="J758" s="1368"/>
      <c r="K758" s="1368"/>
      <c r="L758" s="1591"/>
      <c r="M758" s="1368"/>
      <c r="N758" s="1368"/>
      <c r="O758" s="1368"/>
      <c r="P758" s="1368"/>
      <c r="Q758" s="1368"/>
      <c r="R758" s="1368"/>
      <c r="S758" s="1591"/>
      <c r="T758" s="1558">
        <f t="shared" si="748"/>
        <v>0</v>
      </c>
      <c r="U758" s="1559">
        <f t="shared" si="746"/>
        <v>0</v>
      </c>
      <c r="V758" s="1554">
        <f t="shared" si="732"/>
        <v>0</v>
      </c>
      <c r="W758" s="1554">
        <f t="shared" si="733"/>
        <v>0</v>
      </c>
      <c r="X758" s="1554">
        <f t="shared" si="734"/>
        <v>0</v>
      </c>
      <c r="Y758" s="1554">
        <f t="shared" si="734"/>
        <v>0</v>
      </c>
      <c r="Z758" s="1554">
        <f t="shared" si="734"/>
        <v>0</v>
      </c>
      <c r="AA758" s="1554">
        <f t="shared" si="734"/>
        <v>0</v>
      </c>
      <c r="AB758" s="1554">
        <f t="shared" si="734"/>
        <v>0</v>
      </c>
      <c r="AC758" s="1554">
        <f t="shared" si="734"/>
        <v>0</v>
      </c>
      <c r="AD758" s="1554">
        <f t="shared" si="734"/>
        <v>0</v>
      </c>
      <c r="AE758" s="1554">
        <f t="shared" si="734"/>
        <v>0</v>
      </c>
      <c r="AF758" s="1554">
        <f t="shared" si="734"/>
        <v>0</v>
      </c>
      <c r="AG758" s="1554">
        <f t="shared" si="734"/>
        <v>0</v>
      </c>
      <c r="AH758" s="1560">
        <f t="shared" si="747"/>
        <v>0</v>
      </c>
      <c r="AI758" s="1561">
        <f t="shared" si="743"/>
        <v>0</v>
      </c>
      <c r="AJ758" s="1599">
        <f t="shared" si="744"/>
        <v>0</v>
      </c>
      <c r="AL758" s="561"/>
      <c r="AM758" s="1526"/>
      <c r="AN758" s="1526"/>
      <c r="AO758" s="1526"/>
      <c r="AP758" s="1526"/>
      <c r="AQ758" s="1526"/>
      <c r="AR758" s="1526"/>
      <c r="AS758" s="1526"/>
      <c r="AT758" s="1526"/>
      <c r="AU758" s="1526"/>
      <c r="AV758" s="1526"/>
      <c r="AW758" s="1526"/>
      <c r="AX758" s="1526"/>
      <c r="AY758" s="1526"/>
      <c r="AZ758" s="1526"/>
      <c r="BA758" s="1526"/>
      <c r="BB758" s="1526"/>
      <c r="BC758" s="1526"/>
      <c r="BD758" s="1526"/>
      <c r="BE758" s="1526"/>
      <c r="BF758" s="1526"/>
      <c r="BG758" s="1526"/>
      <c r="BH758" s="1526"/>
    </row>
    <row r="759" spans="1:60" s="1525" customFormat="1">
      <c r="A759" s="1597">
        <v>7</v>
      </c>
      <c r="B759" s="1598" t="s">
        <v>2805</v>
      </c>
      <c r="C759" s="1368"/>
      <c r="D759" s="1368"/>
      <c r="E759" s="1368"/>
      <c r="F759" s="1368"/>
      <c r="G759" s="1557">
        <f t="shared" si="739"/>
        <v>0</v>
      </c>
      <c r="H759" s="1368"/>
      <c r="I759" s="1557">
        <f t="shared" si="745"/>
        <v>0</v>
      </c>
      <c r="J759" s="1368"/>
      <c r="K759" s="1368"/>
      <c r="L759" s="1368"/>
      <c r="M759" s="1368"/>
      <c r="N759" s="1368"/>
      <c r="O759" s="1368"/>
      <c r="P759" s="1368"/>
      <c r="Q759" s="1368"/>
      <c r="R759" s="1368"/>
      <c r="S759" s="1591"/>
      <c r="T759" s="1558">
        <f t="shared" si="748"/>
        <v>0</v>
      </c>
      <c r="U759" s="1559">
        <f t="shared" si="746"/>
        <v>0</v>
      </c>
      <c r="V759" s="1554">
        <f t="shared" si="732"/>
        <v>0</v>
      </c>
      <c r="W759" s="1554">
        <f t="shared" si="733"/>
        <v>0</v>
      </c>
      <c r="X759" s="1554">
        <f t="shared" si="734"/>
        <v>0</v>
      </c>
      <c r="Y759" s="1554">
        <f t="shared" si="734"/>
        <v>0</v>
      </c>
      <c r="Z759" s="1554">
        <f t="shared" si="734"/>
        <v>0</v>
      </c>
      <c r="AA759" s="1554">
        <f t="shared" si="734"/>
        <v>0</v>
      </c>
      <c r="AB759" s="1554">
        <f t="shared" si="734"/>
        <v>0</v>
      </c>
      <c r="AC759" s="1554">
        <f t="shared" si="734"/>
        <v>0</v>
      </c>
      <c r="AD759" s="1554">
        <f t="shared" si="734"/>
        <v>0</v>
      </c>
      <c r="AE759" s="1554">
        <f t="shared" si="734"/>
        <v>0</v>
      </c>
      <c r="AF759" s="1554">
        <f t="shared" si="734"/>
        <v>0</v>
      </c>
      <c r="AG759" s="1554">
        <f t="shared" si="734"/>
        <v>0</v>
      </c>
      <c r="AH759" s="1560">
        <f t="shared" si="747"/>
        <v>0</v>
      </c>
      <c r="AI759" s="1561">
        <f t="shared" si="743"/>
        <v>0</v>
      </c>
      <c r="AJ759" s="1561">
        <f t="shared" si="744"/>
        <v>0</v>
      </c>
      <c r="AL759" s="561"/>
      <c r="AM759" s="1526"/>
      <c r="AN759" s="1526"/>
      <c r="AO759" s="1526"/>
      <c r="AP759" s="1526"/>
      <c r="AQ759" s="1526"/>
      <c r="AR759" s="1526"/>
      <c r="AS759" s="1526"/>
      <c r="AT759" s="1526"/>
      <c r="AU759" s="1526"/>
      <c r="AV759" s="1526"/>
      <c r="AW759" s="1526"/>
      <c r="AX759" s="1526"/>
      <c r="AY759" s="1526"/>
      <c r="AZ759" s="1526"/>
      <c r="BA759" s="1526"/>
      <c r="BB759" s="1526"/>
      <c r="BC759" s="1526"/>
      <c r="BD759" s="1526"/>
      <c r="BE759" s="1526"/>
      <c r="BF759" s="1526"/>
      <c r="BG759" s="1526"/>
      <c r="BH759" s="1526"/>
    </row>
    <row r="760" spans="1:60" s="1525" customFormat="1">
      <c r="A760" s="1597">
        <v>8</v>
      </c>
      <c r="B760" s="1598" t="s">
        <v>2806</v>
      </c>
      <c r="C760" s="1368"/>
      <c r="D760" s="1368"/>
      <c r="E760" s="1368"/>
      <c r="F760" s="1368"/>
      <c r="G760" s="1557">
        <f t="shared" si="739"/>
        <v>0</v>
      </c>
      <c r="H760" s="1368"/>
      <c r="I760" s="1557">
        <f t="shared" si="745"/>
        <v>0</v>
      </c>
      <c r="J760" s="1368"/>
      <c r="K760" s="1368"/>
      <c r="L760" s="1497"/>
      <c r="M760" s="1368"/>
      <c r="N760" s="1368"/>
      <c r="O760" s="1368"/>
      <c r="P760" s="1368"/>
      <c r="Q760" s="1368"/>
      <c r="R760" s="1368"/>
      <c r="S760" s="1591"/>
      <c r="T760" s="1558">
        <f t="shared" si="748"/>
        <v>0</v>
      </c>
      <c r="U760" s="1559">
        <f t="shared" si="746"/>
        <v>0</v>
      </c>
      <c r="V760" s="1554">
        <f t="shared" si="732"/>
        <v>0</v>
      </c>
      <c r="W760" s="1554">
        <f t="shared" si="733"/>
        <v>0</v>
      </c>
      <c r="X760" s="1554">
        <f t="shared" si="734"/>
        <v>0</v>
      </c>
      <c r="Y760" s="1554">
        <f t="shared" si="734"/>
        <v>0</v>
      </c>
      <c r="Z760" s="1554">
        <f t="shared" si="734"/>
        <v>0</v>
      </c>
      <c r="AA760" s="1554">
        <f t="shared" si="734"/>
        <v>0</v>
      </c>
      <c r="AB760" s="1554">
        <f t="shared" si="734"/>
        <v>0</v>
      </c>
      <c r="AC760" s="1554">
        <f t="shared" si="734"/>
        <v>0</v>
      </c>
      <c r="AD760" s="1554">
        <f t="shared" si="734"/>
        <v>0</v>
      </c>
      <c r="AE760" s="1554">
        <f t="shared" si="734"/>
        <v>0</v>
      </c>
      <c r="AF760" s="1554">
        <f t="shared" si="734"/>
        <v>0</v>
      </c>
      <c r="AG760" s="1554">
        <f t="shared" si="734"/>
        <v>0</v>
      </c>
      <c r="AH760" s="1560">
        <f t="shared" si="747"/>
        <v>0</v>
      </c>
      <c r="AI760" s="1561">
        <f t="shared" si="743"/>
        <v>0</v>
      </c>
      <c r="AJ760" s="1599">
        <f t="shared" si="744"/>
        <v>0</v>
      </c>
      <c r="AL760" s="561"/>
      <c r="AM760" s="1526"/>
      <c r="AN760" s="1526"/>
      <c r="AO760" s="1526"/>
      <c r="AP760" s="1526"/>
      <c r="AQ760" s="1526"/>
      <c r="AR760" s="1526"/>
      <c r="AS760" s="1526"/>
      <c r="AT760" s="1526"/>
      <c r="AU760" s="1526"/>
      <c r="AV760" s="1526"/>
      <c r="AW760" s="1526"/>
      <c r="AX760" s="1526"/>
      <c r="AY760" s="1526"/>
      <c r="AZ760" s="1526"/>
      <c r="BA760" s="1526"/>
      <c r="BB760" s="1526"/>
      <c r="BC760" s="1526"/>
      <c r="BD760" s="1526"/>
      <c r="BE760" s="1526"/>
      <c r="BF760" s="1526"/>
      <c r="BG760" s="1526"/>
      <c r="BH760" s="1526"/>
    </row>
    <row r="761" spans="1:60" s="1525" customFormat="1">
      <c r="A761" s="1597">
        <v>9</v>
      </c>
      <c r="B761" s="1598" t="s">
        <v>2807</v>
      </c>
      <c r="C761" s="1368"/>
      <c r="D761" s="1368"/>
      <c r="E761" s="1368"/>
      <c r="F761" s="1368"/>
      <c r="G761" s="1557">
        <f t="shared" si="739"/>
        <v>0</v>
      </c>
      <c r="H761" s="1368"/>
      <c r="I761" s="1557">
        <f t="shared" si="745"/>
        <v>0</v>
      </c>
      <c r="J761" s="1368"/>
      <c r="K761" s="1368"/>
      <c r="L761" s="1368"/>
      <c r="M761" s="1368"/>
      <c r="N761" s="1368"/>
      <c r="O761" s="1368"/>
      <c r="P761" s="1368"/>
      <c r="Q761" s="1368"/>
      <c r="R761" s="1368"/>
      <c r="S761" s="1591"/>
      <c r="T761" s="1558">
        <f t="shared" si="748"/>
        <v>0</v>
      </c>
      <c r="U761" s="1559">
        <f t="shared" si="746"/>
        <v>0</v>
      </c>
      <c r="V761" s="1554">
        <f t="shared" si="732"/>
        <v>0</v>
      </c>
      <c r="W761" s="1554">
        <f t="shared" si="733"/>
        <v>0</v>
      </c>
      <c r="X761" s="1554">
        <f t="shared" si="734"/>
        <v>0</v>
      </c>
      <c r="Y761" s="1554">
        <f t="shared" si="734"/>
        <v>0</v>
      </c>
      <c r="Z761" s="1554">
        <f t="shared" si="734"/>
        <v>0</v>
      </c>
      <c r="AA761" s="1554">
        <f t="shared" si="734"/>
        <v>0</v>
      </c>
      <c r="AB761" s="1554">
        <f t="shared" si="734"/>
        <v>0</v>
      </c>
      <c r="AC761" s="1554">
        <f t="shared" si="734"/>
        <v>0</v>
      </c>
      <c r="AD761" s="1554">
        <f t="shared" si="734"/>
        <v>0</v>
      </c>
      <c r="AE761" s="1554">
        <f t="shared" si="734"/>
        <v>0</v>
      </c>
      <c r="AF761" s="1554">
        <f t="shared" si="734"/>
        <v>0</v>
      </c>
      <c r="AG761" s="1554">
        <f t="shared" si="734"/>
        <v>0</v>
      </c>
      <c r="AH761" s="1560">
        <f t="shared" si="747"/>
        <v>0</v>
      </c>
      <c r="AI761" s="1561">
        <f t="shared" si="743"/>
        <v>0</v>
      </c>
      <c r="AJ761" s="1561">
        <f t="shared" si="744"/>
        <v>0</v>
      </c>
      <c r="AL761" s="561"/>
      <c r="AM761" s="1526"/>
      <c r="AN761" s="1526"/>
      <c r="AO761" s="1526"/>
      <c r="AP761" s="1526"/>
      <c r="AQ761" s="1526"/>
      <c r="AR761" s="1526"/>
      <c r="AS761" s="1526"/>
      <c r="AT761" s="1526"/>
      <c r="AU761" s="1526"/>
      <c r="AV761" s="1526"/>
      <c r="AW761" s="1526"/>
      <c r="AX761" s="1526"/>
      <c r="AY761" s="1526"/>
      <c r="AZ761" s="1526"/>
      <c r="BA761" s="1526"/>
      <c r="BB761" s="1526"/>
      <c r="BC761" s="1526"/>
      <c r="BD761" s="1526"/>
      <c r="BE761" s="1526"/>
      <c r="BF761" s="1526"/>
      <c r="BG761" s="1526"/>
      <c r="BH761" s="1526"/>
    </row>
    <row r="762" spans="1:60" s="1525" customFormat="1">
      <c r="A762" s="1597">
        <v>10</v>
      </c>
      <c r="B762" s="1598" t="s">
        <v>2808</v>
      </c>
      <c r="C762" s="1368"/>
      <c r="D762" s="1368"/>
      <c r="E762" s="1368"/>
      <c r="F762" s="1368"/>
      <c r="G762" s="1557">
        <f t="shared" si="739"/>
        <v>0</v>
      </c>
      <c r="H762" s="1368"/>
      <c r="I762" s="1557">
        <f t="shared" si="745"/>
        <v>0</v>
      </c>
      <c r="J762" s="1368"/>
      <c r="K762" s="1368"/>
      <c r="L762" s="1368"/>
      <c r="M762" s="1368"/>
      <c r="N762" s="1368"/>
      <c r="O762" s="1368"/>
      <c r="P762" s="1368"/>
      <c r="Q762" s="1368"/>
      <c r="R762" s="1368"/>
      <c r="S762" s="1368"/>
      <c r="T762" s="1558">
        <f t="shared" si="748"/>
        <v>0</v>
      </c>
      <c r="U762" s="1559">
        <f t="shared" si="746"/>
        <v>0</v>
      </c>
      <c r="V762" s="1554">
        <f t="shared" si="732"/>
        <v>0</v>
      </c>
      <c r="W762" s="1554">
        <f t="shared" si="733"/>
        <v>0</v>
      </c>
      <c r="X762" s="1554">
        <f t="shared" si="734"/>
        <v>0</v>
      </c>
      <c r="Y762" s="1554">
        <f t="shared" si="734"/>
        <v>0</v>
      </c>
      <c r="Z762" s="1554">
        <f t="shared" si="734"/>
        <v>0</v>
      </c>
      <c r="AA762" s="1554">
        <f t="shared" si="734"/>
        <v>0</v>
      </c>
      <c r="AB762" s="1554">
        <f t="shared" si="734"/>
        <v>0</v>
      </c>
      <c r="AC762" s="1554">
        <f t="shared" si="734"/>
        <v>0</v>
      </c>
      <c r="AD762" s="1554">
        <f t="shared" si="734"/>
        <v>0</v>
      </c>
      <c r="AE762" s="1554">
        <f t="shared" si="734"/>
        <v>0</v>
      </c>
      <c r="AF762" s="1554">
        <f t="shared" si="734"/>
        <v>0</v>
      </c>
      <c r="AG762" s="1554">
        <f t="shared" si="734"/>
        <v>0</v>
      </c>
      <c r="AH762" s="1560">
        <f t="shared" si="747"/>
        <v>0</v>
      </c>
      <c r="AI762" s="1561">
        <f t="shared" si="743"/>
        <v>0</v>
      </c>
      <c r="AJ762" s="1561">
        <f t="shared" si="744"/>
        <v>0</v>
      </c>
      <c r="AL762" s="561"/>
      <c r="AM762" s="1526"/>
      <c r="AN762" s="1526"/>
      <c r="AO762" s="1526"/>
      <c r="AP762" s="1526"/>
      <c r="AQ762" s="1526"/>
      <c r="AR762" s="1526"/>
      <c r="AS762" s="1526"/>
      <c r="AT762" s="1526"/>
      <c r="AU762" s="1526"/>
      <c r="AV762" s="1526"/>
      <c r="AW762" s="1526"/>
      <c r="AX762" s="1526"/>
      <c r="AY762" s="1526"/>
      <c r="AZ762" s="1526"/>
      <c r="BA762" s="1526"/>
      <c r="BB762" s="1526"/>
      <c r="BC762" s="1526"/>
      <c r="BD762" s="1526"/>
      <c r="BE762" s="1526"/>
      <c r="BF762" s="1526"/>
      <c r="BG762" s="1526"/>
      <c r="BH762" s="1526"/>
    </row>
    <row r="763" spans="1:60" s="1525" customFormat="1">
      <c r="A763" s="1499"/>
      <c r="B763" s="1520" t="s">
        <v>2539</v>
      </c>
      <c r="C763" s="1368"/>
      <c r="D763" s="1368"/>
      <c r="E763" s="1368"/>
      <c r="F763" s="1368"/>
      <c r="G763" s="1557">
        <f t="shared" si="739"/>
        <v>0</v>
      </c>
      <c r="H763" s="1368"/>
      <c r="I763" s="1557">
        <f t="shared" si="745"/>
        <v>0</v>
      </c>
      <c r="J763" s="1368"/>
      <c r="K763" s="1368"/>
      <c r="L763" s="1368"/>
      <c r="M763" s="1368"/>
      <c r="N763" s="1368"/>
      <c r="O763" s="1368"/>
      <c r="P763" s="1368"/>
      <c r="Q763" s="1368"/>
      <c r="R763" s="1368"/>
      <c r="S763" s="1368"/>
      <c r="T763" s="1558">
        <f>(H763+K763+L763+R763)*22.5%</f>
        <v>0</v>
      </c>
      <c r="U763" s="1559">
        <f t="shared" si="746"/>
        <v>0</v>
      </c>
      <c r="V763" s="1554">
        <f t="shared" si="732"/>
        <v>0</v>
      </c>
      <c r="W763" s="1554">
        <f t="shared" si="733"/>
        <v>0</v>
      </c>
      <c r="X763" s="1554">
        <f t="shared" si="734"/>
        <v>0</v>
      </c>
      <c r="Y763" s="1554">
        <f t="shared" si="734"/>
        <v>0</v>
      </c>
      <c r="Z763" s="1554">
        <f t="shared" si="734"/>
        <v>0</v>
      </c>
      <c r="AA763" s="1554">
        <f t="shared" si="734"/>
        <v>0</v>
      </c>
      <c r="AB763" s="1554">
        <f t="shared" si="734"/>
        <v>0</v>
      </c>
      <c r="AC763" s="1554">
        <f t="shared" si="734"/>
        <v>0</v>
      </c>
      <c r="AD763" s="1554">
        <f t="shared" si="734"/>
        <v>0</v>
      </c>
      <c r="AE763" s="1554">
        <f t="shared" si="734"/>
        <v>0</v>
      </c>
      <c r="AF763" s="1554">
        <f t="shared" si="734"/>
        <v>0</v>
      </c>
      <c r="AG763" s="1554">
        <f t="shared" si="734"/>
        <v>0</v>
      </c>
      <c r="AH763" s="1560">
        <f>(V763+Y763+Z763+AF763)*22.5%</f>
        <v>0</v>
      </c>
      <c r="AI763" s="1561">
        <f t="shared" si="743"/>
        <v>0</v>
      </c>
      <c r="AJ763" s="1561">
        <f t="shared" si="744"/>
        <v>0</v>
      </c>
      <c r="AL763" s="561"/>
      <c r="AM763" s="1526"/>
      <c r="AN763" s="1526"/>
      <c r="AO763" s="1526"/>
      <c r="AP763" s="1526"/>
      <c r="AQ763" s="1526"/>
      <c r="AR763" s="1526"/>
      <c r="AS763" s="1526"/>
      <c r="AT763" s="1526"/>
      <c r="AU763" s="1526"/>
      <c r="AV763" s="1526"/>
      <c r="AW763" s="1526"/>
      <c r="AX763" s="1526"/>
      <c r="AY763" s="1526"/>
      <c r="AZ763" s="1526"/>
      <c r="BA763" s="1526"/>
      <c r="BB763" s="1526"/>
      <c r="BC763" s="1526"/>
      <c r="BD763" s="1526"/>
      <c r="BE763" s="1526"/>
      <c r="BF763" s="1526"/>
      <c r="BG763" s="1526"/>
      <c r="BH763" s="1526"/>
    </row>
    <row r="764" spans="1:60" s="1525" customFormat="1">
      <c r="A764" s="1499">
        <v>1</v>
      </c>
      <c r="B764" s="1520" t="s">
        <v>2809</v>
      </c>
      <c r="C764" s="1368"/>
      <c r="D764" s="1368"/>
      <c r="E764" s="1368"/>
      <c r="F764" s="1368"/>
      <c r="G764" s="1557">
        <f t="shared" si="739"/>
        <v>193.87511499999999</v>
      </c>
      <c r="H764" s="1368">
        <f>113.86*1.39</f>
        <v>158.2654</v>
      </c>
      <c r="I764" s="1557">
        <f t="shared" si="745"/>
        <v>0</v>
      </c>
      <c r="J764" s="1368"/>
      <c r="K764" s="1368"/>
      <c r="L764" s="1368"/>
      <c r="M764" s="1368"/>
      <c r="N764" s="1368"/>
      <c r="O764" s="1368"/>
      <c r="P764" s="1368"/>
      <c r="Q764" s="1368"/>
      <c r="R764" s="1368"/>
      <c r="S764" s="1368"/>
      <c r="T764" s="1558">
        <f t="shared" ref="T764:T776" si="749">(H764+K764+L764+R764)*22.5%</f>
        <v>35.609715000000001</v>
      </c>
      <c r="U764" s="1559">
        <f t="shared" si="746"/>
        <v>207.82296500000004</v>
      </c>
      <c r="V764" s="1554">
        <f t="shared" si="732"/>
        <v>169.65140000000002</v>
      </c>
      <c r="W764" s="1554">
        <f t="shared" si="733"/>
        <v>0</v>
      </c>
      <c r="X764" s="1554">
        <f t="shared" ref="X764:AG777" si="750">(J764/1.39)*1.49</f>
        <v>0</v>
      </c>
      <c r="Y764" s="1554">
        <f t="shared" si="750"/>
        <v>0</v>
      </c>
      <c r="Z764" s="1554">
        <f t="shared" si="750"/>
        <v>0</v>
      </c>
      <c r="AA764" s="1554">
        <f t="shared" si="750"/>
        <v>0</v>
      </c>
      <c r="AB764" s="1554">
        <f t="shared" si="750"/>
        <v>0</v>
      </c>
      <c r="AC764" s="1554">
        <f t="shared" si="750"/>
        <v>0</v>
      </c>
      <c r="AD764" s="1554">
        <f t="shared" si="750"/>
        <v>0</v>
      </c>
      <c r="AE764" s="1554">
        <f t="shared" si="750"/>
        <v>0</v>
      </c>
      <c r="AF764" s="1554">
        <f t="shared" si="750"/>
        <v>0</v>
      </c>
      <c r="AG764" s="1554">
        <f t="shared" si="750"/>
        <v>0</v>
      </c>
      <c r="AH764" s="1560">
        <f t="shared" ref="AH764:AH776" si="751">(V764+Y764+Z764+AF764)*22.5%</f>
        <v>38.171565000000008</v>
      </c>
      <c r="AI764" s="1561">
        <f t="shared" si="743"/>
        <v>13.947850000000045</v>
      </c>
      <c r="AJ764" s="1561">
        <f t="shared" si="744"/>
        <v>83.687100000000271</v>
      </c>
      <c r="AL764" s="561"/>
      <c r="AM764" s="1526"/>
      <c r="AN764" s="1526"/>
      <c r="AO764" s="1526"/>
      <c r="AP764" s="1526"/>
      <c r="AQ764" s="1526"/>
      <c r="AR764" s="1526"/>
      <c r="AS764" s="1526"/>
      <c r="AT764" s="1526"/>
      <c r="AU764" s="1526"/>
      <c r="AV764" s="1526"/>
      <c r="AW764" s="1526"/>
      <c r="AX764" s="1526"/>
      <c r="AY764" s="1526"/>
      <c r="AZ764" s="1526"/>
      <c r="BA764" s="1526"/>
      <c r="BB764" s="1526"/>
      <c r="BC764" s="1526"/>
      <c r="BD764" s="1526"/>
      <c r="BE764" s="1526"/>
      <c r="BF764" s="1526"/>
      <c r="BG764" s="1526"/>
      <c r="BH764" s="1526"/>
    </row>
    <row r="765" spans="1:60" s="1525" customFormat="1">
      <c r="A765" s="1499"/>
      <c r="B765" s="1600" t="s">
        <v>2810</v>
      </c>
      <c r="C765" s="1368"/>
      <c r="D765" s="1368"/>
      <c r="E765" s="1368"/>
      <c r="F765" s="1368"/>
      <c r="G765" s="1557">
        <f t="shared" si="739"/>
        <v>33.033349999999999</v>
      </c>
      <c r="H765" s="1368">
        <f>19.4*1.39</f>
        <v>26.965999999999998</v>
      </c>
      <c r="I765" s="1557">
        <f t="shared" si="745"/>
        <v>0</v>
      </c>
      <c r="J765" s="1368"/>
      <c r="K765" s="1368"/>
      <c r="L765" s="1368"/>
      <c r="M765" s="1368"/>
      <c r="N765" s="1368"/>
      <c r="O765" s="1368"/>
      <c r="P765" s="1368"/>
      <c r="Q765" s="1368"/>
      <c r="R765" s="1368"/>
      <c r="S765" s="1368"/>
      <c r="T765" s="1558">
        <f t="shared" si="749"/>
        <v>6.0673499999999994</v>
      </c>
      <c r="U765" s="1559">
        <f t="shared" si="746"/>
        <v>35.409849999999999</v>
      </c>
      <c r="V765" s="1554">
        <f t="shared" si="732"/>
        <v>28.905999999999999</v>
      </c>
      <c r="W765" s="1554">
        <f t="shared" si="733"/>
        <v>0</v>
      </c>
      <c r="X765" s="1554">
        <f t="shared" si="750"/>
        <v>0</v>
      </c>
      <c r="Y765" s="1554">
        <f t="shared" si="750"/>
        <v>0</v>
      </c>
      <c r="Z765" s="1554">
        <f t="shared" si="750"/>
        <v>0</v>
      </c>
      <c r="AA765" s="1554">
        <f t="shared" si="750"/>
        <v>0</v>
      </c>
      <c r="AB765" s="1554">
        <f t="shared" si="750"/>
        <v>0</v>
      </c>
      <c r="AC765" s="1554">
        <f t="shared" si="750"/>
        <v>0</v>
      </c>
      <c r="AD765" s="1554">
        <f t="shared" si="750"/>
        <v>0</v>
      </c>
      <c r="AE765" s="1554">
        <f t="shared" si="750"/>
        <v>0</v>
      </c>
      <c r="AF765" s="1554">
        <f t="shared" si="750"/>
        <v>0</v>
      </c>
      <c r="AG765" s="1554">
        <f t="shared" si="750"/>
        <v>0</v>
      </c>
      <c r="AH765" s="1560">
        <f t="shared" si="751"/>
        <v>6.5038499999999999</v>
      </c>
      <c r="AI765" s="1561">
        <f t="shared" si="743"/>
        <v>2.3765000000000001</v>
      </c>
      <c r="AJ765" s="1561">
        <f t="shared" si="744"/>
        <v>14.259</v>
      </c>
      <c r="AL765" s="561"/>
      <c r="AM765" s="1526"/>
      <c r="AN765" s="1526"/>
      <c r="AO765" s="1526"/>
      <c r="AP765" s="1526"/>
      <c r="AQ765" s="1526"/>
      <c r="AR765" s="1526"/>
      <c r="AS765" s="1526"/>
      <c r="AT765" s="1526"/>
      <c r="AU765" s="1526"/>
      <c r="AV765" s="1526"/>
      <c r="AW765" s="1526"/>
      <c r="AX765" s="1526"/>
      <c r="AY765" s="1526"/>
      <c r="AZ765" s="1526"/>
      <c r="BA765" s="1526"/>
      <c r="BB765" s="1526"/>
      <c r="BC765" s="1526"/>
      <c r="BD765" s="1526"/>
      <c r="BE765" s="1526"/>
      <c r="BF765" s="1526"/>
      <c r="BG765" s="1526"/>
      <c r="BH765" s="1526"/>
    </row>
    <row r="766" spans="1:60" s="1525" customFormat="1">
      <c r="A766" s="1499">
        <v>2</v>
      </c>
      <c r="B766" s="1520" t="s">
        <v>2811</v>
      </c>
      <c r="C766" s="1368"/>
      <c r="D766" s="1368"/>
      <c r="E766" s="1368"/>
      <c r="F766" s="1368"/>
      <c r="G766" s="1557">
        <f t="shared" si="739"/>
        <v>81.238202499999986</v>
      </c>
      <c r="H766" s="1368">
        <f>(45.04+2.67)*1.39</f>
        <v>66.31689999999999</v>
      </c>
      <c r="I766" s="1557">
        <f t="shared" si="745"/>
        <v>0</v>
      </c>
      <c r="J766" s="1368"/>
      <c r="K766" s="1368"/>
      <c r="L766" s="1368"/>
      <c r="M766" s="1368"/>
      <c r="N766" s="1368"/>
      <c r="O766" s="1368"/>
      <c r="P766" s="1368"/>
      <c r="Q766" s="1368"/>
      <c r="R766" s="1368"/>
      <c r="S766" s="1368"/>
      <c r="T766" s="1558">
        <f t="shared" si="749"/>
        <v>14.921302499999998</v>
      </c>
      <c r="U766" s="1559">
        <f t="shared" si="746"/>
        <v>87.082677499999988</v>
      </c>
      <c r="V766" s="1554">
        <f t="shared" si="732"/>
        <v>71.087899999999991</v>
      </c>
      <c r="W766" s="1554">
        <f t="shared" si="733"/>
        <v>0</v>
      </c>
      <c r="X766" s="1554">
        <f t="shared" si="750"/>
        <v>0</v>
      </c>
      <c r="Y766" s="1554">
        <f t="shared" si="750"/>
        <v>0</v>
      </c>
      <c r="Z766" s="1554">
        <f t="shared" si="750"/>
        <v>0</v>
      </c>
      <c r="AA766" s="1554">
        <f t="shared" si="750"/>
        <v>0</v>
      </c>
      <c r="AB766" s="1554">
        <f t="shared" si="750"/>
        <v>0</v>
      </c>
      <c r="AC766" s="1554">
        <f t="shared" si="750"/>
        <v>0</v>
      </c>
      <c r="AD766" s="1554">
        <f t="shared" si="750"/>
        <v>0</v>
      </c>
      <c r="AE766" s="1554">
        <f t="shared" si="750"/>
        <v>0</v>
      </c>
      <c r="AF766" s="1554">
        <f t="shared" si="750"/>
        <v>0</v>
      </c>
      <c r="AG766" s="1554">
        <f t="shared" si="750"/>
        <v>0</v>
      </c>
      <c r="AH766" s="1560">
        <f t="shared" si="751"/>
        <v>15.994777499999998</v>
      </c>
      <c r="AI766" s="1561">
        <f t="shared" si="743"/>
        <v>5.8444750000000028</v>
      </c>
      <c r="AJ766" s="1561">
        <f t="shared" si="744"/>
        <v>35.066850000000017</v>
      </c>
      <c r="AL766" s="561"/>
      <c r="AM766" s="1526"/>
      <c r="AN766" s="1526"/>
      <c r="AO766" s="1526"/>
      <c r="AP766" s="1526"/>
      <c r="AQ766" s="1526"/>
      <c r="AR766" s="1526"/>
      <c r="AS766" s="1526"/>
      <c r="AT766" s="1526"/>
      <c r="AU766" s="1526"/>
      <c r="AV766" s="1526"/>
      <c r="AW766" s="1526"/>
      <c r="AX766" s="1526"/>
      <c r="AY766" s="1526"/>
      <c r="AZ766" s="1526"/>
      <c r="BA766" s="1526"/>
      <c r="BB766" s="1526"/>
      <c r="BC766" s="1526"/>
      <c r="BD766" s="1526"/>
      <c r="BE766" s="1526"/>
      <c r="BF766" s="1526"/>
      <c r="BG766" s="1526"/>
      <c r="BH766" s="1526"/>
    </row>
    <row r="767" spans="1:60" s="1525" customFormat="1">
      <c r="A767" s="1499">
        <v>3</v>
      </c>
      <c r="B767" s="1520" t="s">
        <v>2812</v>
      </c>
      <c r="C767" s="1368"/>
      <c r="D767" s="1368"/>
      <c r="E767" s="1368"/>
      <c r="F767" s="1368"/>
      <c r="G767" s="1557">
        <f t="shared" si="739"/>
        <v>59.664359999999995</v>
      </c>
      <c r="H767" s="1368">
        <f>35.04*1.39</f>
        <v>48.705599999999997</v>
      </c>
      <c r="I767" s="1557">
        <f t="shared" si="745"/>
        <v>0</v>
      </c>
      <c r="J767" s="1368"/>
      <c r="K767" s="1368"/>
      <c r="L767" s="1368"/>
      <c r="M767" s="1368"/>
      <c r="N767" s="1368"/>
      <c r="O767" s="1368"/>
      <c r="P767" s="1368"/>
      <c r="Q767" s="1368"/>
      <c r="R767" s="1368"/>
      <c r="S767" s="1368"/>
      <c r="T767" s="1558">
        <f t="shared" si="749"/>
        <v>10.95876</v>
      </c>
      <c r="U767" s="1559">
        <f t="shared" si="746"/>
        <v>63.956760000000003</v>
      </c>
      <c r="V767" s="1554">
        <f t="shared" si="732"/>
        <v>52.209600000000002</v>
      </c>
      <c r="W767" s="1554">
        <f t="shared" si="733"/>
        <v>0</v>
      </c>
      <c r="X767" s="1554">
        <f t="shared" si="750"/>
        <v>0</v>
      </c>
      <c r="Y767" s="1554">
        <f t="shared" si="750"/>
        <v>0</v>
      </c>
      <c r="Z767" s="1554">
        <f t="shared" si="750"/>
        <v>0</v>
      </c>
      <c r="AA767" s="1554">
        <f t="shared" si="750"/>
        <v>0</v>
      </c>
      <c r="AB767" s="1554">
        <f t="shared" si="750"/>
        <v>0</v>
      </c>
      <c r="AC767" s="1554">
        <f t="shared" si="750"/>
        <v>0</v>
      </c>
      <c r="AD767" s="1554">
        <f t="shared" si="750"/>
        <v>0</v>
      </c>
      <c r="AE767" s="1554">
        <f t="shared" si="750"/>
        <v>0</v>
      </c>
      <c r="AF767" s="1554">
        <f t="shared" si="750"/>
        <v>0</v>
      </c>
      <c r="AG767" s="1554">
        <f t="shared" si="750"/>
        <v>0</v>
      </c>
      <c r="AH767" s="1560">
        <f t="shared" si="751"/>
        <v>11.747160000000001</v>
      </c>
      <c r="AI767" s="1561">
        <f t="shared" si="743"/>
        <v>4.2924000000000078</v>
      </c>
      <c r="AJ767" s="1561">
        <f t="shared" si="744"/>
        <v>25.754400000000047</v>
      </c>
      <c r="AL767" s="561"/>
      <c r="AM767" s="1526"/>
      <c r="AN767" s="1526"/>
      <c r="AO767" s="1526"/>
      <c r="AP767" s="1526"/>
      <c r="AQ767" s="1526"/>
      <c r="AR767" s="1526"/>
      <c r="AS767" s="1526"/>
      <c r="AT767" s="1526"/>
      <c r="AU767" s="1526"/>
      <c r="AV767" s="1526"/>
      <c r="AW767" s="1526"/>
      <c r="AX767" s="1526"/>
      <c r="AY767" s="1526"/>
      <c r="AZ767" s="1526"/>
      <c r="BA767" s="1526"/>
      <c r="BB767" s="1526"/>
      <c r="BC767" s="1526"/>
      <c r="BD767" s="1526"/>
      <c r="BE767" s="1526"/>
      <c r="BF767" s="1526"/>
      <c r="BG767" s="1526"/>
      <c r="BH767" s="1526"/>
    </row>
    <row r="768" spans="1:60" s="1525" customFormat="1">
      <c r="A768" s="1499">
        <v>4</v>
      </c>
      <c r="B768" s="1520" t="s">
        <v>2813</v>
      </c>
      <c r="C768" s="1368"/>
      <c r="D768" s="1368"/>
      <c r="E768" s="1368"/>
      <c r="F768" s="1368"/>
      <c r="G768" s="1557">
        <f t="shared" si="739"/>
        <v>38.107544999999995</v>
      </c>
      <c r="H768" s="1368">
        <f>22.38*1.39</f>
        <v>31.108199999999997</v>
      </c>
      <c r="I768" s="1557">
        <f t="shared" si="745"/>
        <v>0</v>
      </c>
      <c r="J768" s="1368"/>
      <c r="K768" s="1368"/>
      <c r="L768" s="1368"/>
      <c r="M768" s="1368"/>
      <c r="N768" s="1368"/>
      <c r="O768" s="1368"/>
      <c r="P768" s="1368"/>
      <c r="Q768" s="1368"/>
      <c r="R768" s="1368"/>
      <c r="S768" s="1368"/>
      <c r="T768" s="1558">
        <f t="shared" si="749"/>
        <v>6.999344999999999</v>
      </c>
      <c r="U768" s="1559">
        <f t="shared" si="746"/>
        <v>40.849094999999998</v>
      </c>
      <c r="V768" s="1554">
        <f t="shared" si="732"/>
        <v>33.346199999999996</v>
      </c>
      <c r="W768" s="1554">
        <f t="shared" si="733"/>
        <v>0</v>
      </c>
      <c r="X768" s="1554">
        <f t="shared" si="750"/>
        <v>0</v>
      </c>
      <c r="Y768" s="1554">
        <f t="shared" si="750"/>
        <v>0</v>
      </c>
      <c r="Z768" s="1554">
        <f t="shared" si="750"/>
        <v>0</v>
      </c>
      <c r="AA768" s="1554">
        <f t="shared" si="750"/>
        <v>0</v>
      </c>
      <c r="AB768" s="1554">
        <f t="shared" si="750"/>
        <v>0</v>
      </c>
      <c r="AC768" s="1554">
        <f t="shared" si="750"/>
        <v>0</v>
      </c>
      <c r="AD768" s="1554">
        <f t="shared" si="750"/>
        <v>0</v>
      </c>
      <c r="AE768" s="1554">
        <f t="shared" si="750"/>
        <v>0</v>
      </c>
      <c r="AF768" s="1554">
        <f t="shared" si="750"/>
        <v>0</v>
      </c>
      <c r="AG768" s="1554">
        <f t="shared" si="750"/>
        <v>0</v>
      </c>
      <c r="AH768" s="1560">
        <f t="shared" si="751"/>
        <v>7.5028949999999996</v>
      </c>
      <c r="AI768" s="1561">
        <f t="shared" si="743"/>
        <v>2.7415500000000037</v>
      </c>
      <c r="AJ768" s="1561">
        <f t="shared" si="744"/>
        <v>16.449300000000022</v>
      </c>
      <c r="AL768" s="561"/>
      <c r="AM768" s="1526"/>
      <c r="AN768" s="1526"/>
      <c r="AO768" s="1526"/>
      <c r="AP768" s="1526"/>
      <c r="AQ768" s="1526"/>
      <c r="AR768" s="1526"/>
      <c r="AS768" s="1526"/>
      <c r="AT768" s="1526"/>
      <c r="AU768" s="1526"/>
      <c r="AV768" s="1526"/>
      <c r="AW768" s="1526"/>
      <c r="AX768" s="1526"/>
      <c r="AY768" s="1526"/>
      <c r="AZ768" s="1526"/>
      <c r="BA768" s="1526"/>
      <c r="BB768" s="1526"/>
      <c r="BC768" s="1526"/>
      <c r="BD768" s="1526"/>
      <c r="BE768" s="1526"/>
      <c r="BF768" s="1526"/>
      <c r="BG768" s="1526"/>
      <c r="BH768" s="1526"/>
    </row>
    <row r="769" spans="1:60" s="1525" customFormat="1">
      <c r="A769" s="1499"/>
      <c r="B769" s="1520" t="s">
        <v>2540</v>
      </c>
      <c r="C769" s="1368"/>
      <c r="D769" s="1368"/>
      <c r="E769" s="1368"/>
      <c r="F769" s="1368"/>
      <c r="G769" s="1557">
        <f t="shared" si="739"/>
        <v>0</v>
      </c>
      <c r="H769" s="1368"/>
      <c r="I769" s="1368">
        <f t="shared" ref="I769" si="752">SUM(I770:I776)</f>
        <v>0</v>
      </c>
      <c r="J769" s="1368"/>
      <c r="K769" s="1368"/>
      <c r="L769" s="1368"/>
      <c r="M769" s="1368"/>
      <c r="N769" s="1368"/>
      <c r="O769" s="1368"/>
      <c r="P769" s="1368"/>
      <c r="Q769" s="1368"/>
      <c r="R769" s="1368"/>
      <c r="S769" s="1368"/>
      <c r="T769" s="1558">
        <f t="shared" si="749"/>
        <v>0</v>
      </c>
      <c r="U769" s="1559">
        <f t="shared" si="746"/>
        <v>0</v>
      </c>
      <c r="V769" s="1554">
        <f t="shared" si="732"/>
        <v>0</v>
      </c>
      <c r="W769" s="1554">
        <f t="shared" si="733"/>
        <v>0</v>
      </c>
      <c r="X769" s="1554">
        <f t="shared" si="750"/>
        <v>0</v>
      </c>
      <c r="Y769" s="1554">
        <f t="shared" si="750"/>
        <v>0</v>
      </c>
      <c r="Z769" s="1554">
        <f t="shared" si="750"/>
        <v>0</v>
      </c>
      <c r="AA769" s="1554">
        <f t="shared" si="750"/>
        <v>0</v>
      </c>
      <c r="AB769" s="1554">
        <f t="shared" si="750"/>
        <v>0</v>
      </c>
      <c r="AC769" s="1554">
        <f t="shared" si="750"/>
        <v>0</v>
      </c>
      <c r="AD769" s="1554">
        <f t="shared" si="750"/>
        <v>0</v>
      </c>
      <c r="AE769" s="1554">
        <f t="shared" si="750"/>
        <v>0</v>
      </c>
      <c r="AF769" s="1554">
        <f t="shared" si="750"/>
        <v>0</v>
      </c>
      <c r="AG769" s="1554">
        <f t="shared" si="750"/>
        <v>0</v>
      </c>
      <c r="AH769" s="1560">
        <f t="shared" si="751"/>
        <v>0</v>
      </c>
      <c r="AI769" s="1561">
        <f t="shared" si="743"/>
        <v>0</v>
      </c>
      <c r="AJ769" s="1561">
        <f t="shared" si="744"/>
        <v>0</v>
      </c>
      <c r="AL769" s="561"/>
      <c r="AM769" s="1526"/>
      <c r="AN769" s="1526"/>
      <c r="AO769" s="1526"/>
      <c r="AP769" s="1526"/>
      <c r="AQ769" s="1526"/>
      <c r="AR769" s="1526"/>
      <c r="AS769" s="1526"/>
      <c r="AT769" s="1526"/>
      <c r="AU769" s="1526"/>
      <c r="AV769" s="1526"/>
      <c r="AW769" s="1526"/>
      <c r="AX769" s="1526"/>
      <c r="AY769" s="1526"/>
      <c r="AZ769" s="1526"/>
      <c r="BA769" s="1526"/>
      <c r="BB769" s="1526"/>
      <c r="BC769" s="1526"/>
      <c r="BD769" s="1526"/>
      <c r="BE769" s="1526"/>
      <c r="BF769" s="1526"/>
      <c r="BG769" s="1526"/>
      <c r="BH769" s="1526"/>
    </row>
    <row r="770" spans="1:60" s="1525" customFormat="1">
      <c r="A770" s="1499">
        <v>1</v>
      </c>
      <c r="B770" s="1598" t="s">
        <v>2814</v>
      </c>
      <c r="C770" s="1368">
        <v>4</v>
      </c>
      <c r="D770" s="1368"/>
      <c r="E770" s="1368"/>
      <c r="F770" s="1368">
        <v>4</v>
      </c>
      <c r="G770" s="1557">
        <f t="shared" si="739"/>
        <v>27.737797499999996</v>
      </c>
      <c r="H770" s="1368">
        <f>16.29*1.39</f>
        <v>22.643099999999997</v>
      </c>
      <c r="I770" s="1557">
        <f t="shared" ref="I770:I777" si="753">SUM(J770:S770)</f>
        <v>0</v>
      </c>
      <c r="J770" s="1368"/>
      <c r="K770" s="1368"/>
      <c r="L770" s="1368"/>
      <c r="M770" s="1368"/>
      <c r="N770" s="1368"/>
      <c r="O770" s="1368"/>
      <c r="P770" s="1368"/>
      <c r="Q770" s="1368"/>
      <c r="R770" s="1368"/>
      <c r="S770" s="1368"/>
      <c r="T770" s="1558">
        <f t="shared" si="749"/>
        <v>5.0946974999999997</v>
      </c>
      <c r="U770" s="1559">
        <f t="shared" si="746"/>
        <v>29.7333225</v>
      </c>
      <c r="V770" s="1554">
        <f t="shared" si="732"/>
        <v>24.272099999999998</v>
      </c>
      <c r="W770" s="1554">
        <f t="shared" si="733"/>
        <v>0</v>
      </c>
      <c r="X770" s="1554">
        <f t="shared" si="750"/>
        <v>0</v>
      </c>
      <c r="Y770" s="1554">
        <f t="shared" si="750"/>
        <v>0</v>
      </c>
      <c r="Z770" s="1554">
        <f t="shared" si="750"/>
        <v>0</v>
      </c>
      <c r="AA770" s="1554">
        <f t="shared" si="750"/>
        <v>0</v>
      </c>
      <c r="AB770" s="1554">
        <f t="shared" si="750"/>
        <v>0</v>
      </c>
      <c r="AC770" s="1554">
        <f t="shared" si="750"/>
        <v>0</v>
      </c>
      <c r="AD770" s="1554">
        <f t="shared" si="750"/>
        <v>0</v>
      </c>
      <c r="AE770" s="1554">
        <f t="shared" si="750"/>
        <v>0</v>
      </c>
      <c r="AF770" s="1554">
        <f>(R770/1.39)*1.49</f>
        <v>0</v>
      </c>
      <c r="AG770" s="1554">
        <f t="shared" si="750"/>
        <v>0</v>
      </c>
      <c r="AH770" s="1560">
        <f t="shared" si="751"/>
        <v>5.4612224999999999</v>
      </c>
      <c r="AI770" s="1561">
        <f t="shared" si="743"/>
        <v>1.9955250000000042</v>
      </c>
      <c r="AJ770" s="1561">
        <f t="shared" si="744"/>
        <v>11.973150000000025</v>
      </c>
      <c r="AL770" s="561"/>
      <c r="AM770" s="1526"/>
      <c r="AN770" s="1526"/>
      <c r="AO770" s="1526"/>
      <c r="AP770" s="1526"/>
      <c r="AQ770" s="1526"/>
      <c r="AR770" s="1526"/>
      <c r="AS770" s="1526"/>
      <c r="AT770" s="1526"/>
      <c r="AU770" s="1526"/>
      <c r="AV770" s="1526"/>
      <c r="AW770" s="1526"/>
      <c r="AX770" s="1526"/>
      <c r="AY770" s="1526"/>
      <c r="AZ770" s="1526"/>
      <c r="BA770" s="1526"/>
      <c r="BB770" s="1526"/>
      <c r="BC770" s="1526"/>
      <c r="BD770" s="1526"/>
      <c r="BE770" s="1526"/>
      <c r="BF770" s="1526"/>
      <c r="BG770" s="1526"/>
      <c r="BH770" s="1526"/>
    </row>
    <row r="771" spans="1:60" s="1525" customFormat="1">
      <c r="A771" s="1499">
        <v>2</v>
      </c>
      <c r="B771" s="1598" t="s">
        <v>2815</v>
      </c>
      <c r="C771" s="1368">
        <v>5</v>
      </c>
      <c r="D771" s="1368"/>
      <c r="E771" s="1368"/>
      <c r="F771" s="1368">
        <v>5</v>
      </c>
      <c r="G771" s="1557">
        <f t="shared" si="739"/>
        <v>33.646340000000002</v>
      </c>
      <c r="H771" s="1368">
        <f>19.76*1.39</f>
        <v>27.4664</v>
      </c>
      <c r="I771" s="1557">
        <f t="shared" si="753"/>
        <v>0</v>
      </c>
      <c r="J771" s="1368"/>
      <c r="K771" s="1368"/>
      <c r="L771" s="1368"/>
      <c r="M771" s="1368"/>
      <c r="N771" s="1368"/>
      <c r="O771" s="1368"/>
      <c r="P771" s="1368"/>
      <c r="Q771" s="1368"/>
      <c r="R771" s="1368"/>
      <c r="S771" s="1368"/>
      <c r="T771" s="1558">
        <f t="shared" si="749"/>
        <v>6.1799400000000002</v>
      </c>
      <c r="U771" s="1559">
        <f t="shared" si="746"/>
        <v>36.066940000000002</v>
      </c>
      <c r="V771" s="1554">
        <f t="shared" si="732"/>
        <v>29.442400000000003</v>
      </c>
      <c r="W771" s="1554">
        <f t="shared" si="733"/>
        <v>0</v>
      </c>
      <c r="X771" s="1554">
        <f t="shared" si="750"/>
        <v>0</v>
      </c>
      <c r="Y771" s="1554">
        <f t="shared" si="750"/>
        <v>0</v>
      </c>
      <c r="Z771" s="1554">
        <f t="shared" si="750"/>
        <v>0</v>
      </c>
      <c r="AA771" s="1554">
        <f t="shared" si="750"/>
        <v>0</v>
      </c>
      <c r="AB771" s="1554">
        <f t="shared" si="750"/>
        <v>0</v>
      </c>
      <c r="AC771" s="1554">
        <f t="shared" si="750"/>
        <v>0</v>
      </c>
      <c r="AD771" s="1554">
        <f t="shared" si="750"/>
        <v>0</v>
      </c>
      <c r="AE771" s="1554">
        <f t="shared" si="750"/>
        <v>0</v>
      </c>
      <c r="AF771" s="1554">
        <f t="shared" si="750"/>
        <v>0</v>
      </c>
      <c r="AG771" s="1554">
        <f t="shared" si="750"/>
        <v>0</v>
      </c>
      <c r="AH771" s="1560">
        <f t="shared" si="751"/>
        <v>6.6245400000000005</v>
      </c>
      <c r="AI771" s="1561">
        <f t="shared" si="743"/>
        <v>2.4206000000000003</v>
      </c>
      <c r="AJ771" s="1561">
        <f t="shared" si="744"/>
        <v>14.523600000000002</v>
      </c>
      <c r="AL771" s="561"/>
      <c r="AM771" s="1526"/>
      <c r="AN771" s="1526"/>
      <c r="AO771" s="1526"/>
      <c r="AP771" s="1526"/>
      <c r="AQ771" s="1526"/>
      <c r="AR771" s="1526"/>
      <c r="AS771" s="1526"/>
      <c r="AT771" s="1526"/>
      <c r="AU771" s="1526"/>
      <c r="AV771" s="1526"/>
      <c r="AW771" s="1526"/>
      <c r="AX771" s="1526"/>
      <c r="AY771" s="1526"/>
      <c r="AZ771" s="1526"/>
      <c r="BA771" s="1526"/>
      <c r="BB771" s="1526"/>
      <c r="BC771" s="1526"/>
      <c r="BD771" s="1526"/>
      <c r="BE771" s="1526"/>
      <c r="BF771" s="1526"/>
      <c r="BG771" s="1526"/>
      <c r="BH771" s="1526"/>
    </row>
    <row r="772" spans="1:60" s="1525" customFormat="1">
      <c r="A772" s="1499">
        <v>3</v>
      </c>
      <c r="B772" s="1598" t="s">
        <v>2816</v>
      </c>
      <c r="C772" s="1368">
        <v>5</v>
      </c>
      <c r="D772" s="1368"/>
      <c r="E772" s="1368"/>
      <c r="F772" s="1368">
        <v>4</v>
      </c>
      <c r="G772" s="1557">
        <f t="shared" si="739"/>
        <v>20.450027499999997</v>
      </c>
      <c r="H772" s="1368">
        <f>12.01*1.39</f>
        <v>16.693899999999999</v>
      </c>
      <c r="I772" s="1557">
        <f t="shared" si="753"/>
        <v>0</v>
      </c>
      <c r="J772" s="1368"/>
      <c r="K772" s="1368"/>
      <c r="L772" s="1368"/>
      <c r="M772" s="1368"/>
      <c r="N772" s="1368"/>
      <c r="O772" s="1368"/>
      <c r="P772" s="1368"/>
      <c r="Q772" s="1368"/>
      <c r="R772" s="1368"/>
      <c r="S772" s="1368"/>
      <c r="T772" s="1558">
        <f t="shared" si="749"/>
        <v>3.7561274999999998</v>
      </c>
      <c r="U772" s="1559">
        <f t="shared" si="746"/>
        <v>21.921252500000001</v>
      </c>
      <c r="V772" s="1554">
        <f t="shared" si="732"/>
        <v>17.8949</v>
      </c>
      <c r="W772" s="1554">
        <f t="shared" si="733"/>
        <v>0</v>
      </c>
      <c r="X772" s="1554">
        <f t="shared" si="750"/>
        <v>0</v>
      </c>
      <c r="Y772" s="1554">
        <f t="shared" si="750"/>
        <v>0</v>
      </c>
      <c r="Z772" s="1554">
        <f t="shared" si="750"/>
        <v>0</v>
      </c>
      <c r="AA772" s="1554">
        <f t="shared" si="750"/>
        <v>0</v>
      </c>
      <c r="AB772" s="1554">
        <f t="shared" si="750"/>
        <v>0</v>
      </c>
      <c r="AC772" s="1554">
        <f t="shared" si="750"/>
        <v>0</v>
      </c>
      <c r="AD772" s="1554">
        <f t="shared" si="750"/>
        <v>0</v>
      </c>
      <c r="AE772" s="1554">
        <f t="shared" si="750"/>
        <v>0</v>
      </c>
      <c r="AF772" s="1554">
        <f t="shared" si="750"/>
        <v>0</v>
      </c>
      <c r="AG772" s="1554">
        <f t="shared" si="750"/>
        <v>0</v>
      </c>
      <c r="AH772" s="1560">
        <f t="shared" si="751"/>
        <v>4.0263524999999998</v>
      </c>
      <c r="AI772" s="1561">
        <f t="shared" si="743"/>
        <v>1.471225000000004</v>
      </c>
      <c r="AJ772" s="1561">
        <f t="shared" si="744"/>
        <v>8.827350000000024</v>
      </c>
      <c r="AL772" s="561"/>
      <c r="AM772" s="1526"/>
      <c r="AN772" s="1526"/>
      <c r="AO772" s="1526"/>
      <c r="AP772" s="1526"/>
      <c r="AQ772" s="1526"/>
      <c r="AR772" s="1526"/>
      <c r="AS772" s="1526"/>
      <c r="AT772" s="1526"/>
      <c r="AU772" s="1526"/>
      <c r="AV772" s="1526"/>
      <c r="AW772" s="1526"/>
      <c r="AX772" s="1526"/>
      <c r="AY772" s="1526"/>
      <c r="AZ772" s="1526"/>
      <c r="BA772" s="1526"/>
      <c r="BB772" s="1526"/>
      <c r="BC772" s="1526"/>
      <c r="BD772" s="1526"/>
      <c r="BE772" s="1526"/>
      <c r="BF772" s="1526"/>
      <c r="BG772" s="1526"/>
      <c r="BH772" s="1526"/>
    </row>
    <row r="773" spans="1:60" s="1525" customFormat="1">
      <c r="A773" s="1499">
        <v>4</v>
      </c>
      <c r="B773" s="1598" t="s">
        <v>2817</v>
      </c>
      <c r="C773" s="1368">
        <v>4</v>
      </c>
      <c r="D773" s="1368"/>
      <c r="E773" s="1368"/>
      <c r="F773" s="1368">
        <v>4</v>
      </c>
      <c r="G773" s="1557">
        <f t="shared" si="739"/>
        <v>24.519599999999997</v>
      </c>
      <c r="H773" s="1368">
        <f>14.4*1.39</f>
        <v>20.015999999999998</v>
      </c>
      <c r="I773" s="1557">
        <f t="shared" si="753"/>
        <v>0</v>
      </c>
      <c r="J773" s="1368"/>
      <c r="K773" s="1368"/>
      <c r="L773" s="1368"/>
      <c r="M773" s="1368"/>
      <c r="N773" s="1368"/>
      <c r="O773" s="1368"/>
      <c r="P773" s="1368"/>
      <c r="Q773" s="1368"/>
      <c r="R773" s="1368"/>
      <c r="S773" s="1368"/>
      <c r="T773" s="1558">
        <f t="shared" si="749"/>
        <v>4.5035999999999996</v>
      </c>
      <c r="U773" s="1559">
        <f t="shared" si="746"/>
        <v>26.2836</v>
      </c>
      <c r="V773" s="1554">
        <f t="shared" si="732"/>
        <v>21.456</v>
      </c>
      <c r="W773" s="1554">
        <f t="shared" si="733"/>
        <v>0</v>
      </c>
      <c r="X773" s="1554">
        <f t="shared" si="750"/>
        <v>0</v>
      </c>
      <c r="Y773" s="1554">
        <f t="shared" si="750"/>
        <v>0</v>
      </c>
      <c r="Z773" s="1554">
        <f t="shared" si="750"/>
        <v>0</v>
      </c>
      <c r="AA773" s="1554">
        <f t="shared" si="750"/>
        <v>0</v>
      </c>
      <c r="AB773" s="1554">
        <f t="shared" si="750"/>
        <v>0</v>
      </c>
      <c r="AC773" s="1554">
        <f t="shared" si="750"/>
        <v>0</v>
      </c>
      <c r="AD773" s="1554">
        <f t="shared" si="750"/>
        <v>0</v>
      </c>
      <c r="AE773" s="1554">
        <f t="shared" si="750"/>
        <v>0</v>
      </c>
      <c r="AF773" s="1554">
        <f t="shared" si="750"/>
        <v>0</v>
      </c>
      <c r="AG773" s="1554">
        <f t="shared" si="750"/>
        <v>0</v>
      </c>
      <c r="AH773" s="1560">
        <f t="shared" si="751"/>
        <v>4.8276000000000003</v>
      </c>
      <c r="AI773" s="1561">
        <f t="shared" si="743"/>
        <v>1.7640000000000029</v>
      </c>
      <c r="AJ773" s="1561">
        <f t="shared" si="744"/>
        <v>10.584000000000017</v>
      </c>
      <c r="AL773" s="561"/>
      <c r="AM773" s="1526"/>
      <c r="AN773" s="1526"/>
      <c r="AO773" s="1526"/>
      <c r="AP773" s="1526"/>
      <c r="AQ773" s="1526"/>
      <c r="AR773" s="1526"/>
      <c r="AS773" s="1526"/>
      <c r="AT773" s="1526"/>
      <c r="AU773" s="1526"/>
      <c r="AV773" s="1526"/>
      <c r="AW773" s="1526"/>
      <c r="AX773" s="1526"/>
      <c r="AY773" s="1526"/>
      <c r="AZ773" s="1526"/>
      <c r="BA773" s="1526"/>
      <c r="BB773" s="1526"/>
      <c r="BC773" s="1526"/>
      <c r="BD773" s="1526"/>
      <c r="BE773" s="1526"/>
      <c r="BF773" s="1526"/>
      <c r="BG773" s="1526"/>
      <c r="BH773" s="1526"/>
    </row>
    <row r="774" spans="1:60" s="1525" customFormat="1">
      <c r="A774" s="1499">
        <v>5</v>
      </c>
      <c r="B774" s="1598" t="s">
        <v>2818</v>
      </c>
      <c r="C774" s="1368">
        <v>4</v>
      </c>
      <c r="D774" s="1368"/>
      <c r="E774" s="1368"/>
      <c r="F774" s="1368">
        <v>4</v>
      </c>
      <c r="G774" s="1557">
        <f t="shared" si="739"/>
        <v>24.366352499999998</v>
      </c>
      <c r="H774" s="1368">
        <f>14.31*1.39</f>
        <v>19.890899999999998</v>
      </c>
      <c r="I774" s="1557">
        <f t="shared" si="753"/>
        <v>0</v>
      </c>
      <c r="J774" s="1368"/>
      <c r="K774" s="1368"/>
      <c r="L774" s="1368"/>
      <c r="M774" s="1368"/>
      <c r="N774" s="1368"/>
      <c r="O774" s="1368"/>
      <c r="P774" s="1368"/>
      <c r="Q774" s="1368"/>
      <c r="R774" s="1368"/>
      <c r="S774" s="1368"/>
      <c r="T774" s="1558">
        <f t="shared" si="749"/>
        <v>4.4754524999999994</v>
      </c>
      <c r="U774" s="1559">
        <f t="shared" si="746"/>
        <v>26.119327500000001</v>
      </c>
      <c r="V774" s="1554">
        <f t="shared" si="732"/>
        <v>21.321899999999999</v>
      </c>
      <c r="W774" s="1554">
        <f t="shared" si="733"/>
        <v>0</v>
      </c>
      <c r="X774" s="1554">
        <f t="shared" si="750"/>
        <v>0</v>
      </c>
      <c r="Y774" s="1554">
        <f t="shared" si="750"/>
        <v>0</v>
      </c>
      <c r="Z774" s="1554">
        <f t="shared" si="750"/>
        <v>0</v>
      </c>
      <c r="AA774" s="1554">
        <f t="shared" si="750"/>
        <v>0</v>
      </c>
      <c r="AB774" s="1554">
        <f t="shared" si="750"/>
        <v>0</v>
      </c>
      <c r="AC774" s="1554">
        <f t="shared" si="750"/>
        <v>0</v>
      </c>
      <c r="AD774" s="1554">
        <f t="shared" si="750"/>
        <v>0</v>
      </c>
      <c r="AE774" s="1554">
        <f t="shared" si="750"/>
        <v>0</v>
      </c>
      <c r="AF774" s="1554">
        <f t="shared" si="750"/>
        <v>0</v>
      </c>
      <c r="AG774" s="1554">
        <f t="shared" si="750"/>
        <v>0</v>
      </c>
      <c r="AH774" s="1560">
        <f t="shared" si="751"/>
        <v>4.7974275000000004</v>
      </c>
      <c r="AI774" s="1561">
        <f t="shared" si="743"/>
        <v>1.7529750000000028</v>
      </c>
      <c r="AJ774" s="1561">
        <f t="shared" si="744"/>
        <v>10.517850000000017</v>
      </c>
      <c r="AL774" s="561"/>
      <c r="AM774" s="1526"/>
      <c r="AN774" s="1526"/>
      <c r="AO774" s="1526"/>
      <c r="AP774" s="1526"/>
      <c r="AQ774" s="1526"/>
      <c r="AR774" s="1526"/>
      <c r="AS774" s="1526"/>
      <c r="AT774" s="1526"/>
      <c r="AU774" s="1526"/>
      <c r="AV774" s="1526"/>
      <c r="AW774" s="1526"/>
      <c r="AX774" s="1526"/>
      <c r="AY774" s="1526"/>
      <c r="AZ774" s="1526"/>
      <c r="BA774" s="1526"/>
      <c r="BB774" s="1526"/>
      <c r="BC774" s="1526"/>
      <c r="BD774" s="1526"/>
      <c r="BE774" s="1526"/>
      <c r="BF774" s="1526"/>
      <c r="BG774" s="1526"/>
      <c r="BH774" s="1526"/>
    </row>
    <row r="775" spans="1:60" s="1525" customFormat="1">
      <c r="A775" s="1499">
        <v>6</v>
      </c>
      <c r="B775" s="1598" t="s">
        <v>2819</v>
      </c>
      <c r="C775" s="1368">
        <v>3</v>
      </c>
      <c r="D775" s="1368"/>
      <c r="E775" s="1368"/>
      <c r="F775" s="1368">
        <v>3</v>
      </c>
      <c r="G775" s="1557">
        <f t="shared" si="739"/>
        <v>15.32475</v>
      </c>
      <c r="H775" s="1368">
        <f>9*1.39</f>
        <v>12.51</v>
      </c>
      <c r="I775" s="1557">
        <f t="shared" si="753"/>
        <v>0</v>
      </c>
      <c r="J775" s="1368"/>
      <c r="K775" s="1368"/>
      <c r="L775" s="1368"/>
      <c r="M775" s="1368"/>
      <c r="N775" s="1368"/>
      <c r="O775" s="1368"/>
      <c r="P775" s="1368"/>
      <c r="Q775" s="1368"/>
      <c r="R775" s="1368"/>
      <c r="S775" s="1591"/>
      <c r="T775" s="1558">
        <f t="shared" si="749"/>
        <v>2.8147500000000001</v>
      </c>
      <c r="U775" s="1559">
        <f t="shared" si="746"/>
        <v>16.427250000000001</v>
      </c>
      <c r="V775" s="1554">
        <f t="shared" si="732"/>
        <v>13.41</v>
      </c>
      <c r="W775" s="1554">
        <f t="shared" si="733"/>
        <v>0</v>
      </c>
      <c r="X775" s="1554">
        <f t="shared" si="750"/>
        <v>0</v>
      </c>
      <c r="Y775" s="1554">
        <f t="shared" si="750"/>
        <v>0</v>
      </c>
      <c r="Z775" s="1554">
        <f t="shared" si="750"/>
        <v>0</v>
      </c>
      <c r="AA775" s="1554">
        <f t="shared" si="750"/>
        <v>0</v>
      </c>
      <c r="AB775" s="1554">
        <f t="shared" si="750"/>
        <v>0</v>
      </c>
      <c r="AC775" s="1554">
        <f t="shared" si="750"/>
        <v>0</v>
      </c>
      <c r="AD775" s="1554">
        <f t="shared" si="750"/>
        <v>0</v>
      </c>
      <c r="AE775" s="1554">
        <f t="shared" si="750"/>
        <v>0</v>
      </c>
      <c r="AF775" s="1554">
        <f t="shared" si="750"/>
        <v>0</v>
      </c>
      <c r="AG775" s="1554">
        <f t="shared" si="750"/>
        <v>0</v>
      </c>
      <c r="AH775" s="1560">
        <f t="shared" si="751"/>
        <v>3.0172500000000002</v>
      </c>
      <c r="AI775" s="1561">
        <f t="shared" si="743"/>
        <v>1.1025000000000009</v>
      </c>
      <c r="AJ775" s="1561">
        <f t="shared" si="744"/>
        <v>6.6150000000000055</v>
      </c>
      <c r="AL775" s="561"/>
      <c r="AM775" s="1526"/>
      <c r="AN775" s="1526"/>
      <c r="AO775" s="1526"/>
      <c r="AP775" s="1526"/>
      <c r="AQ775" s="1526"/>
      <c r="AR775" s="1526"/>
      <c r="AS775" s="1526"/>
      <c r="AT775" s="1526"/>
      <c r="AU775" s="1526"/>
      <c r="AV775" s="1526"/>
      <c r="AW775" s="1526"/>
      <c r="AX775" s="1526"/>
      <c r="AY775" s="1526"/>
      <c r="AZ775" s="1526"/>
      <c r="BA775" s="1526"/>
      <c r="BB775" s="1526"/>
      <c r="BC775" s="1526"/>
      <c r="BD775" s="1526"/>
      <c r="BE775" s="1526"/>
      <c r="BF775" s="1526"/>
      <c r="BG775" s="1526"/>
      <c r="BH775" s="1526"/>
    </row>
    <row r="776" spans="1:60" s="1525" customFormat="1">
      <c r="A776" s="1499">
        <v>7</v>
      </c>
      <c r="B776" s="1598" t="s">
        <v>2820</v>
      </c>
      <c r="C776" s="1368">
        <v>3</v>
      </c>
      <c r="D776" s="1368"/>
      <c r="E776" s="1368"/>
      <c r="F776" s="1368">
        <v>3</v>
      </c>
      <c r="G776" s="1557">
        <f t="shared" si="739"/>
        <v>19.82001</v>
      </c>
      <c r="H776" s="1368">
        <f>11.64*1.39</f>
        <v>16.179600000000001</v>
      </c>
      <c r="I776" s="1557">
        <f t="shared" si="753"/>
        <v>0</v>
      </c>
      <c r="J776" s="1368"/>
      <c r="K776" s="1368"/>
      <c r="L776" s="1368"/>
      <c r="M776" s="1368"/>
      <c r="N776" s="1368"/>
      <c r="O776" s="1368"/>
      <c r="P776" s="1368"/>
      <c r="Q776" s="1368"/>
      <c r="R776" s="1368"/>
      <c r="S776" s="1368"/>
      <c r="T776" s="1558">
        <f t="shared" si="749"/>
        <v>3.6404100000000001</v>
      </c>
      <c r="U776" s="1559">
        <f t="shared" si="746"/>
        <v>21.245910000000002</v>
      </c>
      <c r="V776" s="1554">
        <f t="shared" si="732"/>
        <v>17.343600000000002</v>
      </c>
      <c r="W776" s="1554">
        <f t="shared" si="733"/>
        <v>0</v>
      </c>
      <c r="X776" s="1554">
        <f t="shared" si="750"/>
        <v>0</v>
      </c>
      <c r="Y776" s="1554">
        <f t="shared" si="750"/>
        <v>0</v>
      </c>
      <c r="Z776" s="1554">
        <f t="shared" si="750"/>
        <v>0</v>
      </c>
      <c r="AA776" s="1554">
        <f t="shared" si="750"/>
        <v>0</v>
      </c>
      <c r="AB776" s="1554">
        <f t="shared" si="750"/>
        <v>0</v>
      </c>
      <c r="AC776" s="1554">
        <f t="shared" si="750"/>
        <v>0</v>
      </c>
      <c r="AD776" s="1554">
        <f t="shared" si="750"/>
        <v>0</v>
      </c>
      <c r="AE776" s="1554">
        <f t="shared" si="750"/>
        <v>0</v>
      </c>
      <c r="AF776" s="1554">
        <f t="shared" si="750"/>
        <v>0</v>
      </c>
      <c r="AG776" s="1554">
        <f t="shared" si="750"/>
        <v>0</v>
      </c>
      <c r="AH776" s="1560">
        <f t="shared" si="751"/>
        <v>3.9023100000000004</v>
      </c>
      <c r="AI776" s="1561">
        <f t="shared" si="743"/>
        <v>1.4259000000000022</v>
      </c>
      <c r="AJ776" s="1561">
        <f t="shared" si="744"/>
        <v>8.555400000000013</v>
      </c>
      <c r="AL776" s="561"/>
      <c r="AM776" s="1526"/>
      <c r="AN776" s="1526"/>
      <c r="AO776" s="1526"/>
      <c r="AP776" s="1526"/>
      <c r="AQ776" s="1526"/>
      <c r="AR776" s="1526"/>
      <c r="AS776" s="1526"/>
      <c r="AT776" s="1526"/>
      <c r="AU776" s="1526"/>
      <c r="AV776" s="1526"/>
      <c r="AW776" s="1526"/>
      <c r="AX776" s="1526"/>
      <c r="AY776" s="1526"/>
      <c r="AZ776" s="1526"/>
      <c r="BA776" s="1526"/>
      <c r="BB776" s="1526"/>
      <c r="BC776" s="1526"/>
      <c r="BD776" s="1526"/>
      <c r="BE776" s="1526"/>
      <c r="BF776" s="1526"/>
      <c r="BG776" s="1526"/>
      <c r="BH776" s="1526"/>
    </row>
    <row r="777" spans="1:60" s="1525" customFormat="1">
      <c r="A777" s="1516" t="s">
        <v>65</v>
      </c>
      <c r="B777" s="1517" t="s">
        <v>2541</v>
      </c>
      <c r="C777" s="1370"/>
      <c r="D777" s="1370"/>
      <c r="E777" s="1370"/>
      <c r="F777" s="1370"/>
      <c r="G777" s="1553">
        <f t="shared" si="739"/>
        <v>0</v>
      </c>
      <c r="H777" s="1370"/>
      <c r="I777" s="1553">
        <f t="shared" si="753"/>
        <v>0</v>
      </c>
      <c r="J777" s="1370"/>
      <c r="K777" s="1370"/>
      <c r="L777" s="1601"/>
      <c r="M777" s="1370"/>
      <c r="N777" s="1370"/>
      <c r="O777" s="1370"/>
      <c r="P777" s="1370"/>
      <c r="Q777" s="1370"/>
      <c r="R777" s="1370"/>
      <c r="S777" s="1370"/>
      <c r="T777" s="1558">
        <f>(H777+K777+L777+R777)*22.5%</f>
        <v>0</v>
      </c>
      <c r="U777" s="1562">
        <f t="shared" si="746"/>
        <v>0</v>
      </c>
      <c r="V777" s="1554">
        <f>(H777/1.39)*1.49</f>
        <v>0</v>
      </c>
      <c r="W777" s="1562">
        <f t="shared" si="733"/>
        <v>0</v>
      </c>
      <c r="X777" s="1554">
        <f>(J777/1.39)*1.49</f>
        <v>0</v>
      </c>
      <c r="Y777" s="1554">
        <f t="shared" si="750"/>
        <v>0</v>
      </c>
      <c r="Z777" s="1554">
        <f t="shared" si="750"/>
        <v>0</v>
      </c>
      <c r="AA777" s="1554">
        <f t="shared" si="750"/>
        <v>0</v>
      </c>
      <c r="AB777" s="1554">
        <f t="shared" si="750"/>
        <v>0</v>
      </c>
      <c r="AC777" s="1554">
        <f t="shared" si="750"/>
        <v>0</v>
      </c>
      <c r="AD777" s="1554">
        <f t="shared" si="750"/>
        <v>0</v>
      </c>
      <c r="AE777" s="1554">
        <f t="shared" si="750"/>
        <v>0</v>
      </c>
      <c r="AF777" s="1554">
        <f t="shared" si="750"/>
        <v>0</v>
      </c>
      <c r="AG777" s="1554">
        <f t="shared" si="750"/>
        <v>0</v>
      </c>
      <c r="AH777" s="1560">
        <f>(V777+Y777+Z777+AF777)*22.5%</f>
        <v>0</v>
      </c>
      <c r="AI777" s="1563">
        <f>U777-G777</f>
        <v>0</v>
      </c>
      <c r="AJ777" s="1563">
        <f>AI777*6</f>
        <v>0</v>
      </c>
      <c r="AL777" s="561"/>
      <c r="AM777" s="1526"/>
      <c r="AN777" s="1526"/>
      <c r="AO777" s="1526"/>
      <c r="AP777" s="1526"/>
      <c r="AQ777" s="1526"/>
      <c r="AR777" s="1526"/>
      <c r="AS777" s="1526"/>
      <c r="AT777" s="1526"/>
      <c r="AU777" s="1526"/>
      <c r="AV777" s="1526"/>
      <c r="AW777" s="1526"/>
      <c r="AX777" s="1526"/>
      <c r="AY777" s="1526"/>
      <c r="AZ777" s="1526"/>
      <c r="BA777" s="1526"/>
      <c r="BB777" s="1526"/>
      <c r="BC777" s="1526"/>
      <c r="BD777" s="1526"/>
      <c r="BE777" s="1526"/>
      <c r="BF777" s="1526"/>
      <c r="BG777" s="1526"/>
      <c r="BH777" s="1526"/>
    </row>
    <row r="778" spans="1:60" s="1525" customFormat="1">
      <c r="A778" s="1516" t="s">
        <v>14</v>
      </c>
      <c r="B778" s="1517" t="s">
        <v>2542</v>
      </c>
      <c r="C778" s="1564">
        <f>SUM(C779:C781)</f>
        <v>0</v>
      </c>
      <c r="D778" s="1564"/>
      <c r="E778" s="1564"/>
      <c r="F778" s="1564">
        <f t="shared" ref="F778:AJ778" si="754">SUM(F779:F781)</f>
        <v>0</v>
      </c>
      <c r="G778" s="1564">
        <f t="shared" si="754"/>
        <v>0</v>
      </c>
      <c r="H778" s="1564">
        <f t="shared" si="754"/>
        <v>0</v>
      </c>
      <c r="I778" s="1564">
        <f t="shared" si="754"/>
        <v>0</v>
      </c>
      <c r="J778" s="1564">
        <f t="shared" si="754"/>
        <v>0</v>
      </c>
      <c r="K778" s="1564">
        <f t="shared" si="754"/>
        <v>0</v>
      </c>
      <c r="L778" s="1564">
        <f t="shared" si="754"/>
        <v>0</v>
      </c>
      <c r="M778" s="1564">
        <f t="shared" si="754"/>
        <v>0</v>
      </c>
      <c r="N778" s="1564">
        <f t="shared" si="754"/>
        <v>0</v>
      </c>
      <c r="O778" s="1564">
        <f t="shared" si="754"/>
        <v>0</v>
      </c>
      <c r="P778" s="1564">
        <f t="shared" si="754"/>
        <v>0</v>
      </c>
      <c r="Q778" s="1564">
        <f t="shared" si="754"/>
        <v>0</v>
      </c>
      <c r="R778" s="1564">
        <f t="shared" si="754"/>
        <v>0</v>
      </c>
      <c r="S778" s="1564">
        <f t="shared" si="754"/>
        <v>0</v>
      </c>
      <c r="T778" s="1564">
        <f t="shared" si="754"/>
        <v>0</v>
      </c>
      <c r="U778" s="1563">
        <f t="shared" si="754"/>
        <v>0</v>
      </c>
      <c r="V778" s="1563">
        <f t="shared" si="754"/>
        <v>0</v>
      </c>
      <c r="W778" s="1563">
        <f t="shared" si="754"/>
        <v>0</v>
      </c>
      <c r="X778" s="1563">
        <f t="shared" si="754"/>
        <v>0</v>
      </c>
      <c r="Y778" s="1563">
        <f t="shared" si="754"/>
        <v>0</v>
      </c>
      <c r="Z778" s="1563">
        <f t="shared" si="754"/>
        <v>0</v>
      </c>
      <c r="AA778" s="1563">
        <f t="shared" si="754"/>
        <v>0</v>
      </c>
      <c r="AB778" s="1563">
        <f t="shared" si="754"/>
        <v>0</v>
      </c>
      <c r="AC778" s="1563">
        <f t="shared" si="754"/>
        <v>0</v>
      </c>
      <c r="AD778" s="1563">
        <f t="shared" si="754"/>
        <v>0</v>
      </c>
      <c r="AE778" s="1563">
        <f t="shared" si="754"/>
        <v>0</v>
      </c>
      <c r="AF778" s="1563">
        <f t="shared" si="754"/>
        <v>0</v>
      </c>
      <c r="AG778" s="1563">
        <f t="shared" si="754"/>
        <v>0</v>
      </c>
      <c r="AH778" s="1563">
        <f t="shared" si="754"/>
        <v>0</v>
      </c>
      <c r="AI778" s="1563">
        <f t="shared" si="754"/>
        <v>0</v>
      </c>
      <c r="AJ778" s="1563">
        <f t="shared" si="754"/>
        <v>0</v>
      </c>
      <c r="AL778" s="561"/>
      <c r="AM778" s="1526"/>
      <c r="AN778" s="1526"/>
      <c r="AO778" s="1526"/>
      <c r="AP778" s="1526"/>
      <c r="AQ778" s="1526"/>
      <c r="AR778" s="1526"/>
      <c r="AS778" s="1526"/>
      <c r="AT778" s="1526"/>
      <c r="AU778" s="1526"/>
      <c r="AV778" s="1526"/>
      <c r="AW778" s="1526"/>
      <c r="AX778" s="1526"/>
      <c r="AY778" s="1526"/>
      <c r="AZ778" s="1526"/>
      <c r="BA778" s="1526"/>
      <c r="BB778" s="1526"/>
      <c r="BC778" s="1526"/>
      <c r="BD778" s="1526"/>
      <c r="BE778" s="1526"/>
      <c r="BF778" s="1526"/>
      <c r="BG778" s="1526"/>
      <c r="BH778" s="1526"/>
    </row>
    <row r="779" spans="1:60" s="1525" customFormat="1">
      <c r="A779" s="1499"/>
      <c r="B779" s="1520" t="s">
        <v>2543</v>
      </c>
      <c r="C779" s="1368"/>
      <c r="D779" s="1368"/>
      <c r="E779" s="1368"/>
      <c r="F779" s="1368"/>
      <c r="G779" s="1557">
        <f t="shared" ref="G779" si="755">H779+I779+T779</f>
        <v>0</v>
      </c>
      <c r="H779" s="577"/>
      <c r="I779" s="1557">
        <f t="shared" ref="I779:I781" si="756">SUM(J779:S779)</f>
        <v>0</v>
      </c>
      <c r="J779" s="577"/>
      <c r="K779" s="577"/>
      <c r="L779" s="577"/>
      <c r="M779" s="577"/>
      <c r="N779" s="577"/>
      <c r="O779" s="577"/>
      <c r="P779" s="577"/>
      <c r="Q779" s="577"/>
      <c r="R779" s="577"/>
      <c r="S779" s="578">
        <f>F779*0.5*1.3</f>
        <v>0</v>
      </c>
      <c r="T779" s="1565"/>
      <c r="U779" s="1559">
        <f t="shared" ref="U779:U781" si="757">V779+W779+AH779</f>
        <v>0</v>
      </c>
      <c r="V779" s="1566"/>
      <c r="W779" s="1559">
        <f t="shared" ref="W779:W781" si="758">SUM(X779:AG779)</f>
        <v>0</v>
      </c>
      <c r="X779" s="1566"/>
      <c r="Y779" s="1566"/>
      <c r="Z779" s="1566"/>
      <c r="AA779" s="1566"/>
      <c r="AB779" s="1566"/>
      <c r="AC779" s="1566"/>
      <c r="AD779" s="1566"/>
      <c r="AE779" s="1566"/>
      <c r="AF779" s="1566"/>
      <c r="AG779" s="1554">
        <f t="shared" ref="AG779:AG785" si="759">(S779/1.39)*1.49</f>
        <v>0</v>
      </c>
      <c r="AH779" s="1566"/>
      <c r="AI779" s="1561">
        <f t="shared" ref="AI779:AI781" si="760">U779-G779</f>
        <v>0</v>
      </c>
      <c r="AJ779" s="1561">
        <f t="shared" ref="AJ779:AJ781" si="761">AI779*6</f>
        <v>0</v>
      </c>
      <c r="AL779" s="561"/>
      <c r="AM779" s="1526"/>
      <c r="AN779" s="1526"/>
      <c r="AO779" s="1526"/>
      <c r="AP779" s="1526"/>
      <c r="AQ779" s="1526"/>
      <c r="AR779" s="1526"/>
      <c r="AS779" s="1526"/>
      <c r="AT779" s="1526"/>
      <c r="AU779" s="1526"/>
      <c r="AV779" s="1526"/>
      <c r="AW779" s="1526"/>
      <c r="AX779" s="1526"/>
      <c r="AY779" s="1526"/>
      <c r="AZ779" s="1526"/>
      <c r="BA779" s="1526"/>
      <c r="BB779" s="1526"/>
      <c r="BC779" s="1526"/>
      <c r="BD779" s="1526"/>
      <c r="BE779" s="1526"/>
      <c r="BF779" s="1526"/>
      <c r="BG779" s="1526"/>
      <c r="BH779" s="1526"/>
    </row>
    <row r="780" spans="1:60" s="1525" customFormat="1">
      <c r="A780" s="1499"/>
      <c r="B780" s="1520" t="s">
        <v>2544</v>
      </c>
      <c r="C780" s="1368"/>
      <c r="D780" s="1368"/>
      <c r="E780" s="1368"/>
      <c r="F780" s="1368"/>
      <c r="G780" s="1557">
        <f>H780+I780+T780</f>
        <v>0</v>
      </c>
      <c r="H780" s="577"/>
      <c r="I780" s="1557">
        <f t="shared" si="756"/>
        <v>0</v>
      </c>
      <c r="J780" s="577"/>
      <c r="K780" s="577"/>
      <c r="L780" s="577"/>
      <c r="M780" s="577"/>
      <c r="N780" s="577"/>
      <c r="O780" s="577"/>
      <c r="P780" s="577"/>
      <c r="Q780" s="577"/>
      <c r="R780" s="577"/>
      <c r="S780" s="1368">
        <f>F780*0.4*1.39</f>
        <v>0</v>
      </c>
      <c r="T780" s="1565"/>
      <c r="U780" s="1559">
        <f t="shared" si="757"/>
        <v>0</v>
      </c>
      <c r="V780" s="1566"/>
      <c r="W780" s="1559">
        <f t="shared" si="758"/>
        <v>0</v>
      </c>
      <c r="X780" s="1566"/>
      <c r="Y780" s="1566"/>
      <c r="Z780" s="1566"/>
      <c r="AA780" s="1566"/>
      <c r="AB780" s="1566"/>
      <c r="AC780" s="1566"/>
      <c r="AD780" s="1566"/>
      <c r="AE780" s="1566"/>
      <c r="AF780" s="1566"/>
      <c r="AG780" s="1554">
        <f t="shared" si="759"/>
        <v>0</v>
      </c>
      <c r="AH780" s="1566"/>
      <c r="AI780" s="1561">
        <f t="shared" si="760"/>
        <v>0</v>
      </c>
      <c r="AJ780" s="1561">
        <f t="shared" si="761"/>
        <v>0</v>
      </c>
      <c r="AL780" s="561"/>
      <c r="AM780" s="1526"/>
      <c r="AN780" s="1526"/>
      <c r="AO780" s="1526"/>
      <c r="AP780" s="1526"/>
      <c r="AQ780" s="1526"/>
      <c r="AR780" s="1526"/>
      <c r="AS780" s="1526"/>
      <c r="AT780" s="1526"/>
      <c r="AU780" s="1526"/>
      <c r="AV780" s="1526"/>
      <c r="AW780" s="1526"/>
      <c r="AX780" s="1526"/>
      <c r="AY780" s="1526"/>
      <c r="AZ780" s="1526"/>
      <c r="BA780" s="1526"/>
      <c r="BB780" s="1526"/>
      <c r="BC780" s="1526"/>
      <c r="BD780" s="1526"/>
      <c r="BE780" s="1526"/>
      <c r="BF780" s="1526"/>
      <c r="BG780" s="1526"/>
      <c r="BH780" s="1526"/>
    </row>
    <row r="781" spans="1:60" s="1525" customFormat="1">
      <c r="A781" s="1499"/>
      <c r="B781" s="1520" t="s">
        <v>2545</v>
      </c>
      <c r="C781" s="1368"/>
      <c r="D781" s="1368"/>
      <c r="E781" s="1368"/>
      <c r="F781" s="1368"/>
      <c r="G781" s="1557">
        <f>H781+I781+T781</f>
        <v>0</v>
      </c>
      <c r="H781" s="577"/>
      <c r="I781" s="1557">
        <f t="shared" si="756"/>
        <v>0</v>
      </c>
      <c r="J781" s="577"/>
      <c r="K781" s="577"/>
      <c r="L781" s="577"/>
      <c r="M781" s="577"/>
      <c r="N781" s="577"/>
      <c r="O781" s="577"/>
      <c r="P781" s="577"/>
      <c r="Q781" s="577"/>
      <c r="R781" s="577"/>
      <c r="S781" s="1368">
        <f>F781*0.3*1.39</f>
        <v>0</v>
      </c>
      <c r="T781" s="1565"/>
      <c r="U781" s="1559">
        <f t="shared" si="757"/>
        <v>0</v>
      </c>
      <c r="V781" s="1566"/>
      <c r="W781" s="1559">
        <f t="shared" si="758"/>
        <v>0</v>
      </c>
      <c r="X781" s="1566"/>
      <c r="Y781" s="1566"/>
      <c r="Z781" s="1566"/>
      <c r="AA781" s="1566"/>
      <c r="AB781" s="1566"/>
      <c r="AC781" s="1566"/>
      <c r="AD781" s="1566"/>
      <c r="AE781" s="1566"/>
      <c r="AF781" s="1566"/>
      <c r="AG781" s="1554">
        <f t="shared" si="759"/>
        <v>0</v>
      </c>
      <c r="AH781" s="1566"/>
      <c r="AI781" s="1561">
        <f t="shared" si="760"/>
        <v>0</v>
      </c>
      <c r="AJ781" s="1561">
        <f t="shared" si="761"/>
        <v>0</v>
      </c>
      <c r="AL781" s="561"/>
      <c r="AM781" s="1526"/>
      <c r="AN781" s="1526"/>
      <c r="AO781" s="1526"/>
      <c r="AP781" s="1526"/>
      <c r="AQ781" s="1526"/>
      <c r="AR781" s="1526"/>
      <c r="AS781" s="1526"/>
      <c r="AT781" s="1526"/>
      <c r="AU781" s="1526"/>
      <c r="AV781" s="1526"/>
      <c r="AW781" s="1526"/>
      <c r="AX781" s="1526"/>
      <c r="AY781" s="1526"/>
      <c r="AZ781" s="1526"/>
      <c r="BA781" s="1526"/>
      <c r="BB781" s="1526"/>
      <c r="BC781" s="1526"/>
      <c r="BD781" s="1526"/>
      <c r="BE781" s="1526"/>
      <c r="BF781" s="1526"/>
      <c r="BG781" s="1526"/>
      <c r="BH781" s="1526"/>
    </row>
    <row r="782" spans="1:60" s="1525" customFormat="1">
      <c r="A782" s="1516" t="s">
        <v>18</v>
      </c>
      <c r="B782" s="1517" t="s">
        <v>2546</v>
      </c>
      <c r="C782" s="1564">
        <f>SUM(C783:C785)</f>
        <v>0</v>
      </c>
      <c r="D782" s="1564"/>
      <c r="E782" s="1564"/>
      <c r="F782" s="1564">
        <f t="shared" ref="F782:AI782" si="762">SUM(F783:F785)</f>
        <v>0</v>
      </c>
      <c r="G782" s="1564">
        <f t="shared" si="762"/>
        <v>0</v>
      </c>
      <c r="H782" s="1564">
        <f t="shared" si="762"/>
        <v>0</v>
      </c>
      <c r="I782" s="1564">
        <f t="shared" si="762"/>
        <v>0</v>
      </c>
      <c r="J782" s="1564">
        <f t="shared" si="762"/>
        <v>0</v>
      </c>
      <c r="K782" s="1564">
        <f t="shared" si="762"/>
        <v>0</v>
      </c>
      <c r="L782" s="1564">
        <f t="shared" si="762"/>
        <v>0</v>
      </c>
      <c r="M782" s="1564">
        <f t="shared" si="762"/>
        <v>0</v>
      </c>
      <c r="N782" s="1564">
        <f t="shared" si="762"/>
        <v>0</v>
      </c>
      <c r="O782" s="1564">
        <f t="shared" si="762"/>
        <v>0</v>
      </c>
      <c r="P782" s="1564">
        <f t="shared" si="762"/>
        <v>0</v>
      </c>
      <c r="Q782" s="1564">
        <f t="shared" si="762"/>
        <v>0</v>
      </c>
      <c r="R782" s="1564">
        <f t="shared" si="762"/>
        <v>0</v>
      </c>
      <c r="S782" s="1564">
        <f t="shared" si="762"/>
        <v>0</v>
      </c>
      <c r="T782" s="1564">
        <f t="shared" si="762"/>
        <v>0</v>
      </c>
      <c r="U782" s="1563">
        <f t="shared" si="762"/>
        <v>0</v>
      </c>
      <c r="V782" s="1563">
        <f t="shared" si="762"/>
        <v>0</v>
      </c>
      <c r="W782" s="1563">
        <f t="shared" si="762"/>
        <v>0</v>
      </c>
      <c r="X782" s="1563">
        <f t="shared" si="762"/>
        <v>0</v>
      </c>
      <c r="Y782" s="1563">
        <f t="shared" si="762"/>
        <v>0</v>
      </c>
      <c r="Z782" s="1563">
        <f t="shared" si="762"/>
        <v>0</v>
      </c>
      <c r="AA782" s="1563">
        <f t="shared" si="762"/>
        <v>0</v>
      </c>
      <c r="AB782" s="1563">
        <f t="shared" si="762"/>
        <v>0</v>
      </c>
      <c r="AC782" s="1563">
        <f t="shared" si="762"/>
        <v>0</v>
      </c>
      <c r="AD782" s="1563">
        <f t="shared" si="762"/>
        <v>0</v>
      </c>
      <c r="AE782" s="1563">
        <f t="shared" si="762"/>
        <v>0</v>
      </c>
      <c r="AF782" s="1563">
        <f t="shared" si="762"/>
        <v>0</v>
      </c>
      <c r="AG782" s="1563">
        <f t="shared" si="762"/>
        <v>0</v>
      </c>
      <c r="AH782" s="1563">
        <f t="shared" si="762"/>
        <v>0</v>
      </c>
      <c r="AI782" s="1563">
        <f t="shared" si="762"/>
        <v>0</v>
      </c>
      <c r="AJ782" s="1563">
        <f>SUM(AJ783:AJ785)</f>
        <v>0</v>
      </c>
      <c r="AL782" s="561"/>
      <c r="AM782" s="1526"/>
      <c r="AN782" s="1526"/>
      <c r="AO782" s="1526"/>
      <c r="AP782" s="1526"/>
      <c r="AQ782" s="1526"/>
      <c r="AR782" s="1526"/>
      <c r="AS782" s="1526"/>
      <c r="AT782" s="1526"/>
      <c r="AU782" s="1526"/>
      <c r="AV782" s="1526"/>
      <c r="AW782" s="1526"/>
      <c r="AX782" s="1526"/>
      <c r="AY782" s="1526"/>
      <c r="AZ782" s="1526"/>
      <c r="BA782" s="1526"/>
      <c r="BB782" s="1526"/>
      <c r="BC782" s="1526"/>
      <c r="BD782" s="1526"/>
      <c r="BE782" s="1526"/>
      <c r="BF782" s="1526"/>
      <c r="BG782" s="1526"/>
      <c r="BH782" s="1526"/>
    </row>
    <row r="783" spans="1:60" s="1525" customFormat="1">
      <c r="A783" s="1499"/>
      <c r="B783" s="1520" t="s">
        <v>2547</v>
      </c>
      <c r="C783" s="1368"/>
      <c r="D783" s="1368"/>
      <c r="E783" s="1368"/>
      <c r="F783" s="1368"/>
      <c r="G783" s="1557">
        <f t="shared" ref="G783:G785" si="763">H783+I783+T783</f>
        <v>0</v>
      </c>
      <c r="H783" s="577"/>
      <c r="I783" s="1557">
        <f t="shared" ref="I783:I785" si="764">SUM(J783:S783)</f>
        <v>0</v>
      </c>
      <c r="J783" s="577"/>
      <c r="K783" s="577"/>
      <c r="L783" s="577"/>
      <c r="M783" s="577"/>
      <c r="N783" s="577"/>
      <c r="O783" s="577"/>
      <c r="P783" s="577"/>
      <c r="Q783" s="577"/>
      <c r="R783" s="577"/>
      <c r="S783" s="1368">
        <f>F783*0.5*1.3</f>
        <v>0</v>
      </c>
      <c r="T783" s="1565"/>
      <c r="U783" s="1559">
        <f t="shared" ref="U783:U785" si="765">V783+W783+AH783</f>
        <v>0</v>
      </c>
      <c r="V783" s="1566"/>
      <c r="W783" s="1559">
        <f t="shared" ref="W783:W785" si="766">SUM(X783:AG783)</f>
        <v>0</v>
      </c>
      <c r="X783" s="1566"/>
      <c r="Y783" s="1566"/>
      <c r="Z783" s="1566"/>
      <c r="AA783" s="1566"/>
      <c r="AB783" s="1566"/>
      <c r="AC783" s="1566"/>
      <c r="AD783" s="1566"/>
      <c r="AE783" s="1566"/>
      <c r="AF783" s="1566"/>
      <c r="AG783" s="1554">
        <f t="shared" si="759"/>
        <v>0</v>
      </c>
      <c r="AH783" s="1566"/>
      <c r="AI783" s="1561">
        <f t="shared" ref="AI783:AI785" si="767">U783-G783</f>
        <v>0</v>
      </c>
      <c r="AJ783" s="1561">
        <f t="shared" ref="AJ783:AJ785" si="768">AI783*6</f>
        <v>0</v>
      </c>
      <c r="AL783" s="561"/>
      <c r="AM783" s="1526"/>
      <c r="AN783" s="1526"/>
      <c r="AO783" s="1526"/>
      <c r="AP783" s="1526"/>
      <c r="AQ783" s="1526"/>
      <c r="AR783" s="1526"/>
      <c r="AS783" s="1526"/>
      <c r="AT783" s="1526"/>
      <c r="AU783" s="1526"/>
      <c r="AV783" s="1526"/>
      <c r="AW783" s="1526"/>
      <c r="AX783" s="1526"/>
      <c r="AY783" s="1526"/>
      <c r="AZ783" s="1526"/>
      <c r="BA783" s="1526"/>
      <c r="BB783" s="1526"/>
      <c r="BC783" s="1526"/>
      <c r="BD783" s="1526"/>
      <c r="BE783" s="1526"/>
      <c r="BF783" s="1526"/>
      <c r="BG783" s="1526"/>
      <c r="BH783" s="1526"/>
    </row>
    <row r="784" spans="1:60" s="1525" customFormat="1">
      <c r="A784" s="1499"/>
      <c r="B784" s="1520" t="s">
        <v>2548</v>
      </c>
      <c r="C784" s="1368"/>
      <c r="D784" s="1368"/>
      <c r="E784" s="1368"/>
      <c r="F784" s="1368"/>
      <c r="G784" s="1557">
        <f t="shared" si="763"/>
        <v>0</v>
      </c>
      <c r="H784" s="577"/>
      <c r="I784" s="1557">
        <f t="shared" si="764"/>
        <v>0</v>
      </c>
      <c r="J784" s="577"/>
      <c r="K784" s="577"/>
      <c r="L784" s="577"/>
      <c r="M784" s="577"/>
      <c r="N784" s="577"/>
      <c r="O784" s="577"/>
      <c r="P784" s="577"/>
      <c r="Q784" s="577"/>
      <c r="R784" s="577"/>
      <c r="S784" s="1368">
        <f>F784*0.4*1.39</f>
        <v>0</v>
      </c>
      <c r="T784" s="1565"/>
      <c r="U784" s="1559">
        <f t="shared" si="765"/>
        <v>0</v>
      </c>
      <c r="V784" s="1566"/>
      <c r="W784" s="1559">
        <f t="shared" si="766"/>
        <v>0</v>
      </c>
      <c r="X784" s="1566"/>
      <c r="Y784" s="1566"/>
      <c r="Z784" s="1566"/>
      <c r="AA784" s="1566"/>
      <c r="AB784" s="1566"/>
      <c r="AC784" s="1566"/>
      <c r="AD784" s="1566"/>
      <c r="AE784" s="1566"/>
      <c r="AF784" s="1566"/>
      <c r="AG784" s="1554">
        <f t="shared" si="759"/>
        <v>0</v>
      </c>
      <c r="AH784" s="1566"/>
      <c r="AI784" s="1561">
        <f t="shared" si="767"/>
        <v>0</v>
      </c>
      <c r="AJ784" s="1561">
        <f t="shared" si="768"/>
        <v>0</v>
      </c>
      <c r="AL784" s="561"/>
      <c r="AM784" s="1526"/>
      <c r="AN784" s="1526"/>
      <c r="AO784" s="1526"/>
      <c r="AP784" s="1526"/>
      <c r="AQ784" s="1526"/>
      <c r="AR784" s="1526"/>
      <c r="AS784" s="1526"/>
      <c r="AT784" s="1526"/>
      <c r="AU784" s="1526"/>
      <c r="AV784" s="1526"/>
      <c r="AW784" s="1526"/>
      <c r="AX784" s="1526"/>
      <c r="AY784" s="1526"/>
      <c r="AZ784" s="1526"/>
      <c r="BA784" s="1526"/>
      <c r="BB784" s="1526"/>
      <c r="BC784" s="1526"/>
      <c r="BD784" s="1526"/>
      <c r="BE784" s="1526"/>
      <c r="BF784" s="1526"/>
      <c r="BG784" s="1526"/>
      <c r="BH784" s="1526"/>
    </row>
    <row r="785" spans="1:60" s="1525" customFormat="1">
      <c r="A785" s="1499"/>
      <c r="B785" s="1520" t="s">
        <v>2549</v>
      </c>
      <c r="C785" s="1368"/>
      <c r="D785" s="1368"/>
      <c r="E785" s="1368"/>
      <c r="F785" s="1368"/>
      <c r="G785" s="1557">
        <f t="shared" si="763"/>
        <v>0</v>
      </c>
      <c r="H785" s="577"/>
      <c r="I785" s="1557">
        <f t="shared" si="764"/>
        <v>0</v>
      </c>
      <c r="J785" s="577"/>
      <c r="K785" s="577"/>
      <c r="L785" s="577"/>
      <c r="M785" s="577"/>
      <c r="N785" s="577"/>
      <c r="O785" s="577"/>
      <c r="P785" s="577"/>
      <c r="Q785" s="577"/>
      <c r="R785" s="577"/>
      <c r="S785" s="1368">
        <f>F785*0.3*1.39</f>
        <v>0</v>
      </c>
      <c r="T785" s="1565"/>
      <c r="U785" s="1559">
        <f t="shared" si="765"/>
        <v>0</v>
      </c>
      <c r="V785" s="1566"/>
      <c r="W785" s="1559">
        <f t="shared" si="766"/>
        <v>0</v>
      </c>
      <c r="X785" s="1566"/>
      <c r="Y785" s="1566"/>
      <c r="Z785" s="1566"/>
      <c r="AA785" s="1566"/>
      <c r="AB785" s="1566"/>
      <c r="AC785" s="1566"/>
      <c r="AD785" s="1566"/>
      <c r="AE785" s="1566"/>
      <c r="AF785" s="1566"/>
      <c r="AG785" s="1554">
        <f t="shared" si="759"/>
        <v>0</v>
      </c>
      <c r="AH785" s="1566"/>
      <c r="AI785" s="1561">
        <f t="shared" si="767"/>
        <v>0</v>
      </c>
      <c r="AJ785" s="1561">
        <f t="shared" si="768"/>
        <v>0</v>
      </c>
      <c r="AL785" s="561"/>
      <c r="AM785" s="1526"/>
      <c r="AN785" s="1526"/>
      <c r="AO785" s="1526"/>
      <c r="AP785" s="1526"/>
      <c r="AQ785" s="1526"/>
      <c r="AR785" s="1526"/>
      <c r="AS785" s="1526"/>
      <c r="AT785" s="1526"/>
      <c r="AU785" s="1526"/>
      <c r="AV785" s="1526"/>
      <c r="AW785" s="1526"/>
      <c r="AX785" s="1526"/>
      <c r="AY785" s="1526"/>
      <c r="AZ785" s="1526"/>
      <c r="BA785" s="1526"/>
      <c r="BB785" s="1526"/>
      <c r="BC785" s="1526"/>
      <c r="BD785" s="1526"/>
      <c r="BE785" s="1526"/>
      <c r="BF785" s="1526"/>
      <c r="BG785" s="1526"/>
      <c r="BH785" s="1526"/>
    </row>
    <row r="786" spans="1:60" s="1525" customFormat="1">
      <c r="A786" s="1602"/>
      <c r="B786" s="1603" t="s">
        <v>2496</v>
      </c>
      <c r="C786" s="1604">
        <f>C787+C807+C808+C812</f>
        <v>0</v>
      </c>
      <c r="D786" s="1604"/>
      <c r="E786" s="1604"/>
      <c r="F786" s="1604">
        <f t="shared" ref="F786:AJ786" si="769">F787+F807+F808+F812</f>
        <v>0</v>
      </c>
      <c r="G786" s="1604">
        <f t="shared" si="769"/>
        <v>0</v>
      </c>
      <c r="H786" s="1604">
        <f t="shared" si="769"/>
        <v>0</v>
      </c>
      <c r="I786" s="1604">
        <f t="shared" si="769"/>
        <v>0</v>
      </c>
      <c r="J786" s="1604">
        <f t="shared" si="769"/>
        <v>0</v>
      </c>
      <c r="K786" s="1604">
        <f t="shared" si="769"/>
        <v>0</v>
      </c>
      <c r="L786" s="1604">
        <f t="shared" si="769"/>
        <v>0</v>
      </c>
      <c r="M786" s="1604">
        <f t="shared" si="769"/>
        <v>0</v>
      </c>
      <c r="N786" s="1604">
        <f t="shared" si="769"/>
        <v>0</v>
      </c>
      <c r="O786" s="1604">
        <f t="shared" si="769"/>
        <v>0</v>
      </c>
      <c r="P786" s="1604">
        <f t="shared" si="769"/>
        <v>0</v>
      </c>
      <c r="Q786" s="1604">
        <f t="shared" si="769"/>
        <v>0</v>
      </c>
      <c r="R786" s="1604">
        <f t="shared" si="769"/>
        <v>0</v>
      </c>
      <c r="S786" s="1604">
        <f t="shared" si="769"/>
        <v>0</v>
      </c>
      <c r="T786" s="1604">
        <f t="shared" si="769"/>
        <v>0</v>
      </c>
      <c r="U786" s="1604">
        <f t="shared" si="769"/>
        <v>0</v>
      </c>
      <c r="V786" s="1604">
        <f t="shared" si="769"/>
        <v>0</v>
      </c>
      <c r="W786" s="1604">
        <f t="shared" si="769"/>
        <v>0</v>
      </c>
      <c r="X786" s="1604">
        <f t="shared" si="769"/>
        <v>0</v>
      </c>
      <c r="Y786" s="1604">
        <f t="shared" si="769"/>
        <v>0</v>
      </c>
      <c r="Z786" s="1604">
        <f t="shared" si="769"/>
        <v>0</v>
      </c>
      <c r="AA786" s="1604">
        <f t="shared" si="769"/>
        <v>0</v>
      </c>
      <c r="AB786" s="1604">
        <f t="shared" si="769"/>
        <v>0</v>
      </c>
      <c r="AC786" s="1604">
        <f t="shared" si="769"/>
        <v>0</v>
      </c>
      <c r="AD786" s="1604">
        <f t="shared" si="769"/>
        <v>0</v>
      </c>
      <c r="AE786" s="1604">
        <f t="shared" si="769"/>
        <v>0</v>
      </c>
      <c r="AF786" s="1604">
        <f t="shared" si="769"/>
        <v>0</v>
      </c>
      <c r="AG786" s="1604">
        <f t="shared" si="769"/>
        <v>0</v>
      </c>
      <c r="AH786" s="1604">
        <f t="shared" si="769"/>
        <v>0</v>
      </c>
      <c r="AI786" s="1604">
        <f t="shared" si="769"/>
        <v>0</v>
      </c>
      <c r="AJ786" s="1604">
        <f t="shared" si="769"/>
        <v>0</v>
      </c>
      <c r="AL786" s="561"/>
      <c r="AM786" s="1526"/>
      <c r="AN786" s="1526"/>
      <c r="AO786" s="1526"/>
      <c r="AP786" s="1526"/>
      <c r="AQ786" s="1526"/>
      <c r="AR786" s="1526"/>
      <c r="AS786" s="1526"/>
      <c r="AT786" s="1526"/>
      <c r="AU786" s="1526"/>
      <c r="AV786" s="1526"/>
      <c r="AW786" s="1526"/>
      <c r="AX786" s="1526"/>
      <c r="AY786" s="1526"/>
      <c r="AZ786" s="1526"/>
      <c r="BA786" s="1526"/>
      <c r="BB786" s="1526"/>
      <c r="BC786" s="1526"/>
      <c r="BD786" s="1526"/>
      <c r="BE786" s="1526"/>
      <c r="BF786" s="1526"/>
      <c r="BG786" s="1526"/>
      <c r="BH786" s="1526"/>
    </row>
    <row r="787" spans="1:60" s="1525" customFormat="1">
      <c r="A787" s="1433" t="s">
        <v>13</v>
      </c>
      <c r="B787" s="1552" t="s">
        <v>2528</v>
      </c>
      <c r="C787" s="1438">
        <f>C789+C794+C796+C797+C798+C799+C800+C801+C802+C803</f>
        <v>0</v>
      </c>
      <c r="D787" s="1438"/>
      <c r="E787" s="1438"/>
      <c r="F787" s="1438">
        <f t="shared" ref="F787:AH787" si="770">F789+F794+F796+F797+F798+F799+F800+F801+F802+F803</f>
        <v>0</v>
      </c>
      <c r="G787" s="1438">
        <f t="shared" si="770"/>
        <v>0</v>
      </c>
      <c r="H787" s="1438">
        <f t="shared" si="770"/>
        <v>0</v>
      </c>
      <c r="I787" s="1438">
        <f t="shared" si="770"/>
        <v>0</v>
      </c>
      <c r="J787" s="1438">
        <f t="shared" si="770"/>
        <v>0</v>
      </c>
      <c r="K787" s="1438">
        <f t="shared" si="770"/>
        <v>0</v>
      </c>
      <c r="L787" s="1438">
        <f t="shared" si="770"/>
        <v>0</v>
      </c>
      <c r="M787" s="1438">
        <f t="shared" si="770"/>
        <v>0</v>
      </c>
      <c r="N787" s="1438">
        <f t="shared" si="770"/>
        <v>0</v>
      </c>
      <c r="O787" s="1438">
        <f t="shared" si="770"/>
        <v>0</v>
      </c>
      <c r="P787" s="1438">
        <f t="shared" si="770"/>
        <v>0</v>
      </c>
      <c r="Q787" s="1438">
        <f t="shared" si="770"/>
        <v>0</v>
      </c>
      <c r="R787" s="1438">
        <f t="shared" si="770"/>
        <v>0</v>
      </c>
      <c r="S787" s="1438">
        <f t="shared" si="770"/>
        <v>0</v>
      </c>
      <c r="T787" s="1438">
        <f t="shared" si="770"/>
        <v>0</v>
      </c>
      <c r="U787" s="1438">
        <f t="shared" si="770"/>
        <v>0</v>
      </c>
      <c r="V787" s="1438">
        <f t="shared" si="770"/>
        <v>0</v>
      </c>
      <c r="W787" s="1438">
        <f t="shared" si="770"/>
        <v>0</v>
      </c>
      <c r="X787" s="1438">
        <f t="shared" si="770"/>
        <v>0</v>
      </c>
      <c r="Y787" s="1438">
        <f t="shared" si="770"/>
        <v>0</v>
      </c>
      <c r="Z787" s="1438">
        <f t="shared" si="770"/>
        <v>0</v>
      </c>
      <c r="AA787" s="1438">
        <f t="shared" si="770"/>
        <v>0</v>
      </c>
      <c r="AB787" s="1438">
        <f t="shared" si="770"/>
        <v>0</v>
      </c>
      <c r="AC787" s="1438">
        <f t="shared" si="770"/>
        <v>0</v>
      </c>
      <c r="AD787" s="1438">
        <f t="shared" si="770"/>
        <v>0</v>
      </c>
      <c r="AE787" s="1438">
        <f t="shared" si="770"/>
        <v>0</v>
      </c>
      <c r="AF787" s="1438">
        <f t="shared" si="770"/>
        <v>0</v>
      </c>
      <c r="AG787" s="1438">
        <f t="shared" si="770"/>
        <v>0</v>
      </c>
      <c r="AH787" s="1438">
        <f t="shared" si="770"/>
        <v>0</v>
      </c>
      <c r="AI787" s="1438">
        <f>AI789+AI794+AI796+AI797+AI798+AI799+AI800+AI801+AI802+AI803</f>
        <v>0</v>
      </c>
      <c r="AJ787" s="1438">
        <f>AJ789+AJ794+AJ796+AJ797+AJ798+AJ799+AJ800+AJ801+AJ802+AJ803</f>
        <v>0</v>
      </c>
      <c r="AL787" s="561"/>
      <c r="AM787" s="1526"/>
      <c r="AN787" s="1526"/>
      <c r="AO787" s="1526"/>
      <c r="AP787" s="1526"/>
      <c r="AQ787" s="1526"/>
      <c r="AR787" s="1526"/>
      <c r="AS787" s="1526"/>
      <c r="AT787" s="1526"/>
      <c r="AU787" s="1526"/>
      <c r="AV787" s="1526"/>
      <c r="AW787" s="1526"/>
      <c r="AX787" s="1526"/>
      <c r="AY787" s="1526"/>
      <c r="AZ787" s="1526"/>
      <c r="BA787" s="1526"/>
      <c r="BB787" s="1526"/>
      <c r="BC787" s="1526"/>
      <c r="BD787" s="1526"/>
      <c r="BE787" s="1526"/>
      <c r="BF787" s="1526"/>
      <c r="BG787" s="1526"/>
      <c r="BH787" s="1526"/>
    </row>
    <row r="788" spans="1:60" s="1525" customFormat="1">
      <c r="A788" s="1375"/>
      <c r="B788" s="1533" t="s">
        <v>2512</v>
      </c>
      <c r="C788" s="1440"/>
      <c r="D788" s="1440"/>
      <c r="E788" s="1440"/>
      <c r="F788" s="1440"/>
      <c r="G788" s="1553"/>
      <c r="H788" s="1440"/>
      <c r="I788" s="1553"/>
      <c r="J788" s="1440"/>
      <c r="K788" s="1440"/>
      <c r="L788" s="1440"/>
      <c r="M788" s="1440"/>
      <c r="N788" s="1440"/>
      <c r="O788" s="1440"/>
      <c r="P788" s="1440"/>
      <c r="Q788" s="1440"/>
      <c r="R788" s="1440"/>
      <c r="S788" s="1440"/>
      <c r="T788" s="1553"/>
      <c r="U788" s="1554"/>
      <c r="V788" s="1554"/>
      <c r="W788" s="1554"/>
      <c r="X788" s="1554"/>
      <c r="Y788" s="1554"/>
      <c r="Z788" s="1554"/>
      <c r="AA788" s="1554"/>
      <c r="AB788" s="1554"/>
      <c r="AC788" s="1554"/>
      <c r="AD788" s="1554"/>
      <c r="AE788" s="1554"/>
      <c r="AF788" s="1554"/>
      <c r="AG788" s="1554"/>
      <c r="AH788" s="1554"/>
      <c r="AI788" s="1554"/>
      <c r="AJ788" s="1554"/>
      <c r="AL788" s="561"/>
      <c r="AM788" s="1526"/>
      <c r="AN788" s="1526"/>
      <c r="AO788" s="1526"/>
      <c r="AP788" s="1526"/>
      <c r="AQ788" s="1526"/>
      <c r="AR788" s="1526"/>
      <c r="AS788" s="1526"/>
      <c r="AT788" s="1526"/>
      <c r="AU788" s="1526"/>
      <c r="AV788" s="1526"/>
      <c r="AW788" s="1526"/>
      <c r="AX788" s="1526"/>
      <c r="AY788" s="1526"/>
      <c r="AZ788" s="1526"/>
      <c r="BA788" s="1526"/>
      <c r="BB788" s="1526"/>
      <c r="BC788" s="1526"/>
      <c r="BD788" s="1526"/>
      <c r="BE788" s="1526"/>
      <c r="BF788" s="1526"/>
      <c r="BG788" s="1526"/>
      <c r="BH788" s="1526"/>
    </row>
    <row r="789" spans="1:60" s="1525" customFormat="1">
      <c r="A789" s="1375">
        <v>1</v>
      </c>
      <c r="B789" s="1534" t="s">
        <v>2489</v>
      </c>
      <c r="C789" s="1365">
        <f>C790+C792</f>
        <v>0</v>
      </c>
      <c r="D789" s="1365"/>
      <c r="E789" s="1365"/>
      <c r="F789" s="1365">
        <f>F790+F792</f>
        <v>0</v>
      </c>
      <c r="G789" s="1555">
        <f t="shared" ref="G789" si="771">G790+G792</f>
        <v>0</v>
      </c>
      <c r="H789" s="1365">
        <f>H790+H792</f>
        <v>0</v>
      </c>
      <c r="I789" s="1555">
        <f t="shared" ref="I789:AJ789" si="772">I790+I792</f>
        <v>0</v>
      </c>
      <c r="J789" s="1365">
        <f t="shared" si="772"/>
        <v>0</v>
      </c>
      <c r="K789" s="1365">
        <f t="shared" si="772"/>
        <v>0</v>
      </c>
      <c r="L789" s="1365">
        <f t="shared" si="772"/>
        <v>0</v>
      </c>
      <c r="M789" s="1365">
        <f t="shared" si="772"/>
        <v>0</v>
      </c>
      <c r="N789" s="1365">
        <f t="shared" si="772"/>
        <v>0</v>
      </c>
      <c r="O789" s="1365">
        <f t="shared" si="772"/>
        <v>0</v>
      </c>
      <c r="P789" s="1365">
        <f t="shared" si="772"/>
        <v>0</v>
      </c>
      <c r="Q789" s="1365">
        <f t="shared" si="772"/>
        <v>0</v>
      </c>
      <c r="R789" s="1365">
        <f t="shared" si="772"/>
        <v>0</v>
      </c>
      <c r="S789" s="1365">
        <f t="shared" si="772"/>
        <v>0</v>
      </c>
      <c r="T789" s="1555">
        <f t="shared" si="772"/>
        <v>0</v>
      </c>
      <c r="U789" s="1556">
        <f t="shared" si="772"/>
        <v>0</v>
      </c>
      <c r="V789" s="1556">
        <f t="shared" si="772"/>
        <v>0</v>
      </c>
      <c r="W789" s="1556">
        <f t="shared" si="772"/>
        <v>0</v>
      </c>
      <c r="X789" s="1556">
        <f t="shared" si="772"/>
        <v>0</v>
      </c>
      <c r="Y789" s="1556">
        <f t="shared" si="772"/>
        <v>0</v>
      </c>
      <c r="Z789" s="1556">
        <f t="shared" si="772"/>
        <v>0</v>
      </c>
      <c r="AA789" s="1556">
        <f t="shared" si="772"/>
        <v>0</v>
      </c>
      <c r="AB789" s="1556">
        <f t="shared" si="772"/>
        <v>0</v>
      </c>
      <c r="AC789" s="1556">
        <f t="shared" si="772"/>
        <v>0</v>
      </c>
      <c r="AD789" s="1556">
        <f t="shared" si="772"/>
        <v>0</v>
      </c>
      <c r="AE789" s="1556">
        <f t="shared" si="772"/>
        <v>0</v>
      </c>
      <c r="AF789" s="1556">
        <f t="shared" si="772"/>
        <v>0</v>
      </c>
      <c r="AG789" s="1556">
        <f t="shared" si="772"/>
        <v>0</v>
      </c>
      <c r="AH789" s="1556">
        <f t="shared" si="772"/>
        <v>0</v>
      </c>
      <c r="AI789" s="1556">
        <f t="shared" si="772"/>
        <v>0</v>
      </c>
      <c r="AJ789" s="1556">
        <f t="shared" si="772"/>
        <v>0</v>
      </c>
      <c r="AL789" s="561"/>
      <c r="AM789" s="1526"/>
      <c r="AN789" s="1526"/>
      <c r="AO789" s="1526"/>
      <c r="AP789" s="1526"/>
      <c r="AQ789" s="1526"/>
      <c r="AR789" s="1526"/>
      <c r="AS789" s="1526"/>
      <c r="AT789" s="1526"/>
      <c r="AU789" s="1526"/>
      <c r="AV789" s="1526"/>
      <c r="AW789" s="1526"/>
      <c r="AX789" s="1526"/>
      <c r="AY789" s="1526"/>
      <c r="AZ789" s="1526"/>
      <c r="BA789" s="1526"/>
      <c r="BB789" s="1526"/>
      <c r="BC789" s="1526"/>
      <c r="BD789" s="1526"/>
      <c r="BE789" s="1526"/>
      <c r="BF789" s="1526"/>
      <c r="BG789" s="1526"/>
      <c r="BH789" s="1526"/>
    </row>
    <row r="790" spans="1:60" s="1525" customFormat="1">
      <c r="A790" s="1375"/>
      <c r="B790" s="1449" t="s">
        <v>2490</v>
      </c>
      <c r="C790" s="1365"/>
      <c r="D790" s="1365"/>
      <c r="E790" s="1365"/>
      <c r="F790" s="1365"/>
      <c r="G790" s="1553">
        <f t="shared" ref="G790" si="773">H790+I790+T790</f>
        <v>0</v>
      </c>
      <c r="H790" s="1365"/>
      <c r="I790" s="1553">
        <f>SUM(J790:S790)</f>
        <v>0</v>
      </c>
      <c r="J790" s="1365"/>
      <c r="K790" s="1365"/>
      <c r="L790" s="1365"/>
      <c r="M790" s="1365"/>
      <c r="N790" s="1365"/>
      <c r="O790" s="1365"/>
      <c r="P790" s="1365"/>
      <c r="Q790" s="1365"/>
      <c r="R790" s="1365"/>
      <c r="S790" s="1365"/>
      <c r="T790" s="1555">
        <f t="shared" ref="T790:T802" si="774">(H790+K790+L790+R790)*23.5%</f>
        <v>0</v>
      </c>
      <c r="U790" s="1554">
        <f t="shared" ref="U790:U802" si="775">V790+W790+AH790</f>
        <v>0</v>
      </c>
      <c r="V790" s="1554">
        <f>(H790/1.39)*1.49</f>
        <v>0</v>
      </c>
      <c r="W790" s="1554">
        <f t="shared" ref="W790:W807" si="776">SUM(X790:AG790)</f>
        <v>0</v>
      </c>
      <c r="X790" s="1554">
        <f>(J790/1.39)*1.49</f>
        <v>0</v>
      </c>
      <c r="Y790" s="1554">
        <f>(K790/1.39)*1.49</f>
        <v>0</v>
      </c>
      <c r="Z790" s="1554">
        <f>(L790/1.39)*1.49</f>
        <v>0</v>
      </c>
      <c r="AA790" s="1554">
        <f>(M790/1.39)*1.49</f>
        <v>0</v>
      </c>
      <c r="AB790" s="1554">
        <f t="shared" ref="AB790:AG807" si="777">(N790/1.39)*1.49</f>
        <v>0</v>
      </c>
      <c r="AC790" s="1554">
        <f t="shared" si="777"/>
        <v>0</v>
      </c>
      <c r="AD790" s="1554">
        <f t="shared" si="777"/>
        <v>0</v>
      </c>
      <c r="AE790" s="1554">
        <f t="shared" si="777"/>
        <v>0</v>
      </c>
      <c r="AF790" s="1554">
        <f t="shared" si="777"/>
        <v>0</v>
      </c>
      <c r="AG790" s="1554">
        <f t="shared" si="777"/>
        <v>0</v>
      </c>
      <c r="AH790" s="1554">
        <f>(V790+Y790+Z790+AF790)*23.5%</f>
        <v>0</v>
      </c>
      <c r="AI790" s="1556">
        <f t="shared" ref="AI790:AI802" si="778">U790-G790</f>
        <v>0</v>
      </c>
      <c r="AJ790" s="1556">
        <f t="shared" ref="AJ790:AJ802" si="779">AI790*6</f>
        <v>0</v>
      </c>
      <c r="AL790" s="561"/>
      <c r="AM790" s="1526"/>
      <c r="AN790" s="1526"/>
      <c r="AO790" s="1526"/>
      <c r="AP790" s="1526"/>
      <c r="AQ790" s="1526"/>
      <c r="AR790" s="1526"/>
      <c r="AS790" s="1526"/>
      <c r="AT790" s="1526"/>
      <c r="AU790" s="1526"/>
      <c r="AV790" s="1526"/>
      <c r="AW790" s="1526"/>
      <c r="AX790" s="1526"/>
      <c r="AY790" s="1526"/>
      <c r="AZ790" s="1526"/>
      <c r="BA790" s="1526"/>
      <c r="BB790" s="1526"/>
      <c r="BC790" s="1526"/>
      <c r="BD790" s="1526"/>
      <c r="BE790" s="1526"/>
      <c r="BF790" s="1526"/>
      <c r="BG790" s="1526"/>
      <c r="BH790" s="1526"/>
    </row>
    <row r="791" spans="1:60" s="1525" customFormat="1">
      <c r="A791" s="1456"/>
      <c r="B791" s="1535" t="s">
        <v>2529</v>
      </c>
      <c r="C791" s="1365"/>
      <c r="D791" s="1365"/>
      <c r="E791" s="1365"/>
      <c r="F791" s="1365"/>
      <c r="G791" s="1555"/>
      <c r="H791" s="1365"/>
      <c r="I791" s="1555"/>
      <c r="J791" s="1365"/>
      <c r="K791" s="1365"/>
      <c r="L791" s="1365"/>
      <c r="M791" s="1365"/>
      <c r="N791" s="1365"/>
      <c r="O791" s="1365"/>
      <c r="P791" s="1365"/>
      <c r="Q791" s="1365"/>
      <c r="R791" s="1365"/>
      <c r="S791" s="1365"/>
      <c r="T791" s="1555">
        <f t="shared" si="774"/>
        <v>0</v>
      </c>
      <c r="U791" s="1554">
        <f t="shared" si="775"/>
        <v>0</v>
      </c>
      <c r="V791" s="1554">
        <f t="shared" ref="V791:V806" si="780">(H791/1.39)*1.49</f>
        <v>0</v>
      </c>
      <c r="W791" s="1554">
        <f t="shared" si="776"/>
        <v>0</v>
      </c>
      <c r="X791" s="1554">
        <f t="shared" ref="X791:AA806" si="781">(J791/1.39)*1.49</f>
        <v>0</v>
      </c>
      <c r="Y791" s="1554">
        <f t="shared" si="781"/>
        <v>0</v>
      </c>
      <c r="Z791" s="1554">
        <f t="shared" si="781"/>
        <v>0</v>
      </c>
      <c r="AA791" s="1554">
        <f t="shared" si="781"/>
        <v>0</v>
      </c>
      <c r="AB791" s="1554">
        <f t="shared" si="777"/>
        <v>0</v>
      </c>
      <c r="AC791" s="1554">
        <f t="shared" si="777"/>
        <v>0</v>
      </c>
      <c r="AD791" s="1554">
        <f t="shared" si="777"/>
        <v>0</v>
      </c>
      <c r="AE791" s="1554">
        <f t="shared" si="777"/>
        <v>0</v>
      </c>
      <c r="AF791" s="1554">
        <f t="shared" si="777"/>
        <v>0</v>
      </c>
      <c r="AG791" s="1554">
        <f t="shared" si="777"/>
        <v>0</v>
      </c>
      <c r="AH791" s="1554">
        <f t="shared" ref="AH791:AH802" si="782">(V791+Y791+Z791+AF791)*23.5%</f>
        <v>0</v>
      </c>
      <c r="AI791" s="1556">
        <f t="shared" si="778"/>
        <v>0</v>
      </c>
      <c r="AJ791" s="1556">
        <f t="shared" si="779"/>
        <v>0</v>
      </c>
      <c r="AL791" s="561"/>
      <c r="AM791" s="1526"/>
      <c r="AN791" s="1526"/>
      <c r="AO791" s="1526"/>
      <c r="AP791" s="1526"/>
      <c r="AQ791" s="1526"/>
      <c r="AR791" s="1526"/>
      <c r="AS791" s="1526"/>
      <c r="AT791" s="1526"/>
      <c r="AU791" s="1526"/>
      <c r="AV791" s="1526"/>
      <c r="AW791" s="1526"/>
      <c r="AX791" s="1526"/>
      <c r="AY791" s="1526"/>
      <c r="AZ791" s="1526"/>
      <c r="BA791" s="1526"/>
      <c r="BB791" s="1526"/>
      <c r="BC791" s="1526"/>
      <c r="BD791" s="1526"/>
      <c r="BE791" s="1526"/>
      <c r="BF791" s="1526"/>
      <c r="BG791" s="1526"/>
      <c r="BH791" s="1526"/>
    </row>
    <row r="792" spans="1:60" s="1525" customFormat="1">
      <c r="A792" s="1456"/>
      <c r="B792" s="1449" t="s">
        <v>2491</v>
      </c>
      <c r="C792" s="1365"/>
      <c r="D792" s="1365"/>
      <c r="E792" s="1365"/>
      <c r="F792" s="1365"/>
      <c r="G792" s="1553">
        <f t="shared" ref="G792" si="783">H792+I792+T792</f>
        <v>0</v>
      </c>
      <c r="H792" s="1365"/>
      <c r="I792" s="1553">
        <f>SUM(J792:S792)</f>
        <v>0</v>
      </c>
      <c r="J792" s="1365"/>
      <c r="K792" s="1365"/>
      <c r="L792" s="1365"/>
      <c r="M792" s="1365"/>
      <c r="N792" s="1365"/>
      <c r="O792" s="1365"/>
      <c r="P792" s="1365"/>
      <c r="Q792" s="1365"/>
      <c r="R792" s="1365"/>
      <c r="S792" s="1365"/>
      <c r="T792" s="1555">
        <f t="shared" si="774"/>
        <v>0</v>
      </c>
      <c r="U792" s="1554">
        <f t="shared" si="775"/>
        <v>0</v>
      </c>
      <c r="V792" s="1554">
        <f t="shared" si="780"/>
        <v>0</v>
      </c>
      <c r="W792" s="1554">
        <f t="shared" si="776"/>
        <v>0</v>
      </c>
      <c r="X792" s="1554">
        <f t="shared" si="781"/>
        <v>0</v>
      </c>
      <c r="Y792" s="1554">
        <f t="shared" si="781"/>
        <v>0</v>
      </c>
      <c r="Z792" s="1554">
        <f t="shared" si="781"/>
        <v>0</v>
      </c>
      <c r="AA792" s="1554">
        <f t="shared" si="781"/>
        <v>0</v>
      </c>
      <c r="AB792" s="1554">
        <f t="shared" si="777"/>
        <v>0</v>
      </c>
      <c r="AC792" s="1554">
        <f t="shared" si="777"/>
        <v>0</v>
      </c>
      <c r="AD792" s="1554">
        <f t="shared" si="777"/>
        <v>0</v>
      </c>
      <c r="AE792" s="1554">
        <f t="shared" si="777"/>
        <v>0</v>
      </c>
      <c r="AF792" s="1554">
        <f t="shared" si="777"/>
        <v>0</v>
      </c>
      <c r="AG792" s="1554">
        <f t="shared" si="777"/>
        <v>0</v>
      </c>
      <c r="AH792" s="1554">
        <f t="shared" si="782"/>
        <v>0</v>
      </c>
      <c r="AI792" s="1556">
        <f t="shared" si="778"/>
        <v>0</v>
      </c>
      <c r="AJ792" s="1556">
        <f t="shared" si="779"/>
        <v>0</v>
      </c>
      <c r="AL792" s="561"/>
      <c r="AM792" s="1526"/>
      <c r="AN792" s="1526"/>
      <c r="AO792" s="1526"/>
      <c r="AP792" s="1526"/>
      <c r="AQ792" s="1526"/>
      <c r="AR792" s="1526"/>
      <c r="AS792" s="1526"/>
      <c r="AT792" s="1526"/>
      <c r="AU792" s="1526"/>
      <c r="AV792" s="1526"/>
      <c r="AW792" s="1526"/>
      <c r="AX792" s="1526"/>
      <c r="AY792" s="1526"/>
      <c r="AZ792" s="1526"/>
      <c r="BA792" s="1526"/>
      <c r="BB792" s="1526"/>
      <c r="BC792" s="1526"/>
      <c r="BD792" s="1526"/>
      <c r="BE792" s="1526"/>
      <c r="BF792" s="1526"/>
      <c r="BG792" s="1526"/>
      <c r="BH792" s="1526"/>
    </row>
    <row r="793" spans="1:60" s="1525" customFormat="1">
      <c r="A793" s="1456"/>
      <c r="B793" s="1535" t="s">
        <v>2529</v>
      </c>
      <c r="C793" s="1365"/>
      <c r="D793" s="1365"/>
      <c r="E793" s="1365"/>
      <c r="F793" s="1365"/>
      <c r="G793" s="1555"/>
      <c r="H793" s="1365"/>
      <c r="I793" s="1555"/>
      <c r="J793" s="1365"/>
      <c r="K793" s="1365"/>
      <c r="L793" s="1365"/>
      <c r="M793" s="1365"/>
      <c r="N793" s="1365"/>
      <c r="O793" s="1365"/>
      <c r="P793" s="1365"/>
      <c r="Q793" s="1365"/>
      <c r="R793" s="1365"/>
      <c r="S793" s="1365"/>
      <c r="T793" s="1555">
        <f t="shared" si="774"/>
        <v>0</v>
      </c>
      <c r="U793" s="1554">
        <f t="shared" si="775"/>
        <v>0</v>
      </c>
      <c r="V793" s="1554">
        <f t="shared" si="780"/>
        <v>0</v>
      </c>
      <c r="W793" s="1554">
        <f t="shared" si="776"/>
        <v>0</v>
      </c>
      <c r="X793" s="1554">
        <f t="shared" si="781"/>
        <v>0</v>
      </c>
      <c r="Y793" s="1554">
        <f t="shared" si="781"/>
        <v>0</v>
      </c>
      <c r="Z793" s="1554">
        <f t="shared" si="781"/>
        <v>0</v>
      </c>
      <c r="AA793" s="1554">
        <f t="shared" si="781"/>
        <v>0</v>
      </c>
      <c r="AB793" s="1554">
        <f t="shared" si="777"/>
        <v>0</v>
      </c>
      <c r="AC793" s="1554">
        <f t="shared" si="777"/>
        <v>0</v>
      </c>
      <c r="AD793" s="1554">
        <f t="shared" si="777"/>
        <v>0</v>
      </c>
      <c r="AE793" s="1554">
        <f t="shared" si="777"/>
        <v>0</v>
      </c>
      <c r="AF793" s="1554">
        <f t="shared" si="777"/>
        <v>0</v>
      </c>
      <c r="AG793" s="1554">
        <f t="shared" si="777"/>
        <v>0</v>
      </c>
      <c r="AH793" s="1554">
        <f t="shared" si="782"/>
        <v>0</v>
      </c>
      <c r="AI793" s="1556">
        <f t="shared" si="778"/>
        <v>0</v>
      </c>
      <c r="AJ793" s="1556">
        <f t="shared" si="779"/>
        <v>0</v>
      </c>
      <c r="AL793" s="561"/>
      <c r="AM793" s="1526"/>
      <c r="AN793" s="1526"/>
      <c r="AO793" s="1526"/>
      <c r="AP793" s="1526"/>
      <c r="AQ793" s="1526"/>
      <c r="AR793" s="1526"/>
      <c r="AS793" s="1526"/>
      <c r="AT793" s="1526"/>
      <c r="AU793" s="1526"/>
      <c r="AV793" s="1526"/>
      <c r="AW793" s="1526"/>
      <c r="AX793" s="1526"/>
      <c r="AY793" s="1526"/>
      <c r="AZ793" s="1526"/>
      <c r="BA793" s="1526"/>
      <c r="BB793" s="1526"/>
      <c r="BC793" s="1526"/>
      <c r="BD793" s="1526"/>
      <c r="BE793" s="1526"/>
      <c r="BF793" s="1526"/>
      <c r="BG793" s="1526"/>
      <c r="BH793" s="1526"/>
    </row>
    <row r="794" spans="1:60" s="1525" customFormat="1">
      <c r="A794" s="1375">
        <v>2</v>
      </c>
      <c r="B794" s="1534" t="s">
        <v>2237</v>
      </c>
      <c r="C794" s="1365"/>
      <c r="D794" s="1365"/>
      <c r="E794" s="1365"/>
      <c r="F794" s="1365"/>
      <c r="G794" s="1553">
        <f t="shared" ref="G794" si="784">H794+I794+T794</f>
        <v>0</v>
      </c>
      <c r="H794" s="1365"/>
      <c r="I794" s="1553">
        <f>SUM(J794:S794)</f>
        <v>0</v>
      </c>
      <c r="J794" s="1365"/>
      <c r="K794" s="1365"/>
      <c r="L794" s="1365"/>
      <c r="M794" s="1365"/>
      <c r="N794" s="1365"/>
      <c r="O794" s="1365"/>
      <c r="P794" s="1365"/>
      <c r="Q794" s="1365"/>
      <c r="R794" s="1365"/>
      <c r="S794" s="1365"/>
      <c r="T794" s="1555">
        <f t="shared" si="774"/>
        <v>0</v>
      </c>
      <c r="U794" s="1554">
        <f t="shared" si="775"/>
        <v>0</v>
      </c>
      <c r="V794" s="1554">
        <f t="shared" si="780"/>
        <v>0</v>
      </c>
      <c r="W794" s="1554">
        <f t="shared" si="776"/>
        <v>0</v>
      </c>
      <c r="X794" s="1554">
        <f t="shared" si="781"/>
        <v>0</v>
      </c>
      <c r="Y794" s="1554">
        <f t="shared" si="781"/>
        <v>0</v>
      </c>
      <c r="Z794" s="1554">
        <f t="shared" si="781"/>
        <v>0</v>
      </c>
      <c r="AA794" s="1554">
        <f t="shared" si="781"/>
        <v>0</v>
      </c>
      <c r="AB794" s="1554">
        <f t="shared" si="777"/>
        <v>0</v>
      </c>
      <c r="AC794" s="1554">
        <f t="shared" si="777"/>
        <v>0</v>
      </c>
      <c r="AD794" s="1554">
        <f t="shared" si="777"/>
        <v>0</v>
      </c>
      <c r="AE794" s="1554">
        <f t="shared" si="777"/>
        <v>0</v>
      </c>
      <c r="AF794" s="1554">
        <f t="shared" si="777"/>
        <v>0</v>
      </c>
      <c r="AG794" s="1554">
        <f t="shared" si="777"/>
        <v>0</v>
      </c>
      <c r="AH794" s="1554">
        <f t="shared" si="782"/>
        <v>0</v>
      </c>
      <c r="AI794" s="1556">
        <f t="shared" si="778"/>
        <v>0</v>
      </c>
      <c r="AJ794" s="1556">
        <f t="shared" si="779"/>
        <v>0</v>
      </c>
      <c r="AL794" s="561"/>
      <c r="AM794" s="1526"/>
      <c r="AN794" s="1526"/>
      <c r="AO794" s="1526"/>
      <c r="AP794" s="1526"/>
      <c r="AQ794" s="1526"/>
      <c r="AR794" s="1526"/>
      <c r="AS794" s="1526"/>
      <c r="AT794" s="1526"/>
      <c r="AU794" s="1526"/>
      <c r="AV794" s="1526"/>
      <c r="AW794" s="1526"/>
      <c r="AX794" s="1526"/>
      <c r="AY794" s="1526"/>
      <c r="AZ794" s="1526"/>
      <c r="BA794" s="1526"/>
      <c r="BB794" s="1526"/>
      <c r="BC794" s="1526"/>
      <c r="BD794" s="1526"/>
      <c r="BE794" s="1526"/>
      <c r="BF794" s="1526"/>
      <c r="BG794" s="1526"/>
      <c r="BH794" s="1526"/>
    </row>
    <row r="795" spans="1:60" s="1525" customFormat="1">
      <c r="A795" s="1456"/>
      <c r="B795" s="1535" t="s">
        <v>2529</v>
      </c>
      <c r="C795" s="1365"/>
      <c r="D795" s="1365"/>
      <c r="E795" s="1365"/>
      <c r="F795" s="1365"/>
      <c r="G795" s="1555"/>
      <c r="H795" s="1365"/>
      <c r="I795" s="1555"/>
      <c r="J795" s="1365"/>
      <c r="K795" s="1365"/>
      <c r="L795" s="1365"/>
      <c r="M795" s="1365"/>
      <c r="N795" s="1365"/>
      <c r="O795" s="1365"/>
      <c r="P795" s="1365"/>
      <c r="Q795" s="1365"/>
      <c r="R795" s="1365"/>
      <c r="S795" s="1365"/>
      <c r="T795" s="1555">
        <f t="shared" si="774"/>
        <v>0</v>
      </c>
      <c r="U795" s="1554">
        <f t="shared" si="775"/>
        <v>0</v>
      </c>
      <c r="V795" s="1554">
        <f t="shared" si="780"/>
        <v>0</v>
      </c>
      <c r="W795" s="1554">
        <f t="shared" si="776"/>
        <v>0</v>
      </c>
      <c r="X795" s="1554">
        <f t="shared" si="781"/>
        <v>0</v>
      </c>
      <c r="Y795" s="1554">
        <f t="shared" si="781"/>
        <v>0</v>
      </c>
      <c r="Z795" s="1554">
        <f t="shared" si="781"/>
        <v>0</v>
      </c>
      <c r="AA795" s="1554">
        <f t="shared" si="781"/>
        <v>0</v>
      </c>
      <c r="AB795" s="1554">
        <f t="shared" si="777"/>
        <v>0</v>
      </c>
      <c r="AC795" s="1554" t="s">
        <v>2530</v>
      </c>
      <c r="AD795" s="1554">
        <f t="shared" si="777"/>
        <v>0</v>
      </c>
      <c r="AE795" s="1554">
        <f t="shared" si="777"/>
        <v>0</v>
      </c>
      <c r="AF795" s="1554">
        <f t="shared" si="777"/>
        <v>0</v>
      </c>
      <c r="AG795" s="1554">
        <f t="shared" si="777"/>
        <v>0</v>
      </c>
      <c r="AH795" s="1554">
        <f t="shared" si="782"/>
        <v>0</v>
      </c>
      <c r="AI795" s="1556">
        <f t="shared" si="778"/>
        <v>0</v>
      </c>
      <c r="AJ795" s="1556">
        <f t="shared" si="779"/>
        <v>0</v>
      </c>
      <c r="AL795" s="561"/>
      <c r="AM795" s="1526"/>
      <c r="AN795" s="1526"/>
      <c r="AO795" s="1526"/>
      <c r="AP795" s="1526"/>
      <c r="AQ795" s="1526"/>
      <c r="AR795" s="1526"/>
      <c r="AS795" s="1526"/>
      <c r="AT795" s="1526"/>
      <c r="AU795" s="1526"/>
      <c r="AV795" s="1526"/>
      <c r="AW795" s="1526"/>
      <c r="AX795" s="1526"/>
      <c r="AY795" s="1526"/>
      <c r="AZ795" s="1526"/>
      <c r="BA795" s="1526"/>
      <c r="BB795" s="1526"/>
      <c r="BC795" s="1526"/>
      <c r="BD795" s="1526"/>
      <c r="BE795" s="1526"/>
      <c r="BF795" s="1526"/>
      <c r="BG795" s="1526"/>
      <c r="BH795" s="1526"/>
    </row>
    <row r="796" spans="1:60" s="1525" customFormat="1">
      <c r="A796" s="1375">
        <v>3</v>
      </c>
      <c r="B796" s="1534" t="s">
        <v>2531</v>
      </c>
      <c r="C796" s="1365"/>
      <c r="D796" s="1365"/>
      <c r="E796" s="1365"/>
      <c r="F796" s="1365"/>
      <c r="G796" s="1553">
        <f t="shared" ref="G796:G802" si="785">H796+I796+T796</f>
        <v>0</v>
      </c>
      <c r="H796" s="1365"/>
      <c r="I796" s="1553">
        <f t="shared" ref="I796:I802" si="786">SUM(J796:S796)</f>
        <v>0</v>
      </c>
      <c r="J796" s="1365"/>
      <c r="K796" s="1365"/>
      <c r="L796" s="1365"/>
      <c r="M796" s="1365"/>
      <c r="N796" s="1365"/>
      <c r="O796" s="1365"/>
      <c r="P796" s="1365"/>
      <c r="Q796" s="1365"/>
      <c r="R796" s="1365"/>
      <c r="S796" s="1365"/>
      <c r="T796" s="1555">
        <f t="shared" si="774"/>
        <v>0</v>
      </c>
      <c r="U796" s="1554">
        <f t="shared" si="775"/>
        <v>0</v>
      </c>
      <c r="V796" s="1554">
        <f t="shared" si="780"/>
        <v>0</v>
      </c>
      <c r="W796" s="1554">
        <f t="shared" si="776"/>
        <v>0</v>
      </c>
      <c r="X796" s="1554">
        <f t="shared" si="781"/>
        <v>0</v>
      </c>
      <c r="Y796" s="1554">
        <f t="shared" si="781"/>
        <v>0</v>
      </c>
      <c r="Z796" s="1554">
        <f t="shared" si="781"/>
        <v>0</v>
      </c>
      <c r="AA796" s="1554">
        <f t="shared" si="781"/>
        <v>0</v>
      </c>
      <c r="AB796" s="1554">
        <f t="shared" si="777"/>
        <v>0</v>
      </c>
      <c r="AC796" s="1554">
        <f t="shared" si="777"/>
        <v>0</v>
      </c>
      <c r="AD796" s="1554">
        <f t="shared" si="777"/>
        <v>0</v>
      </c>
      <c r="AE796" s="1554">
        <f t="shared" si="777"/>
        <v>0</v>
      </c>
      <c r="AF796" s="1554">
        <f t="shared" si="777"/>
        <v>0</v>
      </c>
      <c r="AG796" s="1554">
        <f t="shared" si="777"/>
        <v>0</v>
      </c>
      <c r="AH796" s="1554">
        <f t="shared" si="782"/>
        <v>0</v>
      </c>
      <c r="AI796" s="1556">
        <f t="shared" si="778"/>
        <v>0</v>
      </c>
      <c r="AJ796" s="1556">
        <f t="shared" si="779"/>
        <v>0</v>
      </c>
      <c r="AL796" s="561"/>
      <c r="AM796" s="1526"/>
      <c r="AN796" s="1526"/>
      <c r="AO796" s="1526"/>
      <c r="AP796" s="1526"/>
      <c r="AQ796" s="1526"/>
      <c r="AR796" s="1526"/>
      <c r="AS796" s="1526"/>
      <c r="AT796" s="1526"/>
      <c r="AU796" s="1526"/>
      <c r="AV796" s="1526"/>
      <c r="AW796" s="1526"/>
      <c r="AX796" s="1526"/>
      <c r="AY796" s="1526"/>
      <c r="AZ796" s="1526"/>
      <c r="BA796" s="1526"/>
      <c r="BB796" s="1526"/>
      <c r="BC796" s="1526"/>
      <c r="BD796" s="1526"/>
      <c r="BE796" s="1526"/>
      <c r="BF796" s="1526"/>
      <c r="BG796" s="1526"/>
      <c r="BH796" s="1526"/>
    </row>
    <row r="797" spans="1:60" s="1525" customFormat="1">
      <c r="A797" s="1375">
        <v>4</v>
      </c>
      <c r="B797" s="1534" t="s">
        <v>2532</v>
      </c>
      <c r="C797" s="1365"/>
      <c r="D797" s="1365"/>
      <c r="E797" s="1365"/>
      <c r="F797" s="1365"/>
      <c r="G797" s="1553">
        <f t="shared" si="785"/>
        <v>0</v>
      </c>
      <c r="H797" s="1365"/>
      <c r="I797" s="1553">
        <f t="shared" si="786"/>
        <v>0</v>
      </c>
      <c r="J797" s="1365"/>
      <c r="K797" s="1365"/>
      <c r="L797" s="1365"/>
      <c r="M797" s="1365"/>
      <c r="N797" s="1365"/>
      <c r="O797" s="1365"/>
      <c r="P797" s="1365"/>
      <c r="Q797" s="1365"/>
      <c r="R797" s="1365"/>
      <c r="S797" s="1365"/>
      <c r="T797" s="1555">
        <f t="shared" si="774"/>
        <v>0</v>
      </c>
      <c r="U797" s="1554">
        <f t="shared" si="775"/>
        <v>0</v>
      </c>
      <c r="V797" s="1554">
        <f t="shared" si="780"/>
        <v>0</v>
      </c>
      <c r="W797" s="1554">
        <f t="shared" si="776"/>
        <v>0</v>
      </c>
      <c r="X797" s="1554">
        <f t="shared" si="781"/>
        <v>0</v>
      </c>
      <c r="Y797" s="1554">
        <f t="shared" si="781"/>
        <v>0</v>
      </c>
      <c r="Z797" s="1554">
        <f t="shared" si="781"/>
        <v>0</v>
      </c>
      <c r="AA797" s="1554">
        <f t="shared" si="781"/>
        <v>0</v>
      </c>
      <c r="AB797" s="1554">
        <f t="shared" si="777"/>
        <v>0</v>
      </c>
      <c r="AC797" s="1554">
        <f t="shared" si="777"/>
        <v>0</v>
      </c>
      <c r="AD797" s="1554">
        <f t="shared" si="777"/>
        <v>0</v>
      </c>
      <c r="AE797" s="1554">
        <f t="shared" si="777"/>
        <v>0</v>
      </c>
      <c r="AF797" s="1554">
        <f t="shared" si="777"/>
        <v>0</v>
      </c>
      <c r="AG797" s="1554">
        <f t="shared" si="777"/>
        <v>0</v>
      </c>
      <c r="AH797" s="1554">
        <f t="shared" si="782"/>
        <v>0</v>
      </c>
      <c r="AI797" s="1556">
        <f t="shared" si="778"/>
        <v>0</v>
      </c>
      <c r="AJ797" s="1556">
        <f t="shared" si="779"/>
        <v>0</v>
      </c>
      <c r="AL797" s="561"/>
      <c r="AM797" s="1526"/>
      <c r="AN797" s="1526"/>
      <c r="AO797" s="1526"/>
      <c r="AP797" s="1526"/>
      <c r="AQ797" s="1526"/>
      <c r="AR797" s="1526"/>
      <c r="AS797" s="1526"/>
      <c r="AT797" s="1526"/>
      <c r="AU797" s="1526"/>
      <c r="AV797" s="1526"/>
      <c r="AW797" s="1526"/>
      <c r="AX797" s="1526"/>
      <c r="AY797" s="1526"/>
      <c r="AZ797" s="1526"/>
      <c r="BA797" s="1526"/>
      <c r="BB797" s="1526"/>
      <c r="BC797" s="1526"/>
      <c r="BD797" s="1526"/>
      <c r="BE797" s="1526"/>
      <c r="BF797" s="1526"/>
      <c r="BG797" s="1526"/>
      <c r="BH797" s="1526"/>
    </row>
    <row r="798" spans="1:60" s="1525" customFormat="1">
      <c r="A798" s="1375">
        <v>5</v>
      </c>
      <c r="B798" s="1534" t="s">
        <v>2533</v>
      </c>
      <c r="C798" s="1365"/>
      <c r="D798" s="1365"/>
      <c r="E798" s="1365"/>
      <c r="F798" s="1365"/>
      <c r="G798" s="1553">
        <f t="shared" si="785"/>
        <v>0</v>
      </c>
      <c r="H798" s="1365"/>
      <c r="I798" s="1553">
        <f t="shared" si="786"/>
        <v>0</v>
      </c>
      <c r="J798" s="1365"/>
      <c r="K798" s="1365"/>
      <c r="L798" s="1365"/>
      <c r="M798" s="1365"/>
      <c r="N798" s="1365"/>
      <c r="O798" s="1365"/>
      <c r="P798" s="1365"/>
      <c r="Q798" s="1365"/>
      <c r="R798" s="1365"/>
      <c r="S798" s="1365"/>
      <c r="T798" s="1555">
        <f t="shared" si="774"/>
        <v>0</v>
      </c>
      <c r="U798" s="1554">
        <f t="shared" si="775"/>
        <v>0</v>
      </c>
      <c r="V798" s="1554">
        <f t="shared" si="780"/>
        <v>0</v>
      </c>
      <c r="W798" s="1554">
        <f t="shared" si="776"/>
        <v>0</v>
      </c>
      <c r="X798" s="1554">
        <f t="shared" si="781"/>
        <v>0</v>
      </c>
      <c r="Y798" s="1554">
        <f t="shared" si="781"/>
        <v>0</v>
      </c>
      <c r="Z798" s="1554">
        <f t="shared" si="781"/>
        <v>0</v>
      </c>
      <c r="AA798" s="1554">
        <f t="shared" si="781"/>
        <v>0</v>
      </c>
      <c r="AB798" s="1554">
        <f t="shared" si="777"/>
        <v>0</v>
      </c>
      <c r="AC798" s="1554">
        <f t="shared" si="777"/>
        <v>0</v>
      </c>
      <c r="AD798" s="1554">
        <f t="shared" si="777"/>
        <v>0</v>
      </c>
      <c r="AE798" s="1554">
        <f t="shared" si="777"/>
        <v>0</v>
      </c>
      <c r="AF798" s="1554">
        <f t="shared" si="777"/>
        <v>0</v>
      </c>
      <c r="AG798" s="1554">
        <f t="shared" si="777"/>
        <v>0</v>
      </c>
      <c r="AH798" s="1554">
        <f t="shared" si="782"/>
        <v>0</v>
      </c>
      <c r="AI798" s="1556">
        <f t="shared" si="778"/>
        <v>0</v>
      </c>
      <c r="AJ798" s="1556">
        <f t="shared" si="779"/>
        <v>0</v>
      </c>
      <c r="AL798" s="561"/>
      <c r="AM798" s="1526"/>
      <c r="AN798" s="1526"/>
      <c r="AO798" s="1526"/>
      <c r="AP798" s="1526"/>
      <c r="AQ798" s="1526"/>
      <c r="AR798" s="1526"/>
      <c r="AS798" s="1526"/>
      <c r="AT798" s="1526"/>
      <c r="AU798" s="1526"/>
      <c r="AV798" s="1526"/>
      <c r="AW798" s="1526"/>
      <c r="AX798" s="1526"/>
      <c r="AY798" s="1526"/>
      <c r="AZ798" s="1526"/>
      <c r="BA798" s="1526"/>
      <c r="BB798" s="1526"/>
      <c r="BC798" s="1526"/>
      <c r="BD798" s="1526"/>
      <c r="BE798" s="1526"/>
      <c r="BF798" s="1526"/>
      <c r="BG798" s="1526"/>
      <c r="BH798" s="1526"/>
    </row>
    <row r="799" spans="1:60" s="1525" customFormat="1">
      <c r="A799" s="1375">
        <v>6</v>
      </c>
      <c r="B799" s="1534" t="s">
        <v>2534</v>
      </c>
      <c r="C799" s="1365"/>
      <c r="D799" s="1365"/>
      <c r="E799" s="1365"/>
      <c r="F799" s="1365"/>
      <c r="G799" s="1553">
        <f t="shared" si="785"/>
        <v>0</v>
      </c>
      <c r="H799" s="1365"/>
      <c r="I799" s="1553">
        <f t="shared" si="786"/>
        <v>0</v>
      </c>
      <c r="J799" s="1365"/>
      <c r="K799" s="1365"/>
      <c r="L799" s="1365"/>
      <c r="M799" s="1365"/>
      <c r="N799" s="1365"/>
      <c r="O799" s="1365"/>
      <c r="P799" s="1365"/>
      <c r="Q799" s="1365"/>
      <c r="R799" s="1365"/>
      <c r="S799" s="1365"/>
      <c r="T799" s="1555">
        <f t="shared" si="774"/>
        <v>0</v>
      </c>
      <c r="U799" s="1554">
        <f t="shared" si="775"/>
        <v>0</v>
      </c>
      <c r="V799" s="1554">
        <f t="shared" si="780"/>
        <v>0</v>
      </c>
      <c r="W799" s="1554">
        <f t="shared" si="776"/>
        <v>0</v>
      </c>
      <c r="X799" s="1554">
        <f t="shared" si="781"/>
        <v>0</v>
      </c>
      <c r="Y799" s="1554">
        <f t="shared" si="781"/>
        <v>0</v>
      </c>
      <c r="Z799" s="1554">
        <f t="shared" si="781"/>
        <v>0</v>
      </c>
      <c r="AA799" s="1554">
        <f t="shared" si="781"/>
        <v>0</v>
      </c>
      <c r="AB799" s="1554">
        <f t="shared" si="777"/>
        <v>0</v>
      </c>
      <c r="AC799" s="1554">
        <f t="shared" si="777"/>
        <v>0</v>
      </c>
      <c r="AD799" s="1554">
        <f t="shared" si="777"/>
        <v>0</v>
      </c>
      <c r="AE799" s="1554">
        <f t="shared" si="777"/>
        <v>0</v>
      </c>
      <c r="AF799" s="1554">
        <f t="shared" si="777"/>
        <v>0</v>
      </c>
      <c r="AG799" s="1554">
        <f t="shared" si="777"/>
        <v>0</v>
      </c>
      <c r="AH799" s="1554">
        <f t="shared" si="782"/>
        <v>0</v>
      </c>
      <c r="AI799" s="1556">
        <f t="shared" si="778"/>
        <v>0</v>
      </c>
      <c r="AJ799" s="1556">
        <f t="shared" si="779"/>
        <v>0</v>
      </c>
      <c r="AL799" s="561"/>
      <c r="AM799" s="1526"/>
      <c r="AN799" s="1526"/>
      <c r="AO799" s="1526"/>
      <c r="AP799" s="1526"/>
      <c r="AQ799" s="1526"/>
      <c r="AR799" s="1526"/>
      <c r="AS799" s="1526"/>
      <c r="AT799" s="1526"/>
      <c r="AU799" s="1526"/>
      <c r="AV799" s="1526"/>
      <c r="AW799" s="1526"/>
      <c r="AX799" s="1526"/>
      <c r="AY799" s="1526"/>
      <c r="AZ799" s="1526"/>
      <c r="BA799" s="1526"/>
      <c r="BB799" s="1526"/>
      <c r="BC799" s="1526"/>
      <c r="BD799" s="1526"/>
      <c r="BE799" s="1526"/>
      <c r="BF799" s="1526"/>
      <c r="BG799" s="1526"/>
      <c r="BH799" s="1526"/>
    </row>
    <row r="800" spans="1:60" s="1525" customFormat="1">
      <c r="A800" s="1375">
        <v>7</v>
      </c>
      <c r="B800" s="1534" t="s">
        <v>2535</v>
      </c>
      <c r="C800" s="1365"/>
      <c r="D800" s="1365"/>
      <c r="E800" s="1365"/>
      <c r="F800" s="1365"/>
      <c r="G800" s="1553">
        <f t="shared" si="785"/>
        <v>0</v>
      </c>
      <c r="H800" s="1365"/>
      <c r="I800" s="1553">
        <f t="shared" si="786"/>
        <v>0</v>
      </c>
      <c r="J800" s="1365"/>
      <c r="K800" s="1365"/>
      <c r="L800" s="1365"/>
      <c r="M800" s="1365"/>
      <c r="N800" s="1365"/>
      <c r="O800" s="1365"/>
      <c r="P800" s="1365"/>
      <c r="Q800" s="1365"/>
      <c r="R800" s="1365"/>
      <c r="S800" s="1365"/>
      <c r="T800" s="1555">
        <f t="shared" si="774"/>
        <v>0</v>
      </c>
      <c r="U800" s="1554">
        <f t="shared" si="775"/>
        <v>0</v>
      </c>
      <c r="V800" s="1554">
        <f t="shared" si="780"/>
        <v>0</v>
      </c>
      <c r="W800" s="1554">
        <f t="shared" si="776"/>
        <v>0</v>
      </c>
      <c r="X800" s="1554">
        <f t="shared" si="781"/>
        <v>0</v>
      </c>
      <c r="Y800" s="1554">
        <f t="shared" si="781"/>
        <v>0</v>
      </c>
      <c r="Z800" s="1554">
        <f t="shared" si="781"/>
        <v>0</v>
      </c>
      <c r="AA800" s="1554">
        <f t="shared" si="781"/>
        <v>0</v>
      </c>
      <c r="AB800" s="1554">
        <f t="shared" si="777"/>
        <v>0</v>
      </c>
      <c r="AC800" s="1554">
        <f t="shared" si="777"/>
        <v>0</v>
      </c>
      <c r="AD800" s="1554">
        <f t="shared" si="777"/>
        <v>0</v>
      </c>
      <c r="AE800" s="1554">
        <f t="shared" si="777"/>
        <v>0</v>
      </c>
      <c r="AF800" s="1554">
        <f t="shared" si="777"/>
        <v>0</v>
      </c>
      <c r="AG800" s="1554">
        <f t="shared" si="777"/>
        <v>0</v>
      </c>
      <c r="AH800" s="1554">
        <f t="shared" si="782"/>
        <v>0</v>
      </c>
      <c r="AI800" s="1556">
        <f t="shared" si="778"/>
        <v>0</v>
      </c>
      <c r="AJ800" s="1556">
        <f t="shared" si="779"/>
        <v>0</v>
      </c>
      <c r="AL800" s="561"/>
      <c r="AM800" s="1526"/>
      <c r="AN800" s="1526"/>
      <c r="AO800" s="1526"/>
      <c r="AP800" s="1526"/>
      <c r="AQ800" s="1526"/>
      <c r="AR800" s="1526"/>
      <c r="AS800" s="1526"/>
      <c r="AT800" s="1526"/>
      <c r="AU800" s="1526"/>
      <c r="AV800" s="1526"/>
      <c r="AW800" s="1526"/>
      <c r="AX800" s="1526"/>
      <c r="AY800" s="1526"/>
      <c r="AZ800" s="1526"/>
      <c r="BA800" s="1526"/>
      <c r="BB800" s="1526"/>
      <c r="BC800" s="1526"/>
      <c r="BD800" s="1526"/>
      <c r="BE800" s="1526"/>
      <c r="BF800" s="1526"/>
      <c r="BG800" s="1526"/>
      <c r="BH800" s="1526"/>
    </row>
    <row r="801" spans="1:60" s="1525" customFormat="1">
      <c r="A801" s="1375">
        <v>8</v>
      </c>
      <c r="B801" s="1536" t="s">
        <v>2536</v>
      </c>
      <c r="C801" s="1365"/>
      <c r="D801" s="1365"/>
      <c r="E801" s="1365"/>
      <c r="F801" s="1365"/>
      <c r="G801" s="1553">
        <f t="shared" si="785"/>
        <v>0</v>
      </c>
      <c r="H801" s="1365"/>
      <c r="I801" s="1553">
        <f t="shared" si="786"/>
        <v>0</v>
      </c>
      <c r="J801" s="1365"/>
      <c r="K801" s="1365"/>
      <c r="L801" s="1365"/>
      <c r="M801" s="1365"/>
      <c r="N801" s="1365"/>
      <c r="O801" s="1365"/>
      <c r="P801" s="1365"/>
      <c r="Q801" s="1365"/>
      <c r="R801" s="1365"/>
      <c r="S801" s="1365"/>
      <c r="T801" s="1555">
        <f t="shared" si="774"/>
        <v>0</v>
      </c>
      <c r="U801" s="1554">
        <f t="shared" si="775"/>
        <v>0</v>
      </c>
      <c r="V801" s="1554">
        <f t="shared" si="780"/>
        <v>0</v>
      </c>
      <c r="W801" s="1554">
        <f t="shared" si="776"/>
        <v>0</v>
      </c>
      <c r="X801" s="1554">
        <f t="shared" si="781"/>
        <v>0</v>
      </c>
      <c r="Y801" s="1554">
        <f t="shared" si="781"/>
        <v>0</v>
      </c>
      <c r="Z801" s="1554">
        <f t="shared" si="781"/>
        <v>0</v>
      </c>
      <c r="AA801" s="1554">
        <f t="shared" si="781"/>
        <v>0</v>
      </c>
      <c r="AB801" s="1554">
        <f t="shared" si="777"/>
        <v>0</v>
      </c>
      <c r="AC801" s="1554">
        <f t="shared" si="777"/>
        <v>0</v>
      </c>
      <c r="AD801" s="1554">
        <f t="shared" si="777"/>
        <v>0</v>
      </c>
      <c r="AE801" s="1554">
        <f t="shared" si="777"/>
        <v>0</v>
      </c>
      <c r="AF801" s="1554">
        <f t="shared" si="777"/>
        <v>0</v>
      </c>
      <c r="AG801" s="1554">
        <f t="shared" si="777"/>
        <v>0</v>
      </c>
      <c r="AH801" s="1554">
        <f t="shared" si="782"/>
        <v>0</v>
      </c>
      <c r="AI801" s="1556">
        <f t="shared" si="778"/>
        <v>0</v>
      </c>
      <c r="AJ801" s="1556">
        <f t="shared" si="779"/>
        <v>0</v>
      </c>
      <c r="AL801" s="561"/>
      <c r="AM801" s="1526"/>
      <c r="AN801" s="1526"/>
      <c r="AO801" s="1526"/>
      <c r="AP801" s="1526"/>
      <c r="AQ801" s="1526"/>
      <c r="AR801" s="1526"/>
      <c r="AS801" s="1526"/>
      <c r="AT801" s="1526"/>
      <c r="AU801" s="1526"/>
      <c r="AV801" s="1526"/>
      <c r="AW801" s="1526"/>
      <c r="AX801" s="1526"/>
      <c r="AY801" s="1526"/>
      <c r="AZ801" s="1526"/>
      <c r="BA801" s="1526"/>
      <c r="BB801" s="1526"/>
      <c r="BC801" s="1526"/>
      <c r="BD801" s="1526"/>
      <c r="BE801" s="1526"/>
      <c r="BF801" s="1526"/>
      <c r="BG801" s="1526"/>
      <c r="BH801" s="1526"/>
    </row>
    <row r="802" spans="1:60" s="1525" customFormat="1">
      <c r="A802" s="1375">
        <v>9</v>
      </c>
      <c r="B802" s="1536" t="s">
        <v>2537</v>
      </c>
      <c r="C802" s="1365"/>
      <c r="D802" s="1365"/>
      <c r="E802" s="1365"/>
      <c r="F802" s="1365"/>
      <c r="G802" s="1553">
        <f t="shared" si="785"/>
        <v>0</v>
      </c>
      <c r="H802" s="1365"/>
      <c r="I802" s="1553">
        <f t="shared" si="786"/>
        <v>0</v>
      </c>
      <c r="J802" s="1365"/>
      <c r="K802" s="1365"/>
      <c r="L802" s="1365"/>
      <c r="M802" s="1365"/>
      <c r="N802" s="1365"/>
      <c r="O802" s="1365"/>
      <c r="P802" s="1365"/>
      <c r="Q802" s="1365"/>
      <c r="R802" s="1365"/>
      <c r="S802" s="1365"/>
      <c r="T802" s="1555">
        <f t="shared" si="774"/>
        <v>0</v>
      </c>
      <c r="U802" s="1554">
        <f t="shared" si="775"/>
        <v>0</v>
      </c>
      <c r="V802" s="1554">
        <f t="shared" si="780"/>
        <v>0</v>
      </c>
      <c r="W802" s="1554">
        <f t="shared" si="776"/>
        <v>0</v>
      </c>
      <c r="X802" s="1554">
        <f t="shared" si="781"/>
        <v>0</v>
      </c>
      <c r="Y802" s="1554">
        <f t="shared" si="781"/>
        <v>0</v>
      </c>
      <c r="Z802" s="1554">
        <f t="shared" si="781"/>
        <v>0</v>
      </c>
      <c r="AA802" s="1554">
        <f t="shared" si="781"/>
        <v>0</v>
      </c>
      <c r="AB802" s="1554">
        <f t="shared" si="777"/>
        <v>0</v>
      </c>
      <c r="AC802" s="1554">
        <f t="shared" si="777"/>
        <v>0</v>
      </c>
      <c r="AD802" s="1554">
        <f t="shared" si="777"/>
        <v>0</v>
      </c>
      <c r="AE802" s="1554">
        <f t="shared" si="777"/>
        <v>0</v>
      </c>
      <c r="AF802" s="1554">
        <f t="shared" si="777"/>
        <v>0</v>
      </c>
      <c r="AG802" s="1554">
        <f t="shared" si="777"/>
        <v>0</v>
      </c>
      <c r="AH802" s="1554">
        <f t="shared" si="782"/>
        <v>0</v>
      </c>
      <c r="AI802" s="1556">
        <f t="shared" si="778"/>
        <v>0</v>
      </c>
      <c r="AJ802" s="1556">
        <f t="shared" si="779"/>
        <v>0</v>
      </c>
      <c r="AL802" s="561"/>
      <c r="AM802" s="1526"/>
      <c r="AN802" s="1526"/>
      <c r="AO802" s="1526"/>
      <c r="AP802" s="1526"/>
      <c r="AQ802" s="1526"/>
      <c r="AR802" s="1526"/>
      <c r="AS802" s="1526"/>
      <c r="AT802" s="1526"/>
      <c r="AU802" s="1526"/>
      <c r="AV802" s="1526"/>
      <c r="AW802" s="1526"/>
      <c r="AX802" s="1526"/>
      <c r="AY802" s="1526"/>
      <c r="AZ802" s="1526"/>
      <c r="BA802" s="1526"/>
      <c r="BB802" s="1526"/>
      <c r="BC802" s="1526"/>
      <c r="BD802" s="1526"/>
      <c r="BE802" s="1526"/>
      <c r="BF802" s="1526"/>
      <c r="BG802" s="1526"/>
      <c r="BH802" s="1526"/>
    </row>
    <row r="803" spans="1:60" s="1525" customFormat="1">
      <c r="A803" s="1375">
        <v>10</v>
      </c>
      <c r="B803" s="1534" t="s">
        <v>2492</v>
      </c>
      <c r="C803" s="1555">
        <f>SUM(C804:C806)</f>
        <v>0</v>
      </c>
      <c r="D803" s="1555"/>
      <c r="E803" s="1555"/>
      <c r="F803" s="1555">
        <f t="shared" ref="F803:S803" si="787">SUM(F804:F806)</f>
        <v>0</v>
      </c>
      <c r="G803" s="1555">
        <f t="shared" si="787"/>
        <v>0</v>
      </c>
      <c r="H803" s="1555">
        <f t="shared" si="787"/>
        <v>0</v>
      </c>
      <c r="I803" s="1555">
        <f t="shared" si="787"/>
        <v>0</v>
      </c>
      <c r="J803" s="1555">
        <f t="shared" si="787"/>
        <v>0</v>
      </c>
      <c r="K803" s="1555">
        <f t="shared" si="787"/>
        <v>0</v>
      </c>
      <c r="L803" s="1555">
        <f t="shared" si="787"/>
        <v>0</v>
      </c>
      <c r="M803" s="1555">
        <f t="shared" si="787"/>
        <v>0</v>
      </c>
      <c r="N803" s="1555">
        <f t="shared" si="787"/>
        <v>0</v>
      </c>
      <c r="O803" s="1555">
        <f t="shared" si="787"/>
        <v>0</v>
      </c>
      <c r="P803" s="1555">
        <f t="shared" si="787"/>
        <v>0</v>
      </c>
      <c r="Q803" s="1555">
        <f t="shared" si="787"/>
        <v>0</v>
      </c>
      <c r="R803" s="1555">
        <f t="shared" si="787"/>
        <v>0</v>
      </c>
      <c r="S803" s="1555">
        <f t="shared" si="787"/>
        <v>0</v>
      </c>
      <c r="T803" s="1555">
        <f>SUM(T804:T806)</f>
        <v>0</v>
      </c>
      <c r="U803" s="1556">
        <f t="shared" ref="U803" si="788">SUM(U804:U806)</f>
        <v>0</v>
      </c>
      <c r="V803" s="1554">
        <f t="shared" si="780"/>
        <v>0</v>
      </c>
      <c r="W803" s="1554">
        <f t="shared" si="776"/>
        <v>0</v>
      </c>
      <c r="X803" s="1554">
        <f t="shared" si="781"/>
        <v>0</v>
      </c>
      <c r="Y803" s="1554">
        <f t="shared" si="781"/>
        <v>0</v>
      </c>
      <c r="Z803" s="1554">
        <f t="shared" si="781"/>
        <v>0</v>
      </c>
      <c r="AA803" s="1554">
        <f t="shared" si="781"/>
        <v>0</v>
      </c>
      <c r="AB803" s="1554">
        <f t="shared" si="777"/>
        <v>0</v>
      </c>
      <c r="AC803" s="1554">
        <f t="shared" si="777"/>
        <v>0</v>
      </c>
      <c r="AD803" s="1554">
        <f t="shared" si="777"/>
        <v>0</v>
      </c>
      <c r="AE803" s="1554">
        <f t="shared" si="777"/>
        <v>0</v>
      </c>
      <c r="AF803" s="1554">
        <f t="shared" si="777"/>
        <v>0</v>
      </c>
      <c r="AG803" s="1554">
        <f t="shared" si="777"/>
        <v>0</v>
      </c>
      <c r="AH803" s="1556">
        <f t="shared" ref="AH803:AJ803" si="789">SUM(AH804:AH806)</f>
        <v>0</v>
      </c>
      <c r="AI803" s="1556">
        <f t="shared" si="789"/>
        <v>0</v>
      </c>
      <c r="AJ803" s="1556">
        <f t="shared" si="789"/>
        <v>0</v>
      </c>
      <c r="AL803" s="561"/>
      <c r="AM803" s="1526"/>
      <c r="AN803" s="1526"/>
      <c r="AO803" s="1526"/>
      <c r="AP803" s="1526"/>
      <c r="AQ803" s="1526"/>
      <c r="AR803" s="1526"/>
      <c r="AS803" s="1526"/>
      <c r="AT803" s="1526"/>
      <c r="AU803" s="1526"/>
      <c r="AV803" s="1526"/>
      <c r="AW803" s="1526"/>
      <c r="AX803" s="1526"/>
      <c r="AY803" s="1526"/>
      <c r="AZ803" s="1526"/>
      <c r="BA803" s="1526"/>
      <c r="BB803" s="1526"/>
      <c r="BC803" s="1526"/>
      <c r="BD803" s="1526"/>
      <c r="BE803" s="1526"/>
      <c r="BF803" s="1526"/>
      <c r="BG803" s="1526"/>
      <c r="BH803" s="1526"/>
    </row>
    <row r="804" spans="1:60" s="1525" customFormat="1">
      <c r="A804" s="1499"/>
      <c r="B804" s="1535" t="s">
        <v>2538</v>
      </c>
      <c r="C804" s="1368"/>
      <c r="D804" s="1368"/>
      <c r="E804" s="1368"/>
      <c r="F804" s="1368"/>
      <c r="G804" s="1557">
        <f t="shared" ref="G804:G807" si="790">H804+I804+T804</f>
        <v>0</v>
      </c>
      <c r="H804" s="1368"/>
      <c r="I804" s="1557">
        <f t="shared" ref="I804:I806" si="791">SUM(J804:S804)</f>
        <v>0</v>
      </c>
      <c r="J804" s="1368"/>
      <c r="K804" s="1368"/>
      <c r="L804" s="1368"/>
      <c r="M804" s="1368"/>
      <c r="N804" s="1368"/>
      <c r="O804" s="1368"/>
      <c r="P804" s="1368"/>
      <c r="Q804" s="1368"/>
      <c r="R804" s="1368"/>
      <c r="S804" s="1368"/>
      <c r="T804" s="1558">
        <f>(H804+K804+L804+R804)*22.5%</f>
        <v>0</v>
      </c>
      <c r="U804" s="1559">
        <f t="shared" ref="U804:U807" si="792">V804+W804+AH804</f>
        <v>0</v>
      </c>
      <c r="V804" s="1554">
        <f t="shared" si="780"/>
        <v>0</v>
      </c>
      <c r="W804" s="1554">
        <f t="shared" si="776"/>
        <v>0</v>
      </c>
      <c r="X804" s="1554">
        <f t="shared" si="781"/>
        <v>0</v>
      </c>
      <c r="Y804" s="1554">
        <f t="shared" si="781"/>
        <v>0</v>
      </c>
      <c r="Z804" s="1554">
        <f t="shared" si="781"/>
        <v>0</v>
      </c>
      <c r="AA804" s="1554">
        <f t="shared" si="781"/>
        <v>0</v>
      </c>
      <c r="AB804" s="1554">
        <f t="shared" si="777"/>
        <v>0</v>
      </c>
      <c r="AC804" s="1554">
        <f t="shared" si="777"/>
        <v>0</v>
      </c>
      <c r="AD804" s="1554">
        <f t="shared" si="777"/>
        <v>0</v>
      </c>
      <c r="AE804" s="1554">
        <f t="shared" si="777"/>
        <v>0</v>
      </c>
      <c r="AF804" s="1554">
        <f t="shared" si="777"/>
        <v>0</v>
      </c>
      <c r="AG804" s="1554">
        <f t="shared" si="777"/>
        <v>0</v>
      </c>
      <c r="AH804" s="1560">
        <f>(V804+Y804+Z804+AF804)*22.5%</f>
        <v>0</v>
      </c>
      <c r="AI804" s="1561">
        <f t="shared" ref="AI804:AI806" si="793">U804-G804</f>
        <v>0</v>
      </c>
      <c r="AJ804" s="1561">
        <f t="shared" ref="AJ804:AJ806" si="794">AI804*6</f>
        <v>0</v>
      </c>
      <c r="AL804" s="561"/>
      <c r="AM804" s="1526"/>
      <c r="AN804" s="1526"/>
      <c r="AO804" s="1526"/>
      <c r="AP804" s="1526"/>
      <c r="AQ804" s="1526"/>
      <c r="AR804" s="1526"/>
      <c r="AS804" s="1526"/>
      <c r="AT804" s="1526"/>
      <c r="AU804" s="1526"/>
      <c r="AV804" s="1526"/>
      <c r="AW804" s="1526"/>
      <c r="AX804" s="1526"/>
      <c r="AY804" s="1526"/>
      <c r="AZ804" s="1526"/>
      <c r="BA804" s="1526"/>
      <c r="BB804" s="1526"/>
      <c r="BC804" s="1526"/>
      <c r="BD804" s="1526"/>
      <c r="BE804" s="1526"/>
      <c r="BF804" s="1526"/>
      <c r="BG804" s="1526"/>
      <c r="BH804" s="1526"/>
    </row>
    <row r="805" spans="1:60" s="1525" customFormat="1">
      <c r="A805" s="1499"/>
      <c r="B805" s="1535" t="s">
        <v>2539</v>
      </c>
      <c r="C805" s="1368"/>
      <c r="D805" s="1368"/>
      <c r="E805" s="1368"/>
      <c r="F805" s="1368"/>
      <c r="G805" s="1557">
        <f t="shared" si="790"/>
        <v>0</v>
      </c>
      <c r="H805" s="1368"/>
      <c r="I805" s="1557">
        <f t="shared" si="791"/>
        <v>0</v>
      </c>
      <c r="J805" s="1368"/>
      <c r="K805" s="1368"/>
      <c r="L805" s="1368"/>
      <c r="M805" s="1368"/>
      <c r="N805" s="1368"/>
      <c r="O805" s="1368"/>
      <c r="P805" s="1368"/>
      <c r="Q805" s="1368"/>
      <c r="R805" s="1368"/>
      <c r="S805" s="1368"/>
      <c r="T805" s="1558">
        <f>(H805+K805+L805+R805)*22.5%</f>
        <v>0</v>
      </c>
      <c r="U805" s="1559">
        <f t="shared" si="792"/>
        <v>0</v>
      </c>
      <c r="V805" s="1554">
        <f t="shared" si="780"/>
        <v>0</v>
      </c>
      <c r="W805" s="1554">
        <f t="shared" si="776"/>
        <v>0</v>
      </c>
      <c r="X805" s="1554">
        <f t="shared" si="781"/>
        <v>0</v>
      </c>
      <c r="Y805" s="1554">
        <f t="shared" si="781"/>
        <v>0</v>
      </c>
      <c r="Z805" s="1554">
        <f t="shared" si="781"/>
        <v>0</v>
      </c>
      <c r="AA805" s="1554">
        <f t="shared" si="781"/>
        <v>0</v>
      </c>
      <c r="AB805" s="1554">
        <f t="shared" si="777"/>
        <v>0</v>
      </c>
      <c r="AC805" s="1554">
        <f t="shared" si="777"/>
        <v>0</v>
      </c>
      <c r="AD805" s="1554">
        <f t="shared" si="777"/>
        <v>0</v>
      </c>
      <c r="AE805" s="1554">
        <f t="shared" si="777"/>
        <v>0</v>
      </c>
      <c r="AF805" s="1554">
        <f t="shared" si="777"/>
        <v>0</v>
      </c>
      <c r="AG805" s="1554">
        <f t="shared" si="777"/>
        <v>0</v>
      </c>
      <c r="AH805" s="1560">
        <f>(V805+Y805+Z805+AF805)*22.5%</f>
        <v>0</v>
      </c>
      <c r="AI805" s="1561">
        <f t="shared" si="793"/>
        <v>0</v>
      </c>
      <c r="AJ805" s="1561">
        <f t="shared" si="794"/>
        <v>0</v>
      </c>
      <c r="AL805" s="561"/>
      <c r="AM805" s="1526"/>
      <c r="AN805" s="1526"/>
      <c r="AO805" s="1526"/>
      <c r="AP805" s="1526"/>
      <c r="AQ805" s="1526"/>
      <c r="AR805" s="1526"/>
      <c r="AS805" s="1526"/>
      <c r="AT805" s="1526"/>
      <c r="AU805" s="1526"/>
      <c r="AV805" s="1526"/>
      <c r="AW805" s="1526"/>
      <c r="AX805" s="1526"/>
      <c r="AY805" s="1526"/>
      <c r="AZ805" s="1526"/>
      <c r="BA805" s="1526"/>
      <c r="BB805" s="1526"/>
      <c r="BC805" s="1526"/>
      <c r="BD805" s="1526"/>
      <c r="BE805" s="1526"/>
      <c r="BF805" s="1526"/>
      <c r="BG805" s="1526"/>
      <c r="BH805" s="1526"/>
    </row>
    <row r="806" spans="1:60" s="1525" customFormat="1">
      <c r="A806" s="1499"/>
      <c r="B806" s="1535" t="s">
        <v>2540</v>
      </c>
      <c r="C806" s="1368"/>
      <c r="D806" s="1368"/>
      <c r="E806" s="1368"/>
      <c r="F806" s="1368"/>
      <c r="G806" s="1557">
        <f t="shared" si="790"/>
        <v>0</v>
      </c>
      <c r="H806" s="1368"/>
      <c r="I806" s="1557">
        <f t="shared" si="791"/>
        <v>0</v>
      </c>
      <c r="J806" s="1368"/>
      <c r="K806" s="1368"/>
      <c r="L806" s="1368"/>
      <c r="M806" s="1368"/>
      <c r="N806" s="1368"/>
      <c r="O806" s="1368"/>
      <c r="P806" s="1368"/>
      <c r="Q806" s="1368"/>
      <c r="R806" s="1368"/>
      <c r="S806" s="1368"/>
      <c r="T806" s="1558">
        <f>(H806+K806+L806+R806)*22.5%</f>
        <v>0</v>
      </c>
      <c r="U806" s="1559">
        <f t="shared" si="792"/>
        <v>0</v>
      </c>
      <c r="V806" s="1554">
        <f t="shared" si="780"/>
        <v>0</v>
      </c>
      <c r="W806" s="1554">
        <f t="shared" si="776"/>
        <v>0</v>
      </c>
      <c r="X806" s="1554">
        <f t="shared" si="781"/>
        <v>0</v>
      </c>
      <c r="Y806" s="1554">
        <f t="shared" si="781"/>
        <v>0</v>
      </c>
      <c r="Z806" s="1554">
        <f t="shared" si="781"/>
        <v>0</v>
      </c>
      <c r="AA806" s="1554">
        <f t="shared" si="781"/>
        <v>0</v>
      </c>
      <c r="AB806" s="1554">
        <f t="shared" si="777"/>
        <v>0</v>
      </c>
      <c r="AC806" s="1554">
        <f t="shared" si="777"/>
        <v>0</v>
      </c>
      <c r="AD806" s="1554">
        <f t="shared" si="777"/>
        <v>0</v>
      </c>
      <c r="AE806" s="1554">
        <f t="shared" si="777"/>
        <v>0</v>
      </c>
      <c r="AF806" s="1554">
        <f t="shared" si="777"/>
        <v>0</v>
      </c>
      <c r="AG806" s="1554">
        <f t="shared" si="777"/>
        <v>0</v>
      </c>
      <c r="AH806" s="1560">
        <f>(V806+Y806+Z806+AF806)*22.5%</f>
        <v>0</v>
      </c>
      <c r="AI806" s="1561">
        <f t="shared" si="793"/>
        <v>0</v>
      </c>
      <c r="AJ806" s="1561">
        <f t="shared" si="794"/>
        <v>0</v>
      </c>
      <c r="AL806" s="561"/>
      <c r="AM806" s="1526"/>
      <c r="AN806" s="1526"/>
      <c r="AO806" s="1526"/>
      <c r="AP806" s="1526"/>
      <c r="AQ806" s="1526"/>
      <c r="AR806" s="1526"/>
      <c r="AS806" s="1526"/>
      <c r="AT806" s="1526"/>
      <c r="AU806" s="1526"/>
      <c r="AV806" s="1526"/>
      <c r="AW806" s="1526"/>
      <c r="AX806" s="1526"/>
      <c r="AY806" s="1526"/>
      <c r="AZ806" s="1526"/>
      <c r="BA806" s="1526"/>
      <c r="BB806" s="1526"/>
      <c r="BC806" s="1526"/>
      <c r="BD806" s="1526"/>
      <c r="BE806" s="1526"/>
      <c r="BF806" s="1526"/>
      <c r="BG806" s="1526"/>
      <c r="BH806" s="1526"/>
    </row>
    <row r="807" spans="1:60" s="1525" customFormat="1" ht="31.5">
      <c r="A807" s="1516" t="s">
        <v>65</v>
      </c>
      <c r="B807" s="1538" t="s">
        <v>2541</v>
      </c>
      <c r="C807" s="1370"/>
      <c r="D807" s="1370"/>
      <c r="E807" s="1370"/>
      <c r="F807" s="1370"/>
      <c r="G807" s="1438">
        <f t="shared" si="790"/>
        <v>0</v>
      </c>
      <c r="H807" s="1370"/>
      <c r="I807" s="1438">
        <f t="shared" ref="I807" si="795">SUM(J807:S807)</f>
        <v>0</v>
      </c>
      <c r="J807" s="1370"/>
      <c r="K807" s="1370"/>
      <c r="L807" s="1370"/>
      <c r="M807" s="1370"/>
      <c r="N807" s="1370"/>
      <c r="O807" s="1370"/>
      <c r="P807" s="1370"/>
      <c r="Q807" s="1370"/>
      <c r="R807" s="1370"/>
      <c r="S807" s="1370"/>
      <c r="T807" s="1558">
        <f>(H807+K807+L807+R807)*22.5%</f>
        <v>0</v>
      </c>
      <c r="U807" s="1562">
        <f t="shared" si="792"/>
        <v>0</v>
      </c>
      <c r="V807" s="1554">
        <f>(H807/1.39)*1.49</f>
        <v>0</v>
      </c>
      <c r="W807" s="1562">
        <f t="shared" si="776"/>
        <v>0</v>
      </c>
      <c r="X807" s="1554">
        <f>(J807/1.39)*1.49</f>
        <v>0</v>
      </c>
      <c r="Y807" s="1554">
        <f t="shared" ref="Y807:AA807" si="796">(K807/1.39)*1.49</f>
        <v>0</v>
      </c>
      <c r="Z807" s="1554">
        <f t="shared" si="796"/>
        <v>0</v>
      </c>
      <c r="AA807" s="1554">
        <f t="shared" si="796"/>
        <v>0</v>
      </c>
      <c r="AB807" s="1554">
        <f t="shared" si="777"/>
        <v>0</v>
      </c>
      <c r="AC807" s="1554">
        <f t="shared" si="777"/>
        <v>0</v>
      </c>
      <c r="AD807" s="1554">
        <f t="shared" si="777"/>
        <v>0</v>
      </c>
      <c r="AE807" s="1554">
        <f t="shared" si="777"/>
        <v>0</v>
      </c>
      <c r="AF807" s="1554">
        <f t="shared" si="777"/>
        <v>0</v>
      </c>
      <c r="AG807" s="1554">
        <f t="shared" si="777"/>
        <v>0</v>
      </c>
      <c r="AH807" s="1560">
        <f>(V807+Y807+Z807+AF807)*22.5%</f>
        <v>0</v>
      </c>
      <c r="AI807" s="1563">
        <f>U807-G807</f>
        <v>0</v>
      </c>
      <c r="AJ807" s="1563">
        <f>AI807*6</f>
        <v>0</v>
      </c>
      <c r="AL807" s="561"/>
      <c r="AM807" s="1526"/>
      <c r="AN807" s="1526"/>
      <c r="AO807" s="1526"/>
      <c r="AP807" s="1526"/>
      <c r="AQ807" s="1526"/>
      <c r="AR807" s="1526"/>
      <c r="AS807" s="1526"/>
      <c r="AT807" s="1526"/>
      <c r="AU807" s="1526"/>
      <c r="AV807" s="1526"/>
      <c r="AW807" s="1526"/>
      <c r="AX807" s="1526"/>
      <c r="AY807" s="1526"/>
      <c r="AZ807" s="1526"/>
      <c r="BA807" s="1526"/>
      <c r="BB807" s="1526"/>
      <c r="BC807" s="1526"/>
      <c r="BD807" s="1526"/>
      <c r="BE807" s="1526"/>
      <c r="BF807" s="1526"/>
      <c r="BG807" s="1526"/>
      <c r="BH807" s="1526"/>
    </row>
    <row r="808" spans="1:60" s="1525" customFormat="1" ht="31.5">
      <c r="A808" s="1516" t="s">
        <v>14</v>
      </c>
      <c r="B808" s="1538" t="s">
        <v>2542</v>
      </c>
      <c r="C808" s="1564">
        <f t="shared" ref="C808" si="797">SUM(C809:C811)</f>
        <v>0</v>
      </c>
      <c r="D808" s="1564"/>
      <c r="E808" s="1564"/>
      <c r="F808" s="1564">
        <f t="shared" ref="F808:AJ808" si="798">SUM(F809:F811)</f>
        <v>0</v>
      </c>
      <c r="G808" s="1564">
        <f t="shared" si="798"/>
        <v>0</v>
      </c>
      <c r="H808" s="1564">
        <f t="shared" si="798"/>
        <v>0</v>
      </c>
      <c r="I808" s="1564">
        <f t="shared" si="798"/>
        <v>0</v>
      </c>
      <c r="J808" s="1564">
        <f t="shared" si="798"/>
        <v>0</v>
      </c>
      <c r="K808" s="1564">
        <f t="shared" si="798"/>
        <v>0</v>
      </c>
      <c r="L808" s="1564">
        <f t="shared" si="798"/>
        <v>0</v>
      </c>
      <c r="M808" s="1564">
        <f t="shared" si="798"/>
        <v>0</v>
      </c>
      <c r="N808" s="1564">
        <f t="shared" si="798"/>
        <v>0</v>
      </c>
      <c r="O808" s="1564">
        <f t="shared" si="798"/>
        <v>0</v>
      </c>
      <c r="P808" s="1564">
        <f t="shared" si="798"/>
        <v>0</v>
      </c>
      <c r="Q808" s="1564">
        <f t="shared" si="798"/>
        <v>0</v>
      </c>
      <c r="R808" s="1564">
        <f t="shared" si="798"/>
        <v>0</v>
      </c>
      <c r="S808" s="1564">
        <f t="shared" si="798"/>
        <v>0</v>
      </c>
      <c r="T808" s="1564">
        <f t="shared" si="798"/>
        <v>0</v>
      </c>
      <c r="U808" s="1563">
        <f t="shared" si="798"/>
        <v>0</v>
      </c>
      <c r="V808" s="1563">
        <f t="shared" si="798"/>
        <v>0</v>
      </c>
      <c r="W808" s="1563">
        <f t="shared" si="798"/>
        <v>0</v>
      </c>
      <c r="X808" s="1563">
        <f t="shared" si="798"/>
        <v>0</v>
      </c>
      <c r="Y808" s="1563">
        <f t="shared" si="798"/>
        <v>0</v>
      </c>
      <c r="Z808" s="1563">
        <f t="shared" si="798"/>
        <v>0</v>
      </c>
      <c r="AA808" s="1563">
        <f t="shared" si="798"/>
        <v>0</v>
      </c>
      <c r="AB808" s="1563">
        <f t="shared" si="798"/>
        <v>0</v>
      </c>
      <c r="AC808" s="1563">
        <f t="shared" si="798"/>
        <v>0</v>
      </c>
      <c r="AD808" s="1563">
        <f t="shared" si="798"/>
        <v>0</v>
      </c>
      <c r="AE808" s="1563">
        <f t="shared" si="798"/>
        <v>0</v>
      </c>
      <c r="AF808" s="1563">
        <f t="shared" si="798"/>
        <v>0</v>
      </c>
      <c r="AG808" s="1563">
        <f t="shared" si="798"/>
        <v>0</v>
      </c>
      <c r="AH808" s="1563">
        <f t="shared" si="798"/>
        <v>0</v>
      </c>
      <c r="AI808" s="1563">
        <f t="shared" si="798"/>
        <v>0</v>
      </c>
      <c r="AJ808" s="1563">
        <f t="shared" si="798"/>
        <v>0</v>
      </c>
      <c r="AL808" s="561"/>
      <c r="AM808" s="1526"/>
      <c r="AN808" s="1526"/>
      <c r="AO808" s="1526"/>
      <c r="AP808" s="1526"/>
      <c r="AQ808" s="1526"/>
      <c r="AR808" s="1526"/>
      <c r="AS808" s="1526"/>
      <c r="AT808" s="1526"/>
      <c r="AU808" s="1526"/>
      <c r="AV808" s="1526"/>
      <c r="AW808" s="1526"/>
      <c r="AX808" s="1526"/>
      <c r="AY808" s="1526"/>
      <c r="AZ808" s="1526"/>
      <c r="BA808" s="1526"/>
      <c r="BB808" s="1526"/>
      <c r="BC808" s="1526"/>
      <c r="BD808" s="1526"/>
      <c r="BE808" s="1526"/>
      <c r="BF808" s="1526"/>
      <c r="BG808" s="1526"/>
      <c r="BH808" s="1526"/>
    </row>
    <row r="809" spans="1:60" s="1525" customFormat="1">
      <c r="A809" s="1499"/>
      <c r="B809" s="1535" t="s">
        <v>2543</v>
      </c>
      <c r="C809" s="1368"/>
      <c r="D809" s="1368"/>
      <c r="E809" s="1368"/>
      <c r="F809" s="1368"/>
      <c r="G809" s="1557">
        <f t="shared" ref="G809:G811" si="799">H809+I809+T809</f>
        <v>0</v>
      </c>
      <c r="H809" s="577"/>
      <c r="I809" s="1557">
        <f t="shared" ref="I809:I811" si="800">SUM(J809:S809)</f>
        <v>0</v>
      </c>
      <c r="J809" s="577"/>
      <c r="K809" s="577"/>
      <c r="L809" s="577"/>
      <c r="M809" s="577"/>
      <c r="N809" s="577"/>
      <c r="O809" s="577"/>
      <c r="P809" s="577"/>
      <c r="Q809" s="577"/>
      <c r="R809" s="577"/>
      <c r="S809" s="578">
        <f>F809*0.5*1.3</f>
        <v>0</v>
      </c>
      <c r="T809" s="1565"/>
      <c r="U809" s="1559">
        <f t="shared" ref="U809:U811" si="801">V809+W809+AH809</f>
        <v>0</v>
      </c>
      <c r="V809" s="1566"/>
      <c r="W809" s="1559">
        <f t="shared" ref="W809:W811" si="802">SUM(X809:AG809)</f>
        <v>0</v>
      </c>
      <c r="X809" s="1566"/>
      <c r="Y809" s="1566"/>
      <c r="Z809" s="1566"/>
      <c r="AA809" s="1566"/>
      <c r="AB809" s="1566"/>
      <c r="AC809" s="1566"/>
      <c r="AD809" s="1566"/>
      <c r="AE809" s="1566"/>
      <c r="AF809" s="1566"/>
      <c r="AG809" s="1554">
        <f t="shared" ref="AG809:AG811" si="803">(S809/1.39)*1.49</f>
        <v>0</v>
      </c>
      <c r="AH809" s="1566"/>
      <c r="AI809" s="1561">
        <f t="shared" ref="AI809:AI811" si="804">U809-G809</f>
        <v>0</v>
      </c>
      <c r="AJ809" s="1561">
        <f t="shared" ref="AJ809:AJ811" si="805">AI809*6</f>
        <v>0</v>
      </c>
      <c r="AL809" s="561"/>
      <c r="AM809" s="1526"/>
      <c r="AN809" s="1526"/>
      <c r="AO809" s="1526"/>
      <c r="AP809" s="1526"/>
      <c r="AQ809" s="1526"/>
      <c r="AR809" s="1526"/>
      <c r="AS809" s="1526"/>
      <c r="AT809" s="1526"/>
      <c r="AU809" s="1526"/>
      <c r="AV809" s="1526"/>
      <c r="AW809" s="1526"/>
      <c r="AX809" s="1526"/>
      <c r="AY809" s="1526"/>
      <c r="AZ809" s="1526"/>
      <c r="BA809" s="1526"/>
      <c r="BB809" s="1526"/>
      <c r="BC809" s="1526"/>
      <c r="BD809" s="1526"/>
      <c r="BE809" s="1526"/>
      <c r="BF809" s="1526"/>
      <c r="BG809" s="1526"/>
      <c r="BH809" s="1526"/>
    </row>
    <row r="810" spans="1:60" s="1525" customFormat="1">
      <c r="A810" s="1499"/>
      <c r="B810" s="1535" t="s">
        <v>2544</v>
      </c>
      <c r="C810" s="1368"/>
      <c r="D810" s="1368"/>
      <c r="E810" s="1368"/>
      <c r="F810" s="1368"/>
      <c r="G810" s="1557">
        <f t="shared" si="799"/>
        <v>0</v>
      </c>
      <c r="H810" s="577"/>
      <c r="I810" s="1557">
        <f t="shared" si="800"/>
        <v>0</v>
      </c>
      <c r="J810" s="577"/>
      <c r="K810" s="577"/>
      <c r="L810" s="577"/>
      <c r="M810" s="577"/>
      <c r="N810" s="577"/>
      <c r="O810" s="577"/>
      <c r="P810" s="577"/>
      <c r="Q810" s="577"/>
      <c r="R810" s="577"/>
      <c r="S810" s="1368">
        <f>F810*0.4*1.3</f>
        <v>0</v>
      </c>
      <c r="T810" s="1565"/>
      <c r="U810" s="1559">
        <f t="shared" si="801"/>
        <v>0</v>
      </c>
      <c r="V810" s="1566"/>
      <c r="W810" s="1559">
        <f t="shared" si="802"/>
        <v>0</v>
      </c>
      <c r="X810" s="1566"/>
      <c r="Y810" s="1566"/>
      <c r="Z810" s="1566"/>
      <c r="AA810" s="1566"/>
      <c r="AB810" s="1566"/>
      <c r="AC810" s="1566"/>
      <c r="AD810" s="1566"/>
      <c r="AE810" s="1566"/>
      <c r="AF810" s="1566"/>
      <c r="AG810" s="1554">
        <f t="shared" si="803"/>
        <v>0</v>
      </c>
      <c r="AH810" s="1566"/>
      <c r="AI810" s="1561">
        <f t="shared" si="804"/>
        <v>0</v>
      </c>
      <c r="AJ810" s="1561">
        <f t="shared" si="805"/>
        <v>0</v>
      </c>
      <c r="AL810" s="561"/>
      <c r="AM810" s="1526"/>
      <c r="AN810" s="1526"/>
      <c r="AO810" s="1526"/>
      <c r="AP810" s="1526"/>
      <c r="AQ810" s="1526"/>
      <c r="AR810" s="1526"/>
      <c r="AS810" s="1526"/>
      <c r="AT810" s="1526"/>
      <c r="AU810" s="1526"/>
      <c r="AV810" s="1526"/>
      <c r="AW810" s="1526"/>
      <c r="AX810" s="1526"/>
      <c r="AY810" s="1526"/>
      <c r="AZ810" s="1526"/>
      <c r="BA810" s="1526"/>
      <c r="BB810" s="1526"/>
      <c r="BC810" s="1526"/>
      <c r="BD810" s="1526"/>
      <c r="BE810" s="1526"/>
      <c r="BF810" s="1526"/>
      <c r="BG810" s="1526"/>
      <c r="BH810" s="1526"/>
    </row>
    <row r="811" spans="1:60" s="1525" customFormat="1">
      <c r="A811" s="1499"/>
      <c r="B811" s="1535" t="s">
        <v>2545</v>
      </c>
      <c r="C811" s="1368"/>
      <c r="D811" s="1368"/>
      <c r="E811" s="1368"/>
      <c r="F811" s="1368"/>
      <c r="G811" s="1557">
        <f t="shared" si="799"/>
        <v>0</v>
      </c>
      <c r="H811" s="577"/>
      <c r="I811" s="1557">
        <f t="shared" si="800"/>
        <v>0</v>
      </c>
      <c r="J811" s="577"/>
      <c r="K811" s="577"/>
      <c r="L811" s="577"/>
      <c r="M811" s="577"/>
      <c r="N811" s="577"/>
      <c r="O811" s="577"/>
      <c r="P811" s="577"/>
      <c r="Q811" s="577"/>
      <c r="R811" s="577"/>
      <c r="S811" s="1368">
        <f>F811*0.3*1.3</f>
        <v>0</v>
      </c>
      <c r="T811" s="1565"/>
      <c r="U811" s="1559">
        <f t="shared" si="801"/>
        <v>0</v>
      </c>
      <c r="V811" s="1566"/>
      <c r="W811" s="1559">
        <f t="shared" si="802"/>
        <v>0</v>
      </c>
      <c r="X811" s="1566"/>
      <c r="Y811" s="1566"/>
      <c r="Z811" s="1566"/>
      <c r="AA811" s="1566"/>
      <c r="AB811" s="1566"/>
      <c r="AC811" s="1566"/>
      <c r="AD811" s="1566"/>
      <c r="AE811" s="1566"/>
      <c r="AF811" s="1566"/>
      <c r="AG811" s="1554">
        <f t="shared" si="803"/>
        <v>0</v>
      </c>
      <c r="AH811" s="1566"/>
      <c r="AI811" s="1561">
        <f t="shared" si="804"/>
        <v>0</v>
      </c>
      <c r="AJ811" s="1561">
        <f t="shared" si="805"/>
        <v>0</v>
      </c>
      <c r="AL811" s="561"/>
      <c r="AM811" s="1526"/>
      <c r="AN811" s="1526"/>
      <c r="AO811" s="1526"/>
      <c r="AP811" s="1526"/>
      <c r="AQ811" s="1526"/>
      <c r="AR811" s="1526"/>
      <c r="AS811" s="1526"/>
      <c r="AT811" s="1526"/>
      <c r="AU811" s="1526"/>
      <c r="AV811" s="1526"/>
      <c r="AW811" s="1526"/>
      <c r="AX811" s="1526"/>
      <c r="AY811" s="1526"/>
      <c r="AZ811" s="1526"/>
      <c r="BA811" s="1526"/>
      <c r="BB811" s="1526"/>
      <c r="BC811" s="1526"/>
      <c r="BD811" s="1526"/>
      <c r="BE811" s="1526"/>
      <c r="BF811" s="1526"/>
      <c r="BG811" s="1526"/>
      <c r="BH811" s="1526"/>
    </row>
    <row r="812" spans="1:60" s="1525" customFormat="1">
      <c r="A812" s="1516" t="s">
        <v>18</v>
      </c>
      <c r="B812" s="1538" t="s">
        <v>2546</v>
      </c>
      <c r="C812" s="1564">
        <f t="shared" ref="C812" si="806">SUM(C813:C815)</f>
        <v>0</v>
      </c>
      <c r="D812" s="1564"/>
      <c r="E812" s="1564"/>
      <c r="F812" s="1564">
        <f t="shared" ref="F812:AJ812" si="807">SUM(F813:F815)</f>
        <v>0</v>
      </c>
      <c r="G812" s="1564">
        <f t="shared" si="807"/>
        <v>0</v>
      </c>
      <c r="H812" s="1564">
        <f t="shared" si="807"/>
        <v>0</v>
      </c>
      <c r="I812" s="1564">
        <f t="shared" si="807"/>
        <v>0</v>
      </c>
      <c r="J812" s="1564">
        <f t="shared" si="807"/>
        <v>0</v>
      </c>
      <c r="K812" s="1564">
        <f t="shared" si="807"/>
        <v>0</v>
      </c>
      <c r="L812" s="1564">
        <f t="shared" si="807"/>
        <v>0</v>
      </c>
      <c r="M812" s="1564">
        <f t="shared" si="807"/>
        <v>0</v>
      </c>
      <c r="N812" s="1564">
        <f t="shared" si="807"/>
        <v>0</v>
      </c>
      <c r="O812" s="1564">
        <f t="shared" si="807"/>
        <v>0</v>
      </c>
      <c r="P812" s="1564">
        <f t="shared" si="807"/>
        <v>0</v>
      </c>
      <c r="Q812" s="1564">
        <f t="shared" si="807"/>
        <v>0</v>
      </c>
      <c r="R812" s="1564">
        <f t="shared" si="807"/>
        <v>0</v>
      </c>
      <c r="S812" s="1564">
        <f t="shared" si="807"/>
        <v>0</v>
      </c>
      <c r="T812" s="1564">
        <f t="shared" si="807"/>
        <v>0</v>
      </c>
      <c r="U812" s="1563">
        <f t="shared" si="807"/>
        <v>0</v>
      </c>
      <c r="V812" s="1563">
        <f t="shared" si="807"/>
        <v>0</v>
      </c>
      <c r="W812" s="1563">
        <f t="shared" si="807"/>
        <v>0</v>
      </c>
      <c r="X812" s="1563">
        <f t="shared" si="807"/>
        <v>0</v>
      </c>
      <c r="Y812" s="1563">
        <f t="shared" si="807"/>
        <v>0</v>
      </c>
      <c r="Z812" s="1563">
        <f t="shared" si="807"/>
        <v>0</v>
      </c>
      <c r="AA812" s="1563">
        <f t="shared" si="807"/>
        <v>0</v>
      </c>
      <c r="AB812" s="1563">
        <f t="shared" si="807"/>
        <v>0</v>
      </c>
      <c r="AC812" s="1563">
        <f t="shared" si="807"/>
        <v>0</v>
      </c>
      <c r="AD812" s="1563">
        <f t="shared" si="807"/>
        <v>0</v>
      </c>
      <c r="AE812" s="1563">
        <f t="shared" si="807"/>
        <v>0</v>
      </c>
      <c r="AF812" s="1563">
        <f t="shared" si="807"/>
        <v>0</v>
      </c>
      <c r="AG812" s="1563">
        <f t="shared" si="807"/>
        <v>0</v>
      </c>
      <c r="AH812" s="1563">
        <f t="shared" si="807"/>
        <v>0</v>
      </c>
      <c r="AI812" s="1563">
        <f t="shared" si="807"/>
        <v>0</v>
      </c>
      <c r="AJ812" s="1563">
        <f t="shared" si="807"/>
        <v>0</v>
      </c>
      <c r="AL812" s="561"/>
      <c r="AM812" s="1526"/>
      <c r="AN812" s="1526"/>
      <c r="AO812" s="1526"/>
      <c r="AP812" s="1526"/>
      <c r="AQ812" s="1526"/>
      <c r="AR812" s="1526"/>
      <c r="AS812" s="1526"/>
      <c r="AT812" s="1526"/>
      <c r="AU812" s="1526"/>
      <c r="AV812" s="1526"/>
      <c r="AW812" s="1526"/>
      <c r="AX812" s="1526"/>
      <c r="AY812" s="1526"/>
      <c r="AZ812" s="1526"/>
      <c r="BA812" s="1526"/>
      <c r="BB812" s="1526"/>
      <c r="BC812" s="1526"/>
      <c r="BD812" s="1526"/>
      <c r="BE812" s="1526"/>
      <c r="BF812" s="1526"/>
      <c r="BG812" s="1526"/>
      <c r="BH812" s="1526"/>
    </row>
    <row r="813" spans="1:60" s="1525" customFormat="1">
      <c r="A813" s="1499"/>
      <c r="B813" s="1535" t="s">
        <v>2547</v>
      </c>
      <c r="C813" s="1368"/>
      <c r="D813" s="1368"/>
      <c r="E813" s="1368"/>
      <c r="F813" s="1368"/>
      <c r="G813" s="1557">
        <f t="shared" ref="G813:G815" si="808">H813+I813+T813</f>
        <v>0</v>
      </c>
      <c r="H813" s="577"/>
      <c r="I813" s="1557">
        <f t="shared" ref="I813:I815" si="809">SUM(J813:S813)</f>
        <v>0</v>
      </c>
      <c r="J813" s="577"/>
      <c r="K813" s="577"/>
      <c r="L813" s="577"/>
      <c r="M813" s="577"/>
      <c r="N813" s="577"/>
      <c r="O813" s="577"/>
      <c r="P813" s="577"/>
      <c r="Q813" s="577"/>
      <c r="R813" s="577"/>
      <c r="S813" s="1368">
        <f>F813*0.5*1.3</f>
        <v>0</v>
      </c>
      <c r="T813" s="1565"/>
      <c r="U813" s="1559">
        <f t="shared" ref="U813:U815" si="810">V813+W813+AH813</f>
        <v>0</v>
      </c>
      <c r="V813" s="1566"/>
      <c r="W813" s="1559">
        <f t="shared" ref="W813:W815" si="811">SUM(X813:AG813)</f>
        <v>0</v>
      </c>
      <c r="X813" s="1566"/>
      <c r="Y813" s="1566"/>
      <c r="Z813" s="1566"/>
      <c r="AA813" s="1566"/>
      <c r="AB813" s="1566"/>
      <c r="AC813" s="1566"/>
      <c r="AD813" s="1566"/>
      <c r="AE813" s="1566"/>
      <c r="AF813" s="1566"/>
      <c r="AG813" s="1554">
        <f t="shared" ref="AG813:AG815" si="812">(S813/1.39)*1.49</f>
        <v>0</v>
      </c>
      <c r="AH813" s="1566"/>
      <c r="AI813" s="1561">
        <f t="shared" ref="AI813:AI815" si="813">U813-G813</f>
        <v>0</v>
      </c>
      <c r="AJ813" s="1561">
        <f t="shared" ref="AJ813:AJ815" si="814">AI813*6</f>
        <v>0</v>
      </c>
      <c r="AL813" s="561"/>
      <c r="AM813" s="1526"/>
      <c r="AN813" s="1526"/>
      <c r="AO813" s="1526"/>
      <c r="AP813" s="1526"/>
      <c r="AQ813" s="1526"/>
      <c r="AR813" s="1526"/>
      <c r="AS813" s="1526"/>
      <c r="AT813" s="1526"/>
      <c r="AU813" s="1526"/>
      <c r="AV813" s="1526"/>
      <c r="AW813" s="1526"/>
      <c r="AX813" s="1526"/>
      <c r="AY813" s="1526"/>
      <c r="AZ813" s="1526"/>
      <c r="BA813" s="1526"/>
      <c r="BB813" s="1526"/>
      <c r="BC813" s="1526"/>
      <c r="BD813" s="1526"/>
      <c r="BE813" s="1526"/>
      <c r="BF813" s="1526"/>
      <c r="BG813" s="1526"/>
      <c r="BH813" s="1526"/>
    </row>
    <row r="814" spans="1:60" s="1525" customFormat="1">
      <c r="A814" s="1499"/>
      <c r="B814" s="1535" t="s">
        <v>2548</v>
      </c>
      <c r="C814" s="1368"/>
      <c r="D814" s="1368"/>
      <c r="E814" s="1368"/>
      <c r="F814" s="1368"/>
      <c r="G814" s="1557">
        <f t="shared" si="808"/>
        <v>0</v>
      </c>
      <c r="H814" s="577"/>
      <c r="I814" s="1557">
        <f t="shared" si="809"/>
        <v>0</v>
      </c>
      <c r="J814" s="577"/>
      <c r="K814" s="577"/>
      <c r="L814" s="577"/>
      <c r="M814" s="577"/>
      <c r="N814" s="577"/>
      <c r="O814" s="577"/>
      <c r="P814" s="577"/>
      <c r="Q814" s="577"/>
      <c r="R814" s="577"/>
      <c r="S814" s="1368">
        <f>F814*0.4*1.3</f>
        <v>0</v>
      </c>
      <c r="T814" s="1565"/>
      <c r="U814" s="1559">
        <f t="shared" si="810"/>
        <v>0</v>
      </c>
      <c r="V814" s="1566"/>
      <c r="W814" s="1559">
        <f t="shared" si="811"/>
        <v>0</v>
      </c>
      <c r="X814" s="1566"/>
      <c r="Y814" s="1566"/>
      <c r="Z814" s="1566"/>
      <c r="AA814" s="1566"/>
      <c r="AB814" s="1566"/>
      <c r="AC814" s="1566"/>
      <c r="AD814" s="1566"/>
      <c r="AE814" s="1566"/>
      <c r="AF814" s="1566"/>
      <c r="AG814" s="1554">
        <f t="shared" si="812"/>
        <v>0</v>
      </c>
      <c r="AH814" s="1566"/>
      <c r="AI814" s="1561">
        <f t="shared" si="813"/>
        <v>0</v>
      </c>
      <c r="AJ814" s="1561">
        <f t="shared" si="814"/>
        <v>0</v>
      </c>
      <c r="AL814" s="561"/>
      <c r="AM814" s="1526"/>
      <c r="AN814" s="1526"/>
      <c r="AO814" s="1526"/>
      <c r="AP814" s="1526"/>
      <c r="AQ814" s="1526"/>
      <c r="AR814" s="1526"/>
      <c r="AS814" s="1526"/>
      <c r="AT814" s="1526"/>
      <c r="AU814" s="1526"/>
      <c r="AV814" s="1526"/>
      <c r="AW814" s="1526"/>
      <c r="AX814" s="1526"/>
      <c r="AY814" s="1526"/>
      <c r="AZ814" s="1526"/>
      <c r="BA814" s="1526"/>
      <c r="BB814" s="1526"/>
      <c r="BC814" s="1526"/>
      <c r="BD814" s="1526"/>
      <c r="BE814" s="1526"/>
      <c r="BF814" s="1526"/>
      <c r="BG814" s="1526"/>
      <c r="BH814" s="1526"/>
    </row>
    <row r="815" spans="1:60" s="1525" customFormat="1">
      <c r="A815" s="1499"/>
      <c r="B815" s="1535" t="s">
        <v>2549</v>
      </c>
      <c r="C815" s="1368"/>
      <c r="D815" s="1368"/>
      <c r="E815" s="1368"/>
      <c r="F815" s="1368"/>
      <c r="G815" s="1557">
        <f t="shared" si="808"/>
        <v>0</v>
      </c>
      <c r="H815" s="577"/>
      <c r="I815" s="1557">
        <f t="shared" si="809"/>
        <v>0</v>
      </c>
      <c r="J815" s="577"/>
      <c r="K815" s="577"/>
      <c r="L815" s="577"/>
      <c r="M815" s="577"/>
      <c r="N815" s="577"/>
      <c r="O815" s="577"/>
      <c r="P815" s="577"/>
      <c r="Q815" s="577"/>
      <c r="R815" s="577"/>
      <c r="S815" s="1368">
        <f>F815*0.3*1.3</f>
        <v>0</v>
      </c>
      <c r="T815" s="1565"/>
      <c r="U815" s="1559">
        <f t="shared" si="810"/>
        <v>0</v>
      </c>
      <c r="V815" s="1566"/>
      <c r="W815" s="1559">
        <f t="shared" si="811"/>
        <v>0</v>
      </c>
      <c r="X815" s="1566"/>
      <c r="Y815" s="1566"/>
      <c r="Z815" s="1566"/>
      <c r="AA815" s="1566"/>
      <c r="AB815" s="1566"/>
      <c r="AC815" s="1566"/>
      <c r="AD815" s="1566"/>
      <c r="AE815" s="1566"/>
      <c r="AF815" s="1566"/>
      <c r="AG815" s="1554">
        <f t="shared" si="812"/>
        <v>0</v>
      </c>
      <c r="AH815" s="1566"/>
      <c r="AI815" s="1561">
        <f t="shared" si="813"/>
        <v>0</v>
      </c>
      <c r="AJ815" s="1561">
        <f t="shared" si="814"/>
        <v>0</v>
      </c>
      <c r="AL815" s="561"/>
      <c r="AM815" s="1526"/>
      <c r="AN815" s="1526"/>
      <c r="AO815" s="1526"/>
      <c r="AP815" s="1526"/>
      <c r="AQ815" s="1526"/>
      <c r="AR815" s="1526"/>
      <c r="AS815" s="1526"/>
      <c r="AT815" s="1526"/>
      <c r="AU815" s="1526"/>
      <c r="AV815" s="1526"/>
      <c r="AW815" s="1526"/>
      <c r="AX815" s="1526"/>
      <c r="AY815" s="1526"/>
      <c r="AZ815" s="1526"/>
      <c r="BA815" s="1526"/>
      <c r="BB815" s="1526"/>
      <c r="BC815" s="1526"/>
      <c r="BD815" s="1526"/>
      <c r="BE815" s="1526"/>
      <c r="BF815" s="1526"/>
      <c r="BG815" s="1526"/>
      <c r="BH815" s="1526"/>
    </row>
    <row r="816" spans="1:60" s="1525" customFormat="1">
      <c r="A816" s="1605"/>
      <c r="B816" s="1606" t="s">
        <v>2821</v>
      </c>
      <c r="C816" s="1604">
        <f>C817+C837+C838+C842</f>
        <v>0</v>
      </c>
      <c r="D816" s="1604"/>
      <c r="E816" s="1604"/>
      <c r="F816" s="1604">
        <f t="shared" ref="F816:AJ816" si="815">F817+F837+F838+F842</f>
        <v>0</v>
      </c>
      <c r="G816" s="1604">
        <f t="shared" si="815"/>
        <v>0</v>
      </c>
      <c r="H816" s="1604">
        <f t="shared" si="815"/>
        <v>0</v>
      </c>
      <c r="I816" s="1604">
        <f t="shared" si="815"/>
        <v>0</v>
      </c>
      <c r="J816" s="1604">
        <f t="shared" si="815"/>
        <v>0</v>
      </c>
      <c r="K816" s="1604">
        <f t="shared" si="815"/>
        <v>0</v>
      </c>
      <c r="L816" s="1604">
        <f t="shared" si="815"/>
        <v>0</v>
      </c>
      <c r="M816" s="1604">
        <f t="shared" si="815"/>
        <v>0</v>
      </c>
      <c r="N816" s="1604">
        <f t="shared" si="815"/>
        <v>0</v>
      </c>
      <c r="O816" s="1604">
        <f t="shared" si="815"/>
        <v>0</v>
      </c>
      <c r="P816" s="1604">
        <f t="shared" si="815"/>
        <v>0</v>
      </c>
      <c r="Q816" s="1604">
        <f t="shared" si="815"/>
        <v>0</v>
      </c>
      <c r="R816" s="1604">
        <f t="shared" si="815"/>
        <v>0</v>
      </c>
      <c r="S816" s="1604">
        <f t="shared" si="815"/>
        <v>0</v>
      </c>
      <c r="T816" s="1604">
        <f t="shared" si="815"/>
        <v>0</v>
      </c>
      <c r="U816" s="1604">
        <f t="shared" si="815"/>
        <v>0</v>
      </c>
      <c r="V816" s="1604">
        <f t="shared" si="815"/>
        <v>0</v>
      </c>
      <c r="W816" s="1604">
        <f t="shared" si="815"/>
        <v>0</v>
      </c>
      <c r="X816" s="1604">
        <f t="shared" si="815"/>
        <v>0</v>
      </c>
      <c r="Y816" s="1604">
        <f t="shared" si="815"/>
        <v>0</v>
      </c>
      <c r="Z816" s="1604">
        <f t="shared" si="815"/>
        <v>0</v>
      </c>
      <c r="AA816" s="1604">
        <f t="shared" si="815"/>
        <v>0</v>
      </c>
      <c r="AB816" s="1604">
        <f t="shared" si="815"/>
        <v>0</v>
      </c>
      <c r="AC816" s="1604">
        <f t="shared" si="815"/>
        <v>0</v>
      </c>
      <c r="AD816" s="1604">
        <f t="shared" si="815"/>
        <v>0</v>
      </c>
      <c r="AE816" s="1604">
        <f t="shared" si="815"/>
        <v>0</v>
      </c>
      <c r="AF816" s="1604">
        <f t="shared" si="815"/>
        <v>0</v>
      </c>
      <c r="AG816" s="1604">
        <f t="shared" si="815"/>
        <v>0</v>
      </c>
      <c r="AH816" s="1604">
        <f t="shared" si="815"/>
        <v>0</v>
      </c>
      <c r="AI816" s="1604">
        <f t="shared" si="815"/>
        <v>0</v>
      </c>
      <c r="AJ816" s="1604">
        <f t="shared" si="815"/>
        <v>0</v>
      </c>
      <c r="AL816" s="561"/>
      <c r="AM816" s="1526"/>
      <c r="AN816" s="1526"/>
      <c r="AO816" s="1526"/>
      <c r="AP816" s="1526"/>
      <c r="AQ816" s="1526"/>
      <c r="AR816" s="1526"/>
      <c r="AS816" s="1526"/>
      <c r="AT816" s="1526"/>
      <c r="AU816" s="1526"/>
      <c r="AV816" s="1526"/>
      <c r="AW816" s="1526"/>
      <c r="AX816" s="1526"/>
      <c r="AY816" s="1526"/>
      <c r="AZ816" s="1526"/>
      <c r="BA816" s="1526"/>
      <c r="BB816" s="1526"/>
      <c r="BC816" s="1526"/>
      <c r="BD816" s="1526"/>
      <c r="BE816" s="1526"/>
      <c r="BF816" s="1526"/>
      <c r="BG816" s="1526"/>
      <c r="BH816" s="1526"/>
    </row>
    <row r="817" spans="1:60" s="1525" customFormat="1">
      <c r="A817" s="1433" t="s">
        <v>13</v>
      </c>
      <c r="B817" s="1552" t="s">
        <v>2528</v>
      </c>
      <c r="C817" s="1438">
        <f>C819+C824+C826+C827+C828+C829+C830+C831+C832+C833</f>
        <v>0</v>
      </c>
      <c r="D817" s="1438"/>
      <c r="E817" s="1438"/>
      <c r="F817" s="1438">
        <f t="shared" ref="F817:AH817" si="816">F819+F824+F826+F827+F828+F829+F830+F831+F832+F833</f>
        <v>0</v>
      </c>
      <c r="G817" s="1438">
        <f t="shared" si="816"/>
        <v>0</v>
      </c>
      <c r="H817" s="1438">
        <f t="shared" si="816"/>
        <v>0</v>
      </c>
      <c r="I817" s="1438">
        <f t="shared" si="816"/>
        <v>0</v>
      </c>
      <c r="J817" s="1438">
        <f t="shared" si="816"/>
        <v>0</v>
      </c>
      <c r="K817" s="1438">
        <f t="shared" si="816"/>
        <v>0</v>
      </c>
      <c r="L817" s="1438">
        <f t="shared" si="816"/>
        <v>0</v>
      </c>
      <c r="M817" s="1438">
        <f t="shared" si="816"/>
        <v>0</v>
      </c>
      <c r="N817" s="1438">
        <f t="shared" si="816"/>
        <v>0</v>
      </c>
      <c r="O817" s="1438">
        <f t="shared" si="816"/>
        <v>0</v>
      </c>
      <c r="P817" s="1438">
        <f t="shared" si="816"/>
        <v>0</v>
      </c>
      <c r="Q817" s="1438">
        <f t="shared" si="816"/>
        <v>0</v>
      </c>
      <c r="R817" s="1438">
        <f t="shared" si="816"/>
        <v>0</v>
      </c>
      <c r="S817" s="1438">
        <f t="shared" si="816"/>
        <v>0</v>
      </c>
      <c r="T817" s="1438">
        <f t="shared" si="816"/>
        <v>0</v>
      </c>
      <c r="U817" s="1438">
        <f t="shared" si="816"/>
        <v>0</v>
      </c>
      <c r="V817" s="1438">
        <f t="shared" si="816"/>
        <v>0</v>
      </c>
      <c r="W817" s="1438">
        <f t="shared" si="816"/>
        <v>0</v>
      </c>
      <c r="X817" s="1438">
        <f t="shared" si="816"/>
        <v>0</v>
      </c>
      <c r="Y817" s="1438">
        <f t="shared" si="816"/>
        <v>0</v>
      </c>
      <c r="Z817" s="1438">
        <f t="shared" si="816"/>
        <v>0</v>
      </c>
      <c r="AA817" s="1438">
        <f t="shared" si="816"/>
        <v>0</v>
      </c>
      <c r="AB817" s="1438">
        <f t="shared" si="816"/>
        <v>0</v>
      </c>
      <c r="AC817" s="1438">
        <f t="shared" si="816"/>
        <v>0</v>
      </c>
      <c r="AD817" s="1438">
        <f t="shared" si="816"/>
        <v>0</v>
      </c>
      <c r="AE817" s="1438">
        <f t="shared" si="816"/>
        <v>0</v>
      </c>
      <c r="AF817" s="1438">
        <f t="shared" si="816"/>
        <v>0</v>
      </c>
      <c r="AG817" s="1438">
        <f t="shared" si="816"/>
        <v>0</v>
      </c>
      <c r="AH817" s="1438">
        <f t="shared" si="816"/>
        <v>0</v>
      </c>
      <c r="AI817" s="1438">
        <f>AI819+AI824+AI826+AI827+AI828+AI829+AI830+AI831+AI832+AI833</f>
        <v>0</v>
      </c>
      <c r="AJ817" s="1438">
        <f>AJ819+AJ824+AJ826+AJ827+AJ828+AJ829+AJ830+AJ831+AJ832+AJ833</f>
        <v>0</v>
      </c>
      <c r="AL817" s="561"/>
      <c r="AM817" s="1526"/>
      <c r="AN817" s="1526"/>
      <c r="AO817" s="1526"/>
      <c r="AP817" s="1526"/>
      <c r="AQ817" s="1526"/>
      <c r="AR817" s="1526"/>
      <c r="AS817" s="1526"/>
      <c r="AT817" s="1526"/>
      <c r="AU817" s="1526"/>
      <c r="AV817" s="1526"/>
      <c r="AW817" s="1526"/>
      <c r="AX817" s="1526"/>
      <c r="AY817" s="1526"/>
      <c r="AZ817" s="1526"/>
      <c r="BA817" s="1526"/>
      <c r="BB817" s="1526"/>
      <c r="BC817" s="1526"/>
      <c r="BD817" s="1526"/>
      <c r="BE817" s="1526"/>
      <c r="BF817" s="1526"/>
      <c r="BG817" s="1526"/>
      <c r="BH817" s="1526"/>
    </row>
    <row r="818" spans="1:60" s="1525" customFormat="1">
      <c r="A818" s="1375"/>
      <c r="B818" s="1533" t="s">
        <v>2512</v>
      </c>
      <c r="C818" s="1440"/>
      <c r="D818" s="1440"/>
      <c r="E818" s="1440"/>
      <c r="F818" s="1440"/>
      <c r="G818" s="1553"/>
      <c r="H818" s="1440"/>
      <c r="I818" s="1553"/>
      <c r="J818" s="1440"/>
      <c r="K818" s="1440"/>
      <c r="L818" s="1440"/>
      <c r="M818" s="1440"/>
      <c r="N818" s="1440"/>
      <c r="O818" s="1440"/>
      <c r="P818" s="1440"/>
      <c r="Q818" s="1440"/>
      <c r="R818" s="1440"/>
      <c r="S818" s="1440"/>
      <c r="T818" s="1553"/>
      <c r="U818" s="1554"/>
      <c r="V818" s="1554"/>
      <c r="W818" s="1554"/>
      <c r="X818" s="1554"/>
      <c r="Y818" s="1554"/>
      <c r="Z818" s="1554"/>
      <c r="AA818" s="1554"/>
      <c r="AB818" s="1554"/>
      <c r="AC818" s="1554"/>
      <c r="AD818" s="1554"/>
      <c r="AE818" s="1554"/>
      <c r="AF818" s="1554"/>
      <c r="AG818" s="1554"/>
      <c r="AH818" s="1554"/>
      <c r="AI818" s="1554"/>
      <c r="AJ818" s="1554"/>
      <c r="AL818" s="561"/>
      <c r="AM818" s="1526"/>
      <c r="AN818" s="1526"/>
      <c r="AO818" s="1526"/>
      <c r="AP818" s="1526"/>
      <c r="AQ818" s="1526"/>
      <c r="AR818" s="1526"/>
      <c r="AS818" s="1526"/>
      <c r="AT818" s="1526"/>
      <c r="AU818" s="1526"/>
      <c r="AV818" s="1526"/>
      <c r="AW818" s="1526"/>
      <c r="AX818" s="1526"/>
      <c r="AY818" s="1526"/>
      <c r="AZ818" s="1526"/>
      <c r="BA818" s="1526"/>
      <c r="BB818" s="1526"/>
      <c r="BC818" s="1526"/>
      <c r="BD818" s="1526"/>
      <c r="BE818" s="1526"/>
      <c r="BF818" s="1526"/>
      <c r="BG818" s="1526"/>
      <c r="BH818" s="1526"/>
    </row>
    <row r="819" spans="1:60" s="1525" customFormat="1">
      <c r="A819" s="1375">
        <v>1</v>
      </c>
      <c r="B819" s="1534" t="s">
        <v>2489</v>
      </c>
      <c r="C819" s="1365">
        <f>C820+C822</f>
        <v>0</v>
      </c>
      <c r="D819" s="1365">
        <f t="shared" ref="D819:AJ819" si="817">D820+D822</f>
        <v>0</v>
      </c>
      <c r="E819" s="1365">
        <f t="shared" si="817"/>
        <v>0</v>
      </c>
      <c r="F819" s="1365">
        <f t="shared" si="817"/>
        <v>0</v>
      </c>
      <c r="G819" s="1555">
        <f t="shared" si="817"/>
        <v>0</v>
      </c>
      <c r="H819" s="1365">
        <f t="shared" si="817"/>
        <v>0</v>
      </c>
      <c r="I819" s="1555">
        <f t="shared" si="817"/>
        <v>0</v>
      </c>
      <c r="J819" s="1365">
        <f t="shared" si="817"/>
        <v>0</v>
      </c>
      <c r="K819" s="1365">
        <f t="shared" si="817"/>
        <v>0</v>
      </c>
      <c r="L819" s="1365">
        <f t="shared" si="817"/>
        <v>0</v>
      </c>
      <c r="M819" s="1365">
        <f t="shared" si="817"/>
        <v>0</v>
      </c>
      <c r="N819" s="1365">
        <f t="shared" si="817"/>
        <v>0</v>
      </c>
      <c r="O819" s="1365">
        <f t="shared" si="817"/>
        <v>0</v>
      </c>
      <c r="P819" s="1365">
        <f t="shared" si="817"/>
        <v>0</v>
      </c>
      <c r="Q819" s="1365">
        <f t="shared" si="817"/>
        <v>0</v>
      </c>
      <c r="R819" s="1365">
        <f t="shared" si="817"/>
        <v>0</v>
      </c>
      <c r="S819" s="1365">
        <f t="shared" si="817"/>
        <v>0</v>
      </c>
      <c r="T819" s="1555">
        <f t="shared" si="817"/>
        <v>0</v>
      </c>
      <c r="U819" s="1556">
        <f t="shared" si="817"/>
        <v>0</v>
      </c>
      <c r="V819" s="1556">
        <f t="shared" si="817"/>
        <v>0</v>
      </c>
      <c r="W819" s="1556">
        <f t="shared" si="817"/>
        <v>0</v>
      </c>
      <c r="X819" s="1556">
        <f t="shared" si="817"/>
        <v>0</v>
      </c>
      <c r="Y819" s="1556">
        <f t="shared" si="817"/>
        <v>0</v>
      </c>
      <c r="Z819" s="1556">
        <f t="shared" si="817"/>
        <v>0</v>
      </c>
      <c r="AA819" s="1556">
        <f t="shared" si="817"/>
        <v>0</v>
      </c>
      <c r="AB819" s="1556">
        <f t="shared" si="817"/>
        <v>0</v>
      </c>
      <c r="AC819" s="1556">
        <f t="shared" si="817"/>
        <v>0</v>
      </c>
      <c r="AD819" s="1556">
        <f t="shared" si="817"/>
        <v>0</v>
      </c>
      <c r="AE819" s="1556">
        <f t="shared" si="817"/>
        <v>0</v>
      </c>
      <c r="AF819" s="1556">
        <f t="shared" si="817"/>
        <v>0</v>
      </c>
      <c r="AG819" s="1556">
        <f t="shared" si="817"/>
        <v>0</v>
      </c>
      <c r="AH819" s="1556">
        <f t="shared" si="817"/>
        <v>0</v>
      </c>
      <c r="AI819" s="1556">
        <f t="shared" si="817"/>
        <v>0</v>
      </c>
      <c r="AJ819" s="1556">
        <f t="shared" si="817"/>
        <v>0</v>
      </c>
      <c r="AL819" s="561"/>
      <c r="AM819" s="1526"/>
      <c r="AN819" s="1526"/>
      <c r="AO819" s="1526"/>
      <c r="AP819" s="1526"/>
      <c r="AQ819" s="1526"/>
      <c r="AR819" s="1526"/>
      <c r="AS819" s="1526"/>
      <c r="AT819" s="1526"/>
      <c r="AU819" s="1526"/>
      <c r="AV819" s="1526"/>
      <c r="AW819" s="1526"/>
      <c r="AX819" s="1526"/>
      <c r="AY819" s="1526"/>
      <c r="AZ819" s="1526"/>
      <c r="BA819" s="1526"/>
      <c r="BB819" s="1526"/>
      <c r="BC819" s="1526"/>
      <c r="BD819" s="1526"/>
      <c r="BE819" s="1526"/>
      <c r="BF819" s="1526"/>
      <c r="BG819" s="1526"/>
      <c r="BH819" s="1526"/>
    </row>
    <row r="820" spans="1:60" s="1525" customFormat="1">
      <c r="A820" s="1375"/>
      <c r="B820" s="1449" t="s">
        <v>2490</v>
      </c>
      <c r="C820" s="1365"/>
      <c r="D820" s="1365"/>
      <c r="E820" s="1365"/>
      <c r="F820" s="1365"/>
      <c r="G820" s="1553">
        <f t="shared" ref="G820" si="818">H820+I820+T820</f>
        <v>0</v>
      </c>
      <c r="H820" s="1365"/>
      <c r="I820" s="1553">
        <f>SUM(J820:S820)</f>
        <v>0</v>
      </c>
      <c r="J820" s="1365"/>
      <c r="K820" s="1365"/>
      <c r="L820" s="1365"/>
      <c r="M820" s="1365"/>
      <c r="N820" s="1365"/>
      <c r="O820" s="1365"/>
      <c r="P820" s="1365"/>
      <c r="Q820" s="1365"/>
      <c r="R820" s="1365"/>
      <c r="S820" s="1365"/>
      <c r="T820" s="1555">
        <f t="shared" ref="T820:T832" si="819">(H820+K820+L820+R820)*23.5%</f>
        <v>0</v>
      </c>
      <c r="U820" s="1554">
        <f t="shared" ref="U820:U832" si="820">V820+W820+AH820</f>
        <v>0</v>
      </c>
      <c r="V820" s="1554">
        <f>(H820/1.39)*1.49</f>
        <v>0</v>
      </c>
      <c r="W820" s="1554">
        <f t="shared" ref="W820:W837" si="821">SUM(X820:AG820)</f>
        <v>0</v>
      </c>
      <c r="X820" s="1554">
        <f>(J820/1.39)*1.49</f>
        <v>0</v>
      </c>
      <c r="Y820" s="1554">
        <f>(K820/1.39)*1.49</f>
        <v>0</v>
      </c>
      <c r="Z820" s="1554">
        <f>(L820/1.39)*1.49</f>
        <v>0</v>
      </c>
      <c r="AA820" s="1554">
        <f>(M820/1.39)*1.49</f>
        <v>0</v>
      </c>
      <c r="AB820" s="1554">
        <f t="shared" ref="AB820:AG837" si="822">(N820/1.39)*1.49</f>
        <v>0</v>
      </c>
      <c r="AC820" s="1554">
        <f t="shared" si="822"/>
        <v>0</v>
      </c>
      <c r="AD820" s="1554">
        <f t="shared" si="822"/>
        <v>0</v>
      </c>
      <c r="AE820" s="1554">
        <f t="shared" si="822"/>
        <v>0</v>
      </c>
      <c r="AF820" s="1554">
        <f t="shared" si="822"/>
        <v>0</v>
      </c>
      <c r="AG820" s="1554">
        <f t="shared" si="822"/>
        <v>0</v>
      </c>
      <c r="AH820" s="1554">
        <f>(V820+Y820+Z820+AF820)*23.5%</f>
        <v>0</v>
      </c>
      <c r="AI820" s="1556">
        <f t="shared" ref="AI820:AI832" si="823">U820-G820</f>
        <v>0</v>
      </c>
      <c r="AJ820" s="1556">
        <f t="shared" ref="AJ820:AJ832" si="824">AI820*6</f>
        <v>0</v>
      </c>
      <c r="AL820" s="561"/>
      <c r="AM820" s="1526"/>
      <c r="AN820" s="1526"/>
      <c r="AO820" s="1526"/>
      <c r="AP820" s="1526"/>
      <c r="AQ820" s="1526"/>
      <c r="AR820" s="1526"/>
      <c r="AS820" s="1526"/>
      <c r="AT820" s="1526"/>
      <c r="AU820" s="1526"/>
      <c r="AV820" s="1526"/>
      <c r="AW820" s="1526"/>
      <c r="AX820" s="1526"/>
      <c r="AY820" s="1526"/>
      <c r="AZ820" s="1526"/>
      <c r="BA820" s="1526"/>
      <c r="BB820" s="1526"/>
      <c r="BC820" s="1526"/>
      <c r="BD820" s="1526"/>
      <c r="BE820" s="1526"/>
      <c r="BF820" s="1526"/>
      <c r="BG820" s="1526"/>
      <c r="BH820" s="1526"/>
    </row>
    <row r="821" spans="1:60" s="1525" customFormat="1">
      <c r="A821" s="1456"/>
      <c r="B821" s="1535" t="s">
        <v>2529</v>
      </c>
      <c r="C821" s="1365"/>
      <c r="D821" s="1365"/>
      <c r="E821" s="1365"/>
      <c r="F821" s="1365"/>
      <c r="G821" s="1555"/>
      <c r="H821" s="1365"/>
      <c r="I821" s="1555"/>
      <c r="J821" s="1365"/>
      <c r="K821" s="1365"/>
      <c r="L821" s="1365"/>
      <c r="M821" s="1365"/>
      <c r="N821" s="1365"/>
      <c r="O821" s="1365"/>
      <c r="P821" s="1365"/>
      <c r="Q821" s="1365"/>
      <c r="R821" s="1365"/>
      <c r="S821" s="1365"/>
      <c r="T821" s="1555">
        <f t="shared" si="819"/>
        <v>0</v>
      </c>
      <c r="U821" s="1554">
        <f t="shared" si="820"/>
        <v>0</v>
      </c>
      <c r="V821" s="1554">
        <f t="shared" ref="V821:V836" si="825">(H821/1.39)*1.49</f>
        <v>0</v>
      </c>
      <c r="W821" s="1554">
        <f t="shared" si="821"/>
        <v>0</v>
      </c>
      <c r="X821" s="1554">
        <f t="shared" ref="X821:AA836" si="826">(J821/1.39)*1.49</f>
        <v>0</v>
      </c>
      <c r="Y821" s="1554">
        <f t="shared" si="826"/>
        <v>0</v>
      </c>
      <c r="Z821" s="1554">
        <f t="shared" si="826"/>
        <v>0</v>
      </c>
      <c r="AA821" s="1554">
        <f t="shared" si="826"/>
        <v>0</v>
      </c>
      <c r="AB821" s="1554">
        <f t="shared" si="822"/>
        <v>0</v>
      </c>
      <c r="AC821" s="1554">
        <f t="shared" si="822"/>
        <v>0</v>
      </c>
      <c r="AD821" s="1554">
        <f t="shared" si="822"/>
        <v>0</v>
      </c>
      <c r="AE821" s="1554">
        <f t="shared" si="822"/>
        <v>0</v>
      </c>
      <c r="AF821" s="1554">
        <f t="shared" si="822"/>
        <v>0</v>
      </c>
      <c r="AG821" s="1554">
        <f t="shared" si="822"/>
        <v>0</v>
      </c>
      <c r="AH821" s="1554">
        <f t="shared" ref="AH821:AH832" si="827">(V821+Y821+Z821+AF821)*23.5%</f>
        <v>0</v>
      </c>
      <c r="AI821" s="1556">
        <f t="shared" si="823"/>
        <v>0</v>
      </c>
      <c r="AJ821" s="1556">
        <f t="shared" si="824"/>
        <v>0</v>
      </c>
      <c r="AL821" s="561"/>
      <c r="AM821" s="1526"/>
      <c r="AN821" s="1526"/>
      <c r="AO821" s="1526"/>
      <c r="AP821" s="1526"/>
      <c r="AQ821" s="1526"/>
      <c r="AR821" s="1526"/>
      <c r="AS821" s="1526"/>
      <c r="AT821" s="1526"/>
      <c r="AU821" s="1526"/>
      <c r="AV821" s="1526"/>
      <c r="AW821" s="1526"/>
      <c r="AX821" s="1526"/>
      <c r="AY821" s="1526"/>
      <c r="AZ821" s="1526"/>
      <c r="BA821" s="1526"/>
      <c r="BB821" s="1526"/>
      <c r="BC821" s="1526"/>
      <c r="BD821" s="1526"/>
      <c r="BE821" s="1526"/>
      <c r="BF821" s="1526"/>
      <c r="BG821" s="1526"/>
      <c r="BH821" s="1526"/>
    </row>
    <row r="822" spans="1:60" s="1525" customFormat="1">
      <c r="A822" s="1456"/>
      <c r="B822" s="1449" t="s">
        <v>2491</v>
      </c>
      <c r="C822" s="1365"/>
      <c r="D822" s="1365"/>
      <c r="E822" s="1365"/>
      <c r="F822" s="1365"/>
      <c r="G822" s="1553">
        <f t="shared" ref="G822" si="828">H822+I822+T822</f>
        <v>0</v>
      </c>
      <c r="H822" s="1365"/>
      <c r="I822" s="1553">
        <f>SUM(J822:S822)</f>
        <v>0</v>
      </c>
      <c r="J822" s="1365"/>
      <c r="K822" s="1365"/>
      <c r="L822" s="1365"/>
      <c r="M822" s="1365"/>
      <c r="N822" s="1365"/>
      <c r="O822" s="1365"/>
      <c r="P822" s="1365"/>
      <c r="Q822" s="1365"/>
      <c r="R822" s="1365"/>
      <c r="S822" s="1365"/>
      <c r="T822" s="1555">
        <f t="shared" si="819"/>
        <v>0</v>
      </c>
      <c r="U822" s="1554">
        <f t="shared" si="820"/>
        <v>0</v>
      </c>
      <c r="V822" s="1554">
        <f t="shared" si="825"/>
        <v>0</v>
      </c>
      <c r="W822" s="1554">
        <f t="shared" si="821"/>
        <v>0</v>
      </c>
      <c r="X822" s="1554">
        <f t="shared" si="826"/>
        <v>0</v>
      </c>
      <c r="Y822" s="1554">
        <f t="shared" si="826"/>
        <v>0</v>
      </c>
      <c r="Z822" s="1554">
        <f t="shared" si="826"/>
        <v>0</v>
      </c>
      <c r="AA822" s="1554">
        <f t="shared" si="826"/>
        <v>0</v>
      </c>
      <c r="AB822" s="1554">
        <f t="shared" si="822"/>
        <v>0</v>
      </c>
      <c r="AC822" s="1554">
        <f t="shared" si="822"/>
        <v>0</v>
      </c>
      <c r="AD822" s="1554">
        <f t="shared" si="822"/>
        <v>0</v>
      </c>
      <c r="AE822" s="1554">
        <f t="shared" si="822"/>
        <v>0</v>
      </c>
      <c r="AF822" s="1554">
        <f t="shared" si="822"/>
        <v>0</v>
      </c>
      <c r="AG822" s="1554">
        <f t="shared" si="822"/>
        <v>0</v>
      </c>
      <c r="AH822" s="1554">
        <f t="shared" si="827"/>
        <v>0</v>
      </c>
      <c r="AI822" s="1556">
        <f t="shared" si="823"/>
        <v>0</v>
      </c>
      <c r="AJ822" s="1556">
        <f t="shared" si="824"/>
        <v>0</v>
      </c>
      <c r="AL822" s="561"/>
      <c r="AM822" s="1526"/>
      <c r="AN822" s="1526"/>
      <c r="AO822" s="1526"/>
      <c r="AP822" s="1526"/>
      <c r="AQ822" s="1526"/>
      <c r="AR822" s="1526"/>
      <c r="AS822" s="1526"/>
      <c r="AT822" s="1526"/>
      <c r="AU822" s="1526"/>
      <c r="AV822" s="1526"/>
      <c r="AW822" s="1526"/>
      <c r="AX822" s="1526"/>
      <c r="AY822" s="1526"/>
      <c r="AZ822" s="1526"/>
      <c r="BA822" s="1526"/>
      <c r="BB822" s="1526"/>
      <c r="BC822" s="1526"/>
      <c r="BD822" s="1526"/>
      <c r="BE822" s="1526"/>
      <c r="BF822" s="1526"/>
      <c r="BG822" s="1526"/>
      <c r="BH822" s="1526"/>
    </row>
    <row r="823" spans="1:60" s="1525" customFormat="1">
      <c r="A823" s="1456"/>
      <c r="B823" s="1535" t="s">
        <v>2529</v>
      </c>
      <c r="C823" s="1365"/>
      <c r="D823" s="1365"/>
      <c r="E823" s="1365"/>
      <c r="F823" s="1365"/>
      <c r="G823" s="1555"/>
      <c r="H823" s="1365"/>
      <c r="I823" s="1555"/>
      <c r="J823" s="1365"/>
      <c r="K823" s="1365"/>
      <c r="L823" s="1365"/>
      <c r="M823" s="1365"/>
      <c r="N823" s="1365"/>
      <c r="O823" s="1365"/>
      <c r="P823" s="1365"/>
      <c r="Q823" s="1365"/>
      <c r="R823" s="1365"/>
      <c r="S823" s="1365"/>
      <c r="T823" s="1555">
        <f t="shared" si="819"/>
        <v>0</v>
      </c>
      <c r="U823" s="1554">
        <f t="shared" si="820"/>
        <v>0</v>
      </c>
      <c r="V823" s="1554">
        <f t="shared" si="825"/>
        <v>0</v>
      </c>
      <c r="W823" s="1554">
        <f t="shared" si="821"/>
        <v>0</v>
      </c>
      <c r="X823" s="1554">
        <f t="shared" si="826"/>
        <v>0</v>
      </c>
      <c r="Y823" s="1554">
        <f t="shared" si="826"/>
        <v>0</v>
      </c>
      <c r="Z823" s="1554">
        <f t="shared" si="826"/>
        <v>0</v>
      </c>
      <c r="AA823" s="1554">
        <f t="shared" si="826"/>
        <v>0</v>
      </c>
      <c r="AB823" s="1554">
        <f t="shared" si="822"/>
        <v>0</v>
      </c>
      <c r="AC823" s="1554">
        <f t="shared" si="822"/>
        <v>0</v>
      </c>
      <c r="AD823" s="1554">
        <f t="shared" si="822"/>
        <v>0</v>
      </c>
      <c r="AE823" s="1554">
        <f t="shared" si="822"/>
        <v>0</v>
      </c>
      <c r="AF823" s="1554">
        <f t="shared" si="822"/>
        <v>0</v>
      </c>
      <c r="AG823" s="1554">
        <f t="shared" si="822"/>
        <v>0</v>
      </c>
      <c r="AH823" s="1554">
        <f t="shared" si="827"/>
        <v>0</v>
      </c>
      <c r="AI823" s="1556">
        <f t="shared" si="823"/>
        <v>0</v>
      </c>
      <c r="AJ823" s="1556">
        <f t="shared" si="824"/>
        <v>0</v>
      </c>
      <c r="AL823" s="561"/>
      <c r="AM823" s="1526"/>
      <c r="AN823" s="1526"/>
      <c r="AO823" s="1526"/>
      <c r="AP823" s="1526"/>
      <c r="AQ823" s="1526"/>
      <c r="AR823" s="1526"/>
      <c r="AS823" s="1526"/>
      <c r="AT823" s="1526"/>
      <c r="AU823" s="1526"/>
      <c r="AV823" s="1526"/>
      <c r="AW823" s="1526"/>
      <c r="AX823" s="1526"/>
      <c r="AY823" s="1526"/>
      <c r="AZ823" s="1526"/>
      <c r="BA823" s="1526"/>
      <c r="BB823" s="1526"/>
      <c r="BC823" s="1526"/>
      <c r="BD823" s="1526"/>
      <c r="BE823" s="1526"/>
      <c r="BF823" s="1526"/>
      <c r="BG823" s="1526"/>
      <c r="BH823" s="1526"/>
    </row>
    <row r="824" spans="1:60" s="1525" customFormat="1">
      <c r="A824" s="1375">
        <v>2</v>
      </c>
      <c r="B824" s="1534" t="s">
        <v>2237</v>
      </c>
      <c r="C824" s="1365"/>
      <c r="D824" s="1365"/>
      <c r="E824" s="1365"/>
      <c r="F824" s="1365"/>
      <c r="G824" s="1553">
        <f t="shared" ref="G824" si="829">H824+I824+T824</f>
        <v>0</v>
      </c>
      <c r="H824" s="1365"/>
      <c r="I824" s="1553">
        <f>SUM(J824:S824)</f>
        <v>0</v>
      </c>
      <c r="J824" s="1365"/>
      <c r="K824" s="1365"/>
      <c r="L824" s="1365"/>
      <c r="M824" s="1365"/>
      <c r="N824" s="1365"/>
      <c r="O824" s="1365"/>
      <c r="P824" s="1365"/>
      <c r="Q824" s="1365"/>
      <c r="R824" s="1365"/>
      <c r="S824" s="1365"/>
      <c r="T824" s="1555">
        <f t="shared" si="819"/>
        <v>0</v>
      </c>
      <c r="U824" s="1554">
        <f t="shared" si="820"/>
        <v>0</v>
      </c>
      <c r="V824" s="1554">
        <f t="shared" si="825"/>
        <v>0</v>
      </c>
      <c r="W824" s="1554">
        <f t="shared" si="821"/>
        <v>0</v>
      </c>
      <c r="X824" s="1554">
        <f t="shared" si="826"/>
        <v>0</v>
      </c>
      <c r="Y824" s="1554">
        <f t="shared" si="826"/>
        <v>0</v>
      </c>
      <c r="Z824" s="1554">
        <f t="shared" si="826"/>
        <v>0</v>
      </c>
      <c r="AA824" s="1554">
        <f t="shared" si="826"/>
        <v>0</v>
      </c>
      <c r="AB824" s="1554">
        <f t="shared" si="822"/>
        <v>0</v>
      </c>
      <c r="AC824" s="1554">
        <f t="shared" si="822"/>
        <v>0</v>
      </c>
      <c r="AD824" s="1554">
        <f t="shared" si="822"/>
        <v>0</v>
      </c>
      <c r="AE824" s="1554">
        <f t="shared" si="822"/>
        <v>0</v>
      </c>
      <c r="AF824" s="1554">
        <f t="shared" si="822"/>
        <v>0</v>
      </c>
      <c r="AG824" s="1554">
        <f t="shared" si="822"/>
        <v>0</v>
      </c>
      <c r="AH824" s="1554">
        <f t="shared" si="827"/>
        <v>0</v>
      </c>
      <c r="AI824" s="1556">
        <f t="shared" si="823"/>
        <v>0</v>
      </c>
      <c r="AJ824" s="1556">
        <f t="shared" si="824"/>
        <v>0</v>
      </c>
      <c r="AL824" s="561"/>
      <c r="AM824" s="1526"/>
      <c r="AN824" s="1526"/>
      <c r="AO824" s="1526"/>
      <c r="AP824" s="1526"/>
      <c r="AQ824" s="1526"/>
      <c r="AR824" s="1526"/>
      <c r="AS824" s="1526"/>
      <c r="AT824" s="1526"/>
      <c r="AU824" s="1526"/>
      <c r="AV824" s="1526"/>
      <c r="AW824" s="1526"/>
      <c r="AX824" s="1526"/>
      <c r="AY824" s="1526"/>
      <c r="AZ824" s="1526"/>
      <c r="BA824" s="1526"/>
      <c r="BB824" s="1526"/>
      <c r="BC824" s="1526"/>
      <c r="BD824" s="1526"/>
      <c r="BE824" s="1526"/>
      <c r="BF824" s="1526"/>
      <c r="BG824" s="1526"/>
      <c r="BH824" s="1526"/>
    </row>
    <row r="825" spans="1:60" s="1525" customFormat="1">
      <c r="A825" s="1456"/>
      <c r="B825" s="1535" t="s">
        <v>2529</v>
      </c>
      <c r="C825" s="1365"/>
      <c r="D825" s="1365"/>
      <c r="E825" s="1365"/>
      <c r="F825" s="1365"/>
      <c r="G825" s="1555"/>
      <c r="H825" s="1365"/>
      <c r="I825" s="1555"/>
      <c r="J825" s="1365"/>
      <c r="K825" s="1365"/>
      <c r="L825" s="1365"/>
      <c r="M825" s="1365"/>
      <c r="N825" s="1365"/>
      <c r="O825" s="1365"/>
      <c r="P825" s="1365"/>
      <c r="Q825" s="1365"/>
      <c r="R825" s="1365"/>
      <c r="S825" s="1365"/>
      <c r="T825" s="1555">
        <f t="shared" si="819"/>
        <v>0</v>
      </c>
      <c r="U825" s="1554">
        <f t="shared" si="820"/>
        <v>0</v>
      </c>
      <c r="V825" s="1554">
        <f t="shared" si="825"/>
        <v>0</v>
      </c>
      <c r="W825" s="1554">
        <f t="shared" si="821"/>
        <v>0</v>
      </c>
      <c r="X825" s="1554">
        <f t="shared" si="826"/>
        <v>0</v>
      </c>
      <c r="Y825" s="1554">
        <f t="shared" si="826"/>
        <v>0</v>
      </c>
      <c r="Z825" s="1554">
        <f t="shared" si="826"/>
        <v>0</v>
      </c>
      <c r="AA825" s="1554">
        <f t="shared" si="826"/>
        <v>0</v>
      </c>
      <c r="AB825" s="1554">
        <f t="shared" si="822"/>
        <v>0</v>
      </c>
      <c r="AC825" s="1554" t="s">
        <v>2530</v>
      </c>
      <c r="AD825" s="1554">
        <f t="shared" si="822"/>
        <v>0</v>
      </c>
      <c r="AE825" s="1554">
        <f t="shared" si="822"/>
        <v>0</v>
      </c>
      <c r="AF825" s="1554">
        <f t="shared" si="822"/>
        <v>0</v>
      </c>
      <c r="AG825" s="1554">
        <f t="shared" si="822"/>
        <v>0</v>
      </c>
      <c r="AH825" s="1554">
        <f t="shared" si="827"/>
        <v>0</v>
      </c>
      <c r="AI825" s="1556">
        <f t="shared" si="823"/>
        <v>0</v>
      </c>
      <c r="AJ825" s="1556">
        <f t="shared" si="824"/>
        <v>0</v>
      </c>
      <c r="AL825" s="561"/>
      <c r="AM825" s="1526"/>
      <c r="AN825" s="1526"/>
      <c r="AO825" s="1526"/>
      <c r="AP825" s="1526"/>
      <c r="AQ825" s="1526"/>
      <c r="AR825" s="1526"/>
      <c r="AS825" s="1526"/>
      <c r="AT825" s="1526"/>
      <c r="AU825" s="1526"/>
      <c r="AV825" s="1526"/>
      <c r="AW825" s="1526"/>
      <c r="AX825" s="1526"/>
      <c r="AY825" s="1526"/>
      <c r="AZ825" s="1526"/>
      <c r="BA825" s="1526"/>
      <c r="BB825" s="1526"/>
      <c r="BC825" s="1526"/>
      <c r="BD825" s="1526"/>
      <c r="BE825" s="1526"/>
      <c r="BF825" s="1526"/>
      <c r="BG825" s="1526"/>
      <c r="BH825" s="1526"/>
    </row>
    <row r="826" spans="1:60" s="1525" customFormat="1">
      <c r="A826" s="1375">
        <v>3</v>
      </c>
      <c r="B826" s="1534" t="s">
        <v>2531</v>
      </c>
      <c r="C826" s="1365"/>
      <c r="D826" s="1365"/>
      <c r="E826" s="1365"/>
      <c r="F826" s="1365"/>
      <c r="G826" s="1553">
        <f t="shared" ref="G826:G832" si="830">H826+I826+T826</f>
        <v>0</v>
      </c>
      <c r="H826" s="1365"/>
      <c r="I826" s="1553">
        <f t="shared" ref="I826:I832" si="831">SUM(J826:S826)</f>
        <v>0</v>
      </c>
      <c r="J826" s="1365"/>
      <c r="K826" s="1365"/>
      <c r="L826" s="1365"/>
      <c r="M826" s="1365"/>
      <c r="N826" s="1365"/>
      <c r="O826" s="1365"/>
      <c r="P826" s="1365"/>
      <c r="Q826" s="1365"/>
      <c r="R826" s="1365"/>
      <c r="S826" s="1365"/>
      <c r="T826" s="1555">
        <f t="shared" si="819"/>
        <v>0</v>
      </c>
      <c r="U826" s="1554">
        <f t="shared" si="820"/>
        <v>0</v>
      </c>
      <c r="V826" s="1554">
        <f t="shared" si="825"/>
        <v>0</v>
      </c>
      <c r="W826" s="1554">
        <f t="shared" si="821"/>
        <v>0</v>
      </c>
      <c r="X826" s="1554">
        <f t="shared" si="826"/>
        <v>0</v>
      </c>
      <c r="Y826" s="1554">
        <f t="shared" si="826"/>
        <v>0</v>
      </c>
      <c r="Z826" s="1554">
        <f t="shared" si="826"/>
        <v>0</v>
      </c>
      <c r="AA826" s="1554">
        <f t="shared" si="826"/>
        <v>0</v>
      </c>
      <c r="AB826" s="1554">
        <f t="shared" si="822"/>
        <v>0</v>
      </c>
      <c r="AC826" s="1554">
        <f t="shared" si="822"/>
        <v>0</v>
      </c>
      <c r="AD826" s="1554">
        <f t="shared" si="822"/>
        <v>0</v>
      </c>
      <c r="AE826" s="1554">
        <f t="shared" si="822"/>
        <v>0</v>
      </c>
      <c r="AF826" s="1554">
        <f t="shared" si="822"/>
        <v>0</v>
      </c>
      <c r="AG826" s="1554">
        <f t="shared" si="822"/>
        <v>0</v>
      </c>
      <c r="AH826" s="1554">
        <f t="shared" si="827"/>
        <v>0</v>
      </c>
      <c r="AI826" s="1556">
        <f t="shared" si="823"/>
        <v>0</v>
      </c>
      <c r="AJ826" s="1556">
        <f t="shared" si="824"/>
        <v>0</v>
      </c>
      <c r="AL826" s="561"/>
      <c r="AM826" s="1526"/>
      <c r="AN826" s="1526"/>
      <c r="AO826" s="1526"/>
      <c r="AP826" s="1526"/>
      <c r="AQ826" s="1526"/>
      <c r="AR826" s="1526"/>
      <c r="AS826" s="1526"/>
      <c r="AT826" s="1526"/>
      <c r="AU826" s="1526"/>
      <c r="AV826" s="1526"/>
      <c r="AW826" s="1526"/>
      <c r="AX826" s="1526"/>
      <c r="AY826" s="1526"/>
      <c r="AZ826" s="1526"/>
      <c r="BA826" s="1526"/>
      <c r="BB826" s="1526"/>
      <c r="BC826" s="1526"/>
      <c r="BD826" s="1526"/>
      <c r="BE826" s="1526"/>
      <c r="BF826" s="1526"/>
      <c r="BG826" s="1526"/>
      <c r="BH826" s="1526"/>
    </row>
    <row r="827" spans="1:60" s="1525" customFormat="1">
      <c r="A827" s="1375">
        <v>4</v>
      </c>
      <c r="B827" s="1534" t="s">
        <v>2532</v>
      </c>
      <c r="C827" s="1365"/>
      <c r="D827" s="1365"/>
      <c r="E827" s="1365"/>
      <c r="F827" s="1365"/>
      <c r="G827" s="1553">
        <f t="shared" si="830"/>
        <v>0</v>
      </c>
      <c r="H827" s="1365"/>
      <c r="I827" s="1553">
        <f t="shared" si="831"/>
        <v>0</v>
      </c>
      <c r="J827" s="1365"/>
      <c r="K827" s="1365"/>
      <c r="L827" s="1365"/>
      <c r="M827" s="1365"/>
      <c r="N827" s="1365"/>
      <c r="O827" s="1365"/>
      <c r="P827" s="1365"/>
      <c r="Q827" s="1365"/>
      <c r="R827" s="1365"/>
      <c r="S827" s="1365"/>
      <c r="T827" s="1555">
        <f t="shared" si="819"/>
        <v>0</v>
      </c>
      <c r="U827" s="1554">
        <f t="shared" si="820"/>
        <v>0</v>
      </c>
      <c r="V827" s="1554">
        <f t="shared" si="825"/>
        <v>0</v>
      </c>
      <c r="W827" s="1554">
        <f t="shared" si="821"/>
        <v>0</v>
      </c>
      <c r="X827" s="1554">
        <f t="shared" si="826"/>
        <v>0</v>
      </c>
      <c r="Y827" s="1554">
        <f t="shared" si="826"/>
        <v>0</v>
      </c>
      <c r="Z827" s="1554">
        <f t="shared" si="826"/>
        <v>0</v>
      </c>
      <c r="AA827" s="1554">
        <f t="shared" si="826"/>
        <v>0</v>
      </c>
      <c r="AB827" s="1554">
        <f t="shared" si="822"/>
        <v>0</v>
      </c>
      <c r="AC827" s="1554">
        <f t="shared" si="822"/>
        <v>0</v>
      </c>
      <c r="AD827" s="1554">
        <f t="shared" si="822"/>
        <v>0</v>
      </c>
      <c r="AE827" s="1554">
        <f t="shared" si="822"/>
        <v>0</v>
      </c>
      <c r="AF827" s="1554">
        <f t="shared" si="822"/>
        <v>0</v>
      </c>
      <c r="AG827" s="1554">
        <f t="shared" si="822"/>
        <v>0</v>
      </c>
      <c r="AH827" s="1554">
        <f t="shared" si="827"/>
        <v>0</v>
      </c>
      <c r="AI827" s="1556">
        <f t="shared" si="823"/>
        <v>0</v>
      </c>
      <c r="AJ827" s="1556">
        <f t="shared" si="824"/>
        <v>0</v>
      </c>
      <c r="AL827" s="561"/>
      <c r="AM827" s="1526"/>
      <c r="AN827" s="1526"/>
      <c r="AO827" s="1526"/>
      <c r="AP827" s="1526"/>
      <c r="AQ827" s="1526"/>
      <c r="AR827" s="1526"/>
      <c r="AS827" s="1526"/>
      <c r="AT827" s="1526"/>
      <c r="AU827" s="1526"/>
      <c r="AV827" s="1526"/>
      <c r="AW827" s="1526"/>
      <c r="AX827" s="1526"/>
      <c r="AY827" s="1526"/>
      <c r="AZ827" s="1526"/>
      <c r="BA827" s="1526"/>
      <c r="BB827" s="1526"/>
      <c r="BC827" s="1526"/>
      <c r="BD827" s="1526"/>
      <c r="BE827" s="1526"/>
      <c r="BF827" s="1526"/>
      <c r="BG827" s="1526"/>
      <c r="BH827" s="1526"/>
    </row>
    <row r="828" spans="1:60" s="1525" customFormat="1">
      <c r="A828" s="1375">
        <v>5</v>
      </c>
      <c r="B828" s="1534" t="s">
        <v>2533</v>
      </c>
      <c r="C828" s="1365"/>
      <c r="D828" s="1365"/>
      <c r="E828" s="1365"/>
      <c r="F828" s="1365"/>
      <c r="G828" s="1553">
        <f t="shared" si="830"/>
        <v>0</v>
      </c>
      <c r="H828" s="1365"/>
      <c r="I828" s="1553">
        <f t="shared" si="831"/>
        <v>0</v>
      </c>
      <c r="J828" s="1365"/>
      <c r="K828" s="1365"/>
      <c r="L828" s="1365"/>
      <c r="M828" s="1365"/>
      <c r="N828" s="1365"/>
      <c r="O828" s="1365"/>
      <c r="P828" s="1365"/>
      <c r="Q828" s="1365"/>
      <c r="R828" s="1365"/>
      <c r="S828" s="1365"/>
      <c r="T828" s="1555">
        <f t="shared" si="819"/>
        <v>0</v>
      </c>
      <c r="U828" s="1554">
        <f t="shared" si="820"/>
        <v>0</v>
      </c>
      <c r="V828" s="1554">
        <f t="shared" si="825"/>
        <v>0</v>
      </c>
      <c r="W828" s="1554">
        <f t="shared" si="821"/>
        <v>0</v>
      </c>
      <c r="X828" s="1554">
        <f t="shared" si="826"/>
        <v>0</v>
      </c>
      <c r="Y828" s="1554">
        <f t="shared" si="826"/>
        <v>0</v>
      </c>
      <c r="Z828" s="1554">
        <f t="shared" si="826"/>
        <v>0</v>
      </c>
      <c r="AA828" s="1554">
        <f t="shared" si="826"/>
        <v>0</v>
      </c>
      <c r="AB828" s="1554">
        <f t="shared" si="822"/>
        <v>0</v>
      </c>
      <c r="AC828" s="1554">
        <f t="shared" si="822"/>
        <v>0</v>
      </c>
      <c r="AD828" s="1554">
        <f t="shared" si="822"/>
        <v>0</v>
      </c>
      <c r="AE828" s="1554">
        <f t="shared" si="822"/>
        <v>0</v>
      </c>
      <c r="AF828" s="1554">
        <f t="shared" si="822"/>
        <v>0</v>
      </c>
      <c r="AG828" s="1554">
        <f t="shared" si="822"/>
        <v>0</v>
      </c>
      <c r="AH828" s="1554">
        <f t="shared" si="827"/>
        <v>0</v>
      </c>
      <c r="AI828" s="1556">
        <f t="shared" si="823"/>
        <v>0</v>
      </c>
      <c r="AJ828" s="1556">
        <f t="shared" si="824"/>
        <v>0</v>
      </c>
      <c r="AL828" s="561"/>
      <c r="AM828" s="1526"/>
      <c r="AN828" s="1526"/>
      <c r="AO828" s="1526"/>
      <c r="AP828" s="1526"/>
      <c r="AQ828" s="1526"/>
      <c r="AR828" s="1526"/>
      <c r="AS828" s="1526"/>
      <c r="AT828" s="1526"/>
      <c r="AU828" s="1526"/>
      <c r="AV828" s="1526"/>
      <c r="AW828" s="1526"/>
      <c r="AX828" s="1526"/>
      <c r="AY828" s="1526"/>
      <c r="AZ828" s="1526"/>
      <c r="BA828" s="1526"/>
      <c r="BB828" s="1526"/>
      <c r="BC828" s="1526"/>
      <c r="BD828" s="1526"/>
      <c r="BE828" s="1526"/>
      <c r="BF828" s="1526"/>
      <c r="BG828" s="1526"/>
      <c r="BH828" s="1526"/>
    </row>
    <row r="829" spans="1:60" s="1525" customFormat="1">
      <c r="A829" s="1375">
        <v>6</v>
      </c>
      <c r="B829" s="1534" t="s">
        <v>2534</v>
      </c>
      <c r="C829" s="1365"/>
      <c r="D829" s="1365"/>
      <c r="E829" s="1365"/>
      <c r="F829" s="1365"/>
      <c r="G829" s="1553">
        <f t="shared" si="830"/>
        <v>0</v>
      </c>
      <c r="H829" s="1365"/>
      <c r="I829" s="1553">
        <f t="shared" si="831"/>
        <v>0</v>
      </c>
      <c r="J829" s="1365"/>
      <c r="K829" s="1365"/>
      <c r="L829" s="1365"/>
      <c r="M829" s="1365"/>
      <c r="N829" s="1365"/>
      <c r="O829" s="1365"/>
      <c r="P829" s="1365"/>
      <c r="Q829" s="1365"/>
      <c r="R829" s="1365"/>
      <c r="S829" s="1365"/>
      <c r="T829" s="1555">
        <f t="shared" si="819"/>
        <v>0</v>
      </c>
      <c r="U829" s="1554">
        <f t="shared" si="820"/>
        <v>0</v>
      </c>
      <c r="V829" s="1554">
        <f t="shared" si="825"/>
        <v>0</v>
      </c>
      <c r="W829" s="1554">
        <f t="shared" si="821"/>
        <v>0</v>
      </c>
      <c r="X829" s="1554">
        <f t="shared" si="826"/>
        <v>0</v>
      </c>
      <c r="Y829" s="1554">
        <f t="shared" si="826"/>
        <v>0</v>
      </c>
      <c r="Z829" s="1554">
        <f t="shared" si="826"/>
        <v>0</v>
      </c>
      <c r="AA829" s="1554">
        <f t="shared" si="826"/>
        <v>0</v>
      </c>
      <c r="AB829" s="1554">
        <f t="shared" si="822"/>
        <v>0</v>
      </c>
      <c r="AC829" s="1554">
        <f t="shared" si="822"/>
        <v>0</v>
      </c>
      <c r="AD829" s="1554">
        <f t="shared" si="822"/>
        <v>0</v>
      </c>
      <c r="AE829" s="1554">
        <f t="shared" si="822"/>
        <v>0</v>
      </c>
      <c r="AF829" s="1554">
        <f t="shared" si="822"/>
        <v>0</v>
      </c>
      <c r="AG829" s="1554">
        <f t="shared" si="822"/>
        <v>0</v>
      </c>
      <c r="AH829" s="1554">
        <f t="shared" si="827"/>
        <v>0</v>
      </c>
      <c r="AI829" s="1556">
        <f t="shared" si="823"/>
        <v>0</v>
      </c>
      <c r="AJ829" s="1556">
        <f t="shared" si="824"/>
        <v>0</v>
      </c>
      <c r="AL829" s="561"/>
      <c r="AM829" s="1526"/>
      <c r="AN829" s="1526"/>
      <c r="AO829" s="1526"/>
      <c r="AP829" s="1526"/>
      <c r="AQ829" s="1526"/>
      <c r="AR829" s="1526"/>
      <c r="AS829" s="1526"/>
      <c r="AT829" s="1526"/>
      <c r="AU829" s="1526"/>
      <c r="AV829" s="1526"/>
      <c r="AW829" s="1526"/>
      <c r="AX829" s="1526"/>
      <c r="AY829" s="1526"/>
      <c r="AZ829" s="1526"/>
      <c r="BA829" s="1526"/>
      <c r="BB829" s="1526"/>
      <c r="BC829" s="1526"/>
      <c r="BD829" s="1526"/>
      <c r="BE829" s="1526"/>
      <c r="BF829" s="1526"/>
      <c r="BG829" s="1526"/>
      <c r="BH829" s="1526"/>
    </row>
    <row r="830" spans="1:60" s="1525" customFormat="1">
      <c r="A830" s="1375">
        <v>7</v>
      </c>
      <c r="B830" s="1534" t="s">
        <v>2535</v>
      </c>
      <c r="C830" s="1365"/>
      <c r="D830" s="1365"/>
      <c r="E830" s="1365"/>
      <c r="F830" s="1365"/>
      <c r="G830" s="1553">
        <f t="shared" si="830"/>
        <v>0</v>
      </c>
      <c r="H830" s="1365"/>
      <c r="I830" s="1553">
        <f t="shared" si="831"/>
        <v>0</v>
      </c>
      <c r="J830" s="1365"/>
      <c r="K830" s="1365"/>
      <c r="L830" s="1365"/>
      <c r="M830" s="1365"/>
      <c r="N830" s="1365"/>
      <c r="O830" s="1365"/>
      <c r="P830" s="1365"/>
      <c r="Q830" s="1365"/>
      <c r="R830" s="1365"/>
      <c r="S830" s="1365"/>
      <c r="T830" s="1555">
        <f t="shared" si="819"/>
        <v>0</v>
      </c>
      <c r="U830" s="1554">
        <f t="shared" si="820"/>
        <v>0</v>
      </c>
      <c r="V830" s="1554">
        <f t="shared" si="825"/>
        <v>0</v>
      </c>
      <c r="W830" s="1554">
        <f t="shared" si="821"/>
        <v>0</v>
      </c>
      <c r="X830" s="1554">
        <f t="shared" si="826"/>
        <v>0</v>
      </c>
      <c r="Y830" s="1554">
        <f t="shared" si="826"/>
        <v>0</v>
      </c>
      <c r="Z830" s="1554">
        <f t="shared" si="826"/>
        <v>0</v>
      </c>
      <c r="AA830" s="1554">
        <f t="shared" si="826"/>
        <v>0</v>
      </c>
      <c r="AB830" s="1554">
        <f t="shared" si="822"/>
        <v>0</v>
      </c>
      <c r="AC830" s="1554">
        <f t="shared" si="822"/>
        <v>0</v>
      </c>
      <c r="AD830" s="1554">
        <f t="shared" si="822"/>
        <v>0</v>
      </c>
      <c r="AE830" s="1554">
        <f t="shared" si="822"/>
        <v>0</v>
      </c>
      <c r="AF830" s="1554">
        <f t="shared" si="822"/>
        <v>0</v>
      </c>
      <c r="AG830" s="1554">
        <f t="shared" si="822"/>
        <v>0</v>
      </c>
      <c r="AH830" s="1554">
        <f t="shared" si="827"/>
        <v>0</v>
      </c>
      <c r="AI830" s="1556">
        <f t="shared" si="823"/>
        <v>0</v>
      </c>
      <c r="AJ830" s="1556">
        <f t="shared" si="824"/>
        <v>0</v>
      </c>
      <c r="AL830" s="561"/>
      <c r="AM830" s="1526"/>
      <c r="AN830" s="1526"/>
      <c r="AO830" s="1526"/>
      <c r="AP830" s="1526"/>
      <c r="AQ830" s="1526"/>
      <c r="AR830" s="1526"/>
      <c r="AS830" s="1526"/>
      <c r="AT830" s="1526"/>
      <c r="AU830" s="1526"/>
      <c r="AV830" s="1526"/>
      <c r="AW830" s="1526"/>
      <c r="AX830" s="1526"/>
      <c r="AY830" s="1526"/>
      <c r="AZ830" s="1526"/>
      <c r="BA830" s="1526"/>
      <c r="BB830" s="1526"/>
      <c r="BC830" s="1526"/>
      <c r="BD830" s="1526"/>
      <c r="BE830" s="1526"/>
      <c r="BF830" s="1526"/>
      <c r="BG830" s="1526"/>
      <c r="BH830" s="1526"/>
    </row>
    <row r="831" spans="1:60" s="1525" customFormat="1">
      <c r="A831" s="1375">
        <v>8</v>
      </c>
      <c r="B831" s="1536" t="s">
        <v>2536</v>
      </c>
      <c r="C831" s="1365"/>
      <c r="D831" s="1365"/>
      <c r="E831" s="1365"/>
      <c r="F831" s="1365"/>
      <c r="G831" s="1553">
        <f t="shared" si="830"/>
        <v>0</v>
      </c>
      <c r="H831" s="1365"/>
      <c r="I831" s="1553">
        <f t="shared" si="831"/>
        <v>0</v>
      </c>
      <c r="J831" s="1365"/>
      <c r="K831" s="1365"/>
      <c r="L831" s="1365"/>
      <c r="M831" s="1365"/>
      <c r="N831" s="1365"/>
      <c r="O831" s="1365"/>
      <c r="P831" s="1365"/>
      <c r="Q831" s="1365"/>
      <c r="R831" s="1365"/>
      <c r="S831" s="1365"/>
      <c r="T831" s="1555">
        <f t="shared" si="819"/>
        <v>0</v>
      </c>
      <c r="U831" s="1554">
        <f t="shared" si="820"/>
        <v>0</v>
      </c>
      <c r="V831" s="1554">
        <f t="shared" si="825"/>
        <v>0</v>
      </c>
      <c r="W831" s="1554">
        <f t="shared" si="821"/>
        <v>0</v>
      </c>
      <c r="X831" s="1554">
        <f t="shared" si="826"/>
        <v>0</v>
      </c>
      <c r="Y831" s="1554">
        <f t="shared" si="826"/>
        <v>0</v>
      </c>
      <c r="Z831" s="1554">
        <f t="shared" si="826"/>
        <v>0</v>
      </c>
      <c r="AA831" s="1554">
        <f t="shared" si="826"/>
        <v>0</v>
      </c>
      <c r="AB831" s="1554">
        <f t="shared" si="822"/>
        <v>0</v>
      </c>
      <c r="AC831" s="1554">
        <f t="shared" si="822"/>
        <v>0</v>
      </c>
      <c r="AD831" s="1554">
        <f t="shared" si="822"/>
        <v>0</v>
      </c>
      <c r="AE831" s="1554">
        <f t="shared" si="822"/>
        <v>0</v>
      </c>
      <c r="AF831" s="1554">
        <f t="shared" si="822"/>
        <v>0</v>
      </c>
      <c r="AG831" s="1554">
        <f t="shared" si="822"/>
        <v>0</v>
      </c>
      <c r="AH831" s="1554">
        <f t="shared" si="827"/>
        <v>0</v>
      </c>
      <c r="AI831" s="1556">
        <f t="shared" si="823"/>
        <v>0</v>
      </c>
      <c r="AJ831" s="1556">
        <f t="shared" si="824"/>
        <v>0</v>
      </c>
      <c r="AL831" s="561"/>
      <c r="AM831" s="1526"/>
      <c r="AN831" s="1526"/>
      <c r="AO831" s="1526"/>
      <c r="AP831" s="1526"/>
      <c r="AQ831" s="1526"/>
      <c r="AR831" s="1526"/>
      <c r="AS831" s="1526"/>
      <c r="AT831" s="1526"/>
      <c r="AU831" s="1526"/>
      <c r="AV831" s="1526"/>
      <c r="AW831" s="1526"/>
      <c r="AX831" s="1526"/>
      <c r="AY831" s="1526"/>
      <c r="AZ831" s="1526"/>
      <c r="BA831" s="1526"/>
      <c r="BB831" s="1526"/>
      <c r="BC831" s="1526"/>
      <c r="BD831" s="1526"/>
      <c r="BE831" s="1526"/>
      <c r="BF831" s="1526"/>
      <c r="BG831" s="1526"/>
      <c r="BH831" s="1526"/>
    </row>
    <row r="832" spans="1:60" s="1525" customFormat="1">
      <c r="A832" s="1375">
        <v>9</v>
      </c>
      <c r="B832" s="1536" t="s">
        <v>2537</v>
      </c>
      <c r="C832" s="1365"/>
      <c r="D832" s="1365"/>
      <c r="E832" s="1365"/>
      <c r="F832" s="1365"/>
      <c r="G832" s="1553">
        <f t="shared" si="830"/>
        <v>0</v>
      </c>
      <c r="H832" s="1365"/>
      <c r="I832" s="1553">
        <f t="shared" si="831"/>
        <v>0</v>
      </c>
      <c r="J832" s="1365"/>
      <c r="K832" s="1365"/>
      <c r="L832" s="1365"/>
      <c r="M832" s="1365"/>
      <c r="N832" s="1365"/>
      <c r="O832" s="1365"/>
      <c r="P832" s="1365"/>
      <c r="Q832" s="1365"/>
      <c r="R832" s="1365"/>
      <c r="S832" s="1365"/>
      <c r="T832" s="1555">
        <f t="shared" si="819"/>
        <v>0</v>
      </c>
      <c r="U832" s="1554">
        <f t="shared" si="820"/>
        <v>0</v>
      </c>
      <c r="V832" s="1554">
        <f t="shared" si="825"/>
        <v>0</v>
      </c>
      <c r="W832" s="1554">
        <f t="shared" si="821"/>
        <v>0</v>
      </c>
      <c r="X832" s="1554">
        <f t="shared" si="826"/>
        <v>0</v>
      </c>
      <c r="Y832" s="1554">
        <f t="shared" si="826"/>
        <v>0</v>
      </c>
      <c r="Z832" s="1554">
        <f t="shared" si="826"/>
        <v>0</v>
      </c>
      <c r="AA832" s="1554">
        <f t="shared" si="826"/>
        <v>0</v>
      </c>
      <c r="AB832" s="1554">
        <f t="shared" si="822"/>
        <v>0</v>
      </c>
      <c r="AC832" s="1554">
        <f t="shared" si="822"/>
        <v>0</v>
      </c>
      <c r="AD832" s="1554">
        <f t="shared" si="822"/>
        <v>0</v>
      </c>
      <c r="AE832" s="1554">
        <f t="shared" si="822"/>
        <v>0</v>
      </c>
      <c r="AF832" s="1554">
        <f t="shared" si="822"/>
        <v>0</v>
      </c>
      <c r="AG832" s="1554">
        <f t="shared" si="822"/>
        <v>0</v>
      </c>
      <c r="AH832" s="1554">
        <f t="shared" si="827"/>
        <v>0</v>
      </c>
      <c r="AI832" s="1556">
        <f t="shared" si="823"/>
        <v>0</v>
      </c>
      <c r="AJ832" s="1556">
        <f t="shared" si="824"/>
        <v>0</v>
      </c>
      <c r="AL832" s="561"/>
      <c r="AM832" s="1526"/>
      <c r="AN832" s="1526"/>
      <c r="AO832" s="1526"/>
      <c r="AP832" s="1526"/>
      <c r="AQ832" s="1526"/>
      <c r="AR832" s="1526"/>
      <c r="AS832" s="1526"/>
      <c r="AT832" s="1526"/>
      <c r="AU832" s="1526"/>
      <c r="AV832" s="1526"/>
      <c r="AW832" s="1526"/>
      <c r="AX832" s="1526"/>
      <c r="AY832" s="1526"/>
      <c r="AZ832" s="1526"/>
      <c r="BA832" s="1526"/>
      <c r="BB832" s="1526"/>
      <c r="BC832" s="1526"/>
      <c r="BD832" s="1526"/>
      <c r="BE832" s="1526"/>
      <c r="BF832" s="1526"/>
      <c r="BG832" s="1526"/>
      <c r="BH832" s="1526"/>
    </row>
    <row r="833" spans="1:60" s="1525" customFormat="1">
      <c r="A833" s="1375">
        <v>10</v>
      </c>
      <c r="B833" s="1534" t="s">
        <v>2492</v>
      </c>
      <c r="C833" s="1555">
        <f>SUM(C834:C836)</f>
        <v>0</v>
      </c>
      <c r="D833" s="1555"/>
      <c r="E833" s="1555"/>
      <c r="F833" s="1555">
        <f t="shared" ref="F833:S833" si="832">SUM(F834:F836)</f>
        <v>0</v>
      </c>
      <c r="G833" s="1555">
        <f t="shared" si="832"/>
        <v>0</v>
      </c>
      <c r="H833" s="1555">
        <f t="shared" si="832"/>
        <v>0</v>
      </c>
      <c r="I833" s="1555">
        <f t="shared" si="832"/>
        <v>0</v>
      </c>
      <c r="J833" s="1555">
        <f t="shared" si="832"/>
        <v>0</v>
      </c>
      <c r="K833" s="1555">
        <f t="shared" si="832"/>
        <v>0</v>
      </c>
      <c r="L833" s="1555">
        <f t="shared" si="832"/>
        <v>0</v>
      </c>
      <c r="M833" s="1555">
        <f t="shared" si="832"/>
        <v>0</v>
      </c>
      <c r="N833" s="1555">
        <f t="shared" si="832"/>
        <v>0</v>
      </c>
      <c r="O833" s="1555">
        <f t="shared" si="832"/>
        <v>0</v>
      </c>
      <c r="P833" s="1555">
        <f t="shared" si="832"/>
        <v>0</v>
      </c>
      <c r="Q833" s="1555">
        <f t="shared" si="832"/>
        <v>0</v>
      </c>
      <c r="R833" s="1555">
        <f t="shared" si="832"/>
        <v>0</v>
      </c>
      <c r="S833" s="1555">
        <f t="shared" si="832"/>
        <v>0</v>
      </c>
      <c r="T833" s="1555">
        <f>SUM(T834:T836)</f>
        <v>0</v>
      </c>
      <c r="U833" s="1556">
        <f t="shared" ref="U833" si="833">SUM(U834:U836)</f>
        <v>0</v>
      </c>
      <c r="V833" s="1554">
        <f t="shared" si="825"/>
        <v>0</v>
      </c>
      <c r="W833" s="1554">
        <f t="shared" si="821"/>
        <v>0</v>
      </c>
      <c r="X833" s="1554">
        <f t="shared" si="826"/>
        <v>0</v>
      </c>
      <c r="Y833" s="1554">
        <f t="shared" si="826"/>
        <v>0</v>
      </c>
      <c r="Z833" s="1554">
        <f t="shared" si="826"/>
        <v>0</v>
      </c>
      <c r="AA833" s="1554">
        <f t="shared" si="826"/>
        <v>0</v>
      </c>
      <c r="AB833" s="1554">
        <f t="shared" si="822"/>
        <v>0</v>
      </c>
      <c r="AC833" s="1554">
        <f t="shared" si="822"/>
        <v>0</v>
      </c>
      <c r="AD833" s="1554">
        <f t="shared" si="822"/>
        <v>0</v>
      </c>
      <c r="AE833" s="1554">
        <f t="shared" si="822"/>
        <v>0</v>
      </c>
      <c r="AF833" s="1554">
        <f t="shared" si="822"/>
        <v>0</v>
      </c>
      <c r="AG833" s="1554">
        <f t="shared" si="822"/>
        <v>0</v>
      </c>
      <c r="AH833" s="1556">
        <f t="shared" ref="AH833:AJ833" si="834">SUM(AH834:AH836)</f>
        <v>0</v>
      </c>
      <c r="AI833" s="1556">
        <f t="shared" si="834"/>
        <v>0</v>
      </c>
      <c r="AJ833" s="1556">
        <f t="shared" si="834"/>
        <v>0</v>
      </c>
      <c r="AL833" s="561"/>
      <c r="AM833" s="1526"/>
      <c r="AN833" s="1526"/>
      <c r="AO833" s="1526"/>
      <c r="AP833" s="1526"/>
      <c r="AQ833" s="1526"/>
      <c r="AR833" s="1526"/>
      <c r="AS833" s="1526"/>
      <c r="AT833" s="1526"/>
      <c r="AU833" s="1526"/>
      <c r="AV833" s="1526"/>
      <c r="AW833" s="1526"/>
      <c r="AX833" s="1526"/>
      <c r="AY833" s="1526"/>
      <c r="AZ833" s="1526"/>
      <c r="BA833" s="1526"/>
      <c r="BB833" s="1526"/>
      <c r="BC833" s="1526"/>
      <c r="BD833" s="1526"/>
      <c r="BE833" s="1526"/>
      <c r="BF833" s="1526"/>
      <c r="BG833" s="1526"/>
      <c r="BH833" s="1526"/>
    </row>
    <row r="834" spans="1:60" s="1525" customFormat="1">
      <c r="A834" s="1499"/>
      <c r="B834" s="1535" t="s">
        <v>2538</v>
      </c>
      <c r="C834" s="1368"/>
      <c r="D834" s="1368"/>
      <c r="E834" s="1368"/>
      <c r="F834" s="1368"/>
      <c r="G834" s="1557">
        <f t="shared" ref="G834:G837" si="835">H834+I834+T834</f>
        <v>0</v>
      </c>
      <c r="H834" s="1368"/>
      <c r="I834" s="1557">
        <f t="shared" ref="I834:I836" si="836">SUM(J834:S834)</f>
        <v>0</v>
      </c>
      <c r="J834" s="1368"/>
      <c r="K834" s="1368"/>
      <c r="L834" s="1368"/>
      <c r="M834" s="1368"/>
      <c r="N834" s="1368"/>
      <c r="O834" s="1368"/>
      <c r="P834" s="1368"/>
      <c r="Q834" s="1368"/>
      <c r="R834" s="1368"/>
      <c r="S834" s="1368"/>
      <c r="T834" s="1558">
        <f>(H834+K834+L834+R834)*22.5%</f>
        <v>0</v>
      </c>
      <c r="U834" s="1559">
        <f t="shared" ref="U834:U837" si="837">V834+W834+AH834</f>
        <v>0</v>
      </c>
      <c r="V834" s="1554">
        <f t="shared" si="825"/>
        <v>0</v>
      </c>
      <c r="W834" s="1554">
        <f t="shared" si="821"/>
        <v>0</v>
      </c>
      <c r="X834" s="1554">
        <f t="shared" si="826"/>
        <v>0</v>
      </c>
      <c r="Y834" s="1554">
        <f t="shared" si="826"/>
        <v>0</v>
      </c>
      <c r="Z834" s="1554">
        <f t="shared" si="826"/>
        <v>0</v>
      </c>
      <c r="AA834" s="1554">
        <f t="shared" si="826"/>
        <v>0</v>
      </c>
      <c r="AB834" s="1554">
        <f t="shared" si="822"/>
        <v>0</v>
      </c>
      <c r="AC834" s="1554">
        <f t="shared" si="822"/>
        <v>0</v>
      </c>
      <c r="AD834" s="1554">
        <f t="shared" si="822"/>
        <v>0</v>
      </c>
      <c r="AE834" s="1554">
        <f t="shared" si="822"/>
        <v>0</v>
      </c>
      <c r="AF834" s="1554">
        <f t="shared" si="822"/>
        <v>0</v>
      </c>
      <c r="AG834" s="1554">
        <f t="shared" si="822"/>
        <v>0</v>
      </c>
      <c r="AH834" s="1560">
        <f>(V834+Y834+Z834+AF834)*22.5%</f>
        <v>0</v>
      </c>
      <c r="AI834" s="1561">
        <f t="shared" ref="AI834:AI836" si="838">U834-G834</f>
        <v>0</v>
      </c>
      <c r="AJ834" s="1561">
        <f t="shared" ref="AJ834:AJ836" si="839">AI834*6</f>
        <v>0</v>
      </c>
      <c r="AL834" s="561"/>
      <c r="AM834" s="1526"/>
      <c r="AN834" s="1526"/>
      <c r="AO834" s="1526"/>
      <c r="AP834" s="1526"/>
      <c r="AQ834" s="1526"/>
      <c r="AR834" s="1526"/>
      <c r="AS834" s="1526"/>
      <c r="AT834" s="1526"/>
      <c r="AU834" s="1526"/>
      <c r="AV834" s="1526"/>
      <c r="AW834" s="1526"/>
      <c r="AX834" s="1526"/>
      <c r="AY834" s="1526"/>
      <c r="AZ834" s="1526"/>
      <c r="BA834" s="1526"/>
      <c r="BB834" s="1526"/>
      <c r="BC834" s="1526"/>
      <c r="BD834" s="1526"/>
      <c r="BE834" s="1526"/>
      <c r="BF834" s="1526"/>
      <c r="BG834" s="1526"/>
      <c r="BH834" s="1526"/>
    </row>
    <row r="835" spans="1:60" s="1525" customFormat="1">
      <c r="A835" s="1499"/>
      <c r="B835" s="1535" t="s">
        <v>2539</v>
      </c>
      <c r="C835" s="1368"/>
      <c r="D835" s="1368"/>
      <c r="E835" s="1368"/>
      <c r="F835" s="1368"/>
      <c r="G835" s="1557">
        <f t="shared" si="835"/>
        <v>0</v>
      </c>
      <c r="H835" s="1368"/>
      <c r="I835" s="1557">
        <f t="shared" si="836"/>
        <v>0</v>
      </c>
      <c r="J835" s="1368"/>
      <c r="K835" s="1368"/>
      <c r="L835" s="1368"/>
      <c r="M835" s="1368"/>
      <c r="N835" s="1368"/>
      <c r="O835" s="1368"/>
      <c r="P835" s="1368"/>
      <c r="Q835" s="1368"/>
      <c r="R835" s="1368"/>
      <c r="S835" s="1368"/>
      <c r="T835" s="1558">
        <f>(H835+K835+L835+R835)*22.5%</f>
        <v>0</v>
      </c>
      <c r="U835" s="1559">
        <f t="shared" si="837"/>
        <v>0</v>
      </c>
      <c r="V835" s="1554">
        <f t="shared" si="825"/>
        <v>0</v>
      </c>
      <c r="W835" s="1554">
        <f t="shared" si="821"/>
        <v>0</v>
      </c>
      <c r="X835" s="1554">
        <f t="shared" si="826"/>
        <v>0</v>
      </c>
      <c r="Y835" s="1554">
        <f t="shared" si="826"/>
        <v>0</v>
      </c>
      <c r="Z835" s="1554">
        <f t="shared" si="826"/>
        <v>0</v>
      </c>
      <c r="AA835" s="1554">
        <f t="shared" si="826"/>
        <v>0</v>
      </c>
      <c r="AB835" s="1554">
        <f t="shared" si="822"/>
        <v>0</v>
      </c>
      <c r="AC835" s="1554">
        <f t="shared" si="822"/>
        <v>0</v>
      </c>
      <c r="AD835" s="1554">
        <f t="shared" si="822"/>
        <v>0</v>
      </c>
      <c r="AE835" s="1554">
        <f t="shared" si="822"/>
        <v>0</v>
      </c>
      <c r="AF835" s="1554">
        <f t="shared" si="822"/>
        <v>0</v>
      </c>
      <c r="AG835" s="1554">
        <f t="shared" si="822"/>
        <v>0</v>
      </c>
      <c r="AH835" s="1560">
        <f>(V835+Y835+Z835+AF835)*22.5%</f>
        <v>0</v>
      </c>
      <c r="AI835" s="1561">
        <f t="shared" si="838"/>
        <v>0</v>
      </c>
      <c r="AJ835" s="1561">
        <f t="shared" si="839"/>
        <v>0</v>
      </c>
      <c r="AL835" s="561"/>
      <c r="AM835" s="1526"/>
      <c r="AN835" s="1526"/>
      <c r="AO835" s="1526"/>
      <c r="AP835" s="1526"/>
      <c r="AQ835" s="1526"/>
      <c r="AR835" s="1526"/>
      <c r="AS835" s="1526"/>
      <c r="AT835" s="1526"/>
      <c r="AU835" s="1526"/>
      <c r="AV835" s="1526"/>
      <c r="AW835" s="1526"/>
      <c r="AX835" s="1526"/>
      <c r="AY835" s="1526"/>
      <c r="AZ835" s="1526"/>
      <c r="BA835" s="1526"/>
      <c r="BB835" s="1526"/>
      <c r="BC835" s="1526"/>
      <c r="BD835" s="1526"/>
      <c r="BE835" s="1526"/>
      <c r="BF835" s="1526"/>
      <c r="BG835" s="1526"/>
      <c r="BH835" s="1526"/>
    </row>
    <row r="836" spans="1:60" s="1525" customFormat="1">
      <c r="A836" s="1499"/>
      <c r="B836" s="1535" t="s">
        <v>2540</v>
      </c>
      <c r="C836" s="1368"/>
      <c r="D836" s="1368"/>
      <c r="E836" s="1368"/>
      <c r="F836" s="1368"/>
      <c r="G836" s="1557">
        <f t="shared" si="835"/>
        <v>0</v>
      </c>
      <c r="H836" s="1368"/>
      <c r="I836" s="1557">
        <f t="shared" si="836"/>
        <v>0</v>
      </c>
      <c r="J836" s="1368"/>
      <c r="K836" s="1368"/>
      <c r="L836" s="1368"/>
      <c r="M836" s="1368"/>
      <c r="N836" s="1368"/>
      <c r="O836" s="1368"/>
      <c r="P836" s="1368"/>
      <c r="Q836" s="1368"/>
      <c r="R836" s="1368"/>
      <c r="S836" s="1368"/>
      <c r="T836" s="1558">
        <f>(H836+K836+L836+R836)*22.5%</f>
        <v>0</v>
      </c>
      <c r="U836" s="1559">
        <f t="shared" si="837"/>
        <v>0</v>
      </c>
      <c r="V836" s="1554">
        <f t="shared" si="825"/>
        <v>0</v>
      </c>
      <c r="W836" s="1554">
        <f t="shared" si="821"/>
        <v>0</v>
      </c>
      <c r="X836" s="1554">
        <f t="shared" si="826"/>
        <v>0</v>
      </c>
      <c r="Y836" s="1554">
        <f t="shared" si="826"/>
        <v>0</v>
      </c>
      <c r="Z836" s="1554">
        <f t="shared" si="826"/>
        <v>0</v>
      </c>
      <c r="AA836" s="1554">
        <f t="shared" si="826"/>
        <v>0</v>
      </c>
      <c r="AB836" s="1554">
        <f t="shared" si="822"/>
        <v>0</v>
      </c>
      <c r="AC836" s="1554">
        <f t="shared" si="822"/>
        <v>0</v>
      </c>
      <c r="AD836" s="1554">
        <f t="shared" si="822"/>
        <v>0</v>
      </c>
      <c r="AE836" s="1554">
        <f t="shared" si="822"/>
        <v>0</v>
      </c>
      <c r="AF836" s="1554">
        <f t="shared" si="822"/>
        <v>0</v>
      </c>
      <c r="AG836" s="1554">
        <f t="shared" si="822"/>
        <v>0</v>
      </c>
      <c r="AH836" s="1560">
        <f>(V836+Y836+Z836+AF836)*22.5%</f>
        <v>0</v>
      </c>
      <c r="AI836" s="1561">
        <f t="shared" si="838"/>
        <v>0</v>
      </c>
      <c r="AJ836" s="1561">
        <f t="shared" si="839"/>
        <v>0</v>
      </c>
      <c r="AL836" s="561"/>
      <c r="AM836" s="1526"/>
      <c r="AN836" s="1526"/>
      <c r="AO836" s="1526"/>
      <c r="AP836" s="1526"/>
      <c r="AQ836" s="1526"/>
      <c r="AR836" s="1526"/>
      <c r="AS836" s="1526"/>
      <c r="AT836" s="1526"/>
      <c r="AU836" s="1526"/>
      <c r="AV836" s="1526"/>
      <c r="AW836" s="1526"/>
      <c r="AX836" s="1526"/>
      <c r="AY836" s="1526"/>
      <c r="AZ836" s="1526"/>
      <c r="BA836" s="1526"/>
      <c r="BB836" s="1526"/>
      <c r="BC836" s="1526"/>
      <c r="BD836" s="1526"/>
      <c r="BE836" s="1526"/>
      <c r="BF836" s="1526"/>
      <c r="BG836" s="1526"/>
      <c r="BH836" s="1526"/>
    </row>
    <row r="837" spans="1:60" s="1525" customFormat="1" ht="31.5">
      <c r="A837" s="1516" t="s">
        <v>65</v>
      </c>
      <c r="B837" s="1538" t="s">
        <v>2541</v>
      </c>
      <c r="C837" s="1370"/>
      <c r="D837" s="1370"/>
      <c r="E837" s="1370"/>
      <c r="F837" s="1370"/>
      <c r="G837" s="1438">
        <f t="shared" si="835"/>
        <v>0</v>
      </c>
      <c r="H837" s="1370"/>
      <c r="I837" s="1438">
        <f t="shared" ref="I837" si="840">SUM(J837:S837)</f>
        <v>0</v>
      </c>
      <c r="J837" s="1370"/>
      <c r="K837" s="1370"/>
      <c r="L837" s="1370"/>
      <c r="M837" s="1370"/>
      <c r="N837" s="1370"/>
      <c r="O837" s="1370"/>
      <c r="P837" s="1370"/>
      <c r="Q837" s="1370"/>
      <c r="R837" s="1370"/>
      <c r="S837" s="1370"/>
      <c r="T837" s="1593">
        <f>(H837+K837+L837+R837)*22.5%</f>
        <v>0</v>
      </c>
      <c r="U837" s="1562">
        <f t="shared" si="837"/>
        <v>0</v>
      </c>
      <c r="V837" s="1562">
        <f>(H837/1.39)*1.49</f>
        <v>0</v>
      </c>
      <c r="W837" s="1562">
        <f t="shared" si="821"/>
        <v>0</v>
      </c>
      <c r="X837" s="1562">
        <f>(J837/1.39)*1.49</f>
        <v>0</v>
      </c>
      <c r="Y837" s="1562">
        <f t="shared" ref="Y837:AA837" si="841">(K837/1.39)*1.49</f>
        <v>0</v>
      </c>
      <c r="Z837" s="1562">
        <f t="shared" si="841"/>
        <v>0</v>
      </c>
      <c r="AA837" s="1562">
        <f t="shared" si="841"/>
        <v>0</v>
      </c>
      <c r="AB837" s="1562">
        <f t="shared" si="822"/>
        <v>0</v>
      </c>
      <c r="AC837" s="1562">
        <f t="shared" si="822"/>
        <v>0</v>
      </c>
      <c r="AD837" s="1562">
        <f t="shared" si="822"/>
        <v>0</v>
      </c>
      <c r="AE837" s="1562">
        <f t="shared" si="822"/>
        <v>0</v>
      </c>
      <c r="AF837" s="1562">
        <f t="shared" si="822"/>
        <v>0</v>
      </c>
      <c r="AG837" s="1562">
        <f t="shared" si="822"/>
        <v>0</v>
      </c>
      <c r="AH837" s="1568">
        <f>(V837+Y837+Z837+AF837)*22.5%</f>
        <v>0</v>
      </c>
      <c r="AI837" s="1563">
        <f>U837-G837</f>
        <v>0</v>
      </c>
      <c r="AJ837" s="1563">
        <f>AI837*6</f>
        <v>0</v>
      </c>
      <c r="AL837" s="561"/>
      <c r="AM837" s="1526"/>
      <c r="AN837" s="1526"/>
      <c r="AO837" s="1526"/>
      <c r="AP837" s="1526"/>
      <c r="AQ837" s="1526"/>
      <c r="AR837" s="1526"/>
      <c r="AS837" s="1526"/>
      <c r="AT837" s="1526"/>
      <c r="AU837" s="1526"/>
      <c r="AV837" s="1526"/>
      <c r="AW837" s="1526"/>
      <c r="AX837" s="1526"/>
      <c r="AY837" s="1526"/>
      <c r="AZ837" s="1526"/>
      <c r="BA837" s="1526"/>
      <c r="BB837" s="1526"/>
      <c r="BC837" s="1526"/>
      <c r="BD837" s="1526"/>
      <c r="BE837" s="1526"/>
      <c r="BF837" s="1526"/>
      <c r="BG837" s="1526"/>
      <c r="BH837" s="1526"/>
    </row>
    <row r="838" spans="1:60" s="1525" customFormat="1" ht="31.5">
      <c r="A838" s="1516" t="s">
        <v>14</v>
      </c>
      <c r="B838" s="1538" t="s">
        <v>2542</v>
      </c>
      <c r="C838" s="1564">
        <f>SUM(C839:C841)</f>
        <v>0</v>
      </c>
      <c r="D838" s="1564"/>
      <c r="E838" s="1564"/>
      <c r="F838" s="1564">
        <f t="shared" ref="F838:AJ838" si="842">SUM(F839:F841)</f>
        <v>0</v>
      </c>
      <c r="G838" s="1564">
        <f t="shared" si="842"/>
        <v>0</v>
      </c>
      <c r="H838" s="1564">
        <f t="shared" si="842"/>
        <v>0</v>
      </c>
      <c r="I838" s="1564">
        <f t="shared" si="842"/>
        <v>0</v>
      </c>
      <c r="J838" s="1564">
        <f t="shared" si="842"/>
        <v>0</v>
      </c>
      <c r="K838" s="1564">
        <f t="shared" si="842"/>
        <v>0</v>
      </c>
      <c r="L838" s="1564">
        <f t="shared" si="842"/>
        <v>0</v>
      </c>
      <c r="M838" s="1564">
        <f t="shared" si="842"/>
        <v>0</v>
      </c>
      <c r="N838" s="1564">
        <f t="shared" si="842"/>
        <v>0</v>
      </c>
      <c r="O838" s="1564">
        <f t="shared" si="842"/>
        <v>0</v>
      </c>
      <c r="P838" s="1564">
        <f t="shared" si="842"/>
        <v>0</v>
      </c>
      <c r="Q838" s="1564">
        <f t="shared" si="842"/>
        <v>0</v>
      </c>
      <c r="R838" s="1564">
        <f t="shared" si="842"/>
        <v>0</v>
      </c>
      <c r="S838" s="1564">
        <f t="shared" si="842"/>
        <v>0</v>
      </c>
      <c r="T838" s="1564">
        <f t="shared" si="842"/>
        <v>0</v>
      </c>
      <c r="U838" s="1563">
        <f t="shared" si="842"/>
        <v>0</v>
      </c>
      <c r="V838" s="1563">
        <f t="shared" si="842"/>
        <v>0</v>
      </c>
      <c r="W838" s="1563">
        <f t="shared" si="842"/>
        <v>0</v>
      </c>
      <c r="X838" s="1563">
        <f t="shared" si="842"/>
        <v>0</v>
      </c>
      <c r="Y838" s="1563">
        <f t="shared" si="842"/>
        <v>0</v>
      </c>
      <c r="Z838" s="1563">
        <f t="shared" si="842"/>
        <v>0</v>
      </c>
      <c r="AA838" s="1563">
        <f t="shared" si="842"/>
        <v>0</v>
      </c>
      <c r="AB838" s="1563">
        <f t="shared" si="842"/>
        <v>0</v>
      </c>
      <c r="AC838" s="1563">
        <f t="shared" si="842"/>
        <v>0</v>
      </c>
      <c r="AD838" s="1563">
        <f t="shared" si="842"/>
        <v>0</v>
      </c>
      <c r="AE838" s="1563">
        <f t="shared" si="842"/>
        <v>0</v>
      </c>
      <c r="AF838" s="1563">
        <f t="shared" si="842"/>
        <v>0</v>
      </c>
      <c r="AG838" s="1563">
        <f t="shared" si="842"/>
        <v>0</v>
      </c>
      <c r="AH838" s="1563">
        <f t="shared" si="842"/>
        <v>0</v>
      </c>
      <c r="AI838" s="1563">
        <f t="shared" si="842"/>
        <v>0</v>
      </c>
      <c r="AJ838" s="1563">
        <f t="shared" si="842"/>
        <v>0</v>
      </c>
      <c r="AL838" s="561"/>
      <c r="AM838" s="1526"/>
      <c r="AN838" s="1526"/>
      <c r="AO838" s="1526"/>
      <c r="AP838" s="1526"/>
      <c r="AQ838" s="1526"/>
      <c r="AR838" s="1526"/>
      <c r="AS838" s="1526"/>
      <c r="AT838" s="1526"/>
      <c r="AU838" s="1526"/>
      <c r="AV838" s="1526"/>
      <c r="AW838" s="1526"/>
      <c r="AX838" s="1526"/>
      <c r="AY838" s="1526"/>
      <c r="AZ838" s="1526"/>
      <c r="BA838" s="1526"/>
      <c r="BB838" s="1526"/>
      <c r="BC838" s="1526"/>
      <c r="BD838" s="1526"/>
      <c r="BE838" s="1526"/>
      <c r="BF838" s="1526"/>
      <c r="BG838" s="1526"/>
      <c r="BH838" s="1526"/>
    </row>
    <row r="839" spans="1:60" s="1525" customFormat="1">
      <c r="A839" s="1499"/>
      <c r="B839" s="1535" t="s">
        <v>2543</v>
      </c>
      <c r="C839" s="1368"/>
      <c r="D839" s="1368"/>
      <c r="E839" s="1368"/>
      <c r="F839" s="1368"/>
      <c r="G839" s="1557">
        <f t="shared" ref="G839:G841" si="843">H839+I839+T839</f>
        <v>0</v>
      </c>
      <c r="H839" s="577"/>
      <c r="I839" s="1557">
        <f t="shared" ref="I839:I841" si="844">SUM(J839:S839)</f>
        <v>0</v>
      </c>
      <c r="J839" s="577"/>
      <c r="K839" s="577"/>
      <c r="L839" s="577"/>
      <c r="M839" s="577"/>
      <c r="N839" s="577"/>
      <c r="O839" s="577"/>
      <c r="P839" s="577"/>
      <c r="Q839" s="577"/>
      <c r="R839" s="577"/>
      <c r="S839" s="578">
        <f>F839*0.5*1.3</f>
        <v>0</v>
      </c>
      <c r="T839" s="1565"/>
      <c r="U839" s="1559">
        <f t="shared" ref="U839:U841" si="845">V839+W839+AH839</f>
        <v>0</v>
      </c>
      <c r="V839" s="1566"/>
      <c r="W839" s="1559">
        <f t="shared" ref="W839:W841" si="846">SUM(X839:AG839)</f>
        <v>0</v>
      </c>
      <c r="X839" s="1566"/>
      <c r="Y839" s="1566"/>
      <c r="Z839" s="1566"/>
      <c r="AA839" s="1566"/>
      <c r="AB839" s="1566"/>
      <c r="AC839" s="1566"/>
      <c r="AD839" s="1566"/>
      <c r="AE839" s="1566"/>
      <c r="AF839" s="1566"/>
      <c r="AG839" s="1554">
        <f t="shared" ref="AG839:AG841" si="847">(S839/1.39)*1.49</f>
        <v>0</v>
      </c>
      <c r="AH839" s="1566"/>
      <c r="AI839" s="1561">
        <f t="shared" ref="AI839:AI841" si="848">U839-G839</f>
        <v>0</v>
      </c>
      <c r="AJ839" s="1561">
        <f t="shared" ref="AJ839:AJ841" si="849">AI839*6</f>
        <v>0</v>
      </c>
      <c r="AL839" s="561"/>
      <c r="AM839" s="1526"/>
      <c r="AN839" s="1526"/>
      <c r="AO839" s="1526"/>
      <c r="AP839" s="1526"/>
      <c r="AQ839" s="1526"/>
      <c r="AR839" s="1526"/>
      <c r="AS839" s="1526"/>
      <c r="AT839" s="1526"/>
      <c r="AU839" s="1526"/>
      <c r="AV839" s="1526"/>
      <c r="AW839" s="1526"/>
      <c r="AX839" s="1526"/>
      <c r="AY839" s="1526"/>
      <c r="AZ839" s="1526"/>
      <c r="BA839" s="1526"/>
      <c r="BB839" s="1526"/>
      <c r="BC839" s="1526"/>
      <c r="BD839" s="1526"/>
      <c r="BE839" s="1526"/>
      <c r="BF839" s="1526"/>
      <c r="BG839" s="1526"/>
      <c r="BH839" s="1526"/>
    </row>
    <row r="840" spans="1:60" s="1525" customFormat="1">
      <c r="A840" s="1499"/>
      <c r="B840" s="1535" t="s">
        <v>2544</v>
      </c>
      <c r="C840" s="1368"/>
      <c r="D840" s="1368"/>
      <c r="E840" s="1368"/>
      <c r="F840" s="1368"/>
      <c r="G840" s="1557">
        <f t="shared" si="843"/>
        <v>0</v>
      </c>
      <c r="H840" s="577"/>
      <c r="I840" s="1557">
        <f t="shared" si="844"/>
        <v>0</v>
      </c>
      <c r="J840" s="577"/>
      <c r="K840" s="577"/>
      <c r="L840" s="577"/>
      <c r="M840" s="577"/>
      <c r="N840" s="577"/>
      <c r="O840" s="577"/>
      <c r="P840" s="577"/>
      <c r="Q840" s="577"/>
      <c r="R840" s="577"/>
      <c r="S840" s="1368">
        <f>F840*0.4*1.3</f>
        <v>0</v>
      </c>
      <c r="T840" s="1565"/>
      <c r="U840" s="1559">
        <f t="shared" si="845"/>
        <v>0</v>
      </c>
      <c r="V840" s="1566"/>
      <c r="W840" s="1559">
        <f t="shared" si="846"/>
        <v>0</v>
      </c>
      <c r="X840" s="1566"/>
      <c r="Y840" s="1566"/>
      <c r="Z840" s="1566"/>
      <c r="AA840" s="1566"/>
      <c r="AB840" s="1566"/>
      <c r="AC840" s="1566"/>
      <c r="AD840" s="1566"/>
      <c r="AE840" s="1566"/>
      <c r="AF840" s="1566"/>
      <c r="AG840" s="1554">
        <f t="shared" si="847"/>
        <v>0</v>
      </c>
      <c r="AH840" s="1566"/>
      <c r="AI840" s="1561">
        <f t="shared" si="848"/>
        <v>0</v>
      </c>
      <c r="AJ840" s="1561">
        <f t="shared" si="849"/>
        <v>0</v>
      </c>
      <c r="AL840" s="561"/>
      <c r="AM840" s="1526"/>
      <c r="AN840" s="1526"/>
      <c r="AO840" s="1526"/>
      <c r="AP840" s="1526"/>
      <c r="AQ840" s="1526"/>
      <c r="AR840" s="1526"/>
      <c r="AS840" s="1526"/>
      <c r="AT840" s="1526"/>
      <c r="AU840" s="1526"/>
      <c r="AV840" s="1526"/>
      <c r="AW840" s="1526"/>
      <c r="AX840" s="1526"/>
      <c r="AY840" s="1526"/>
      <c r="AZ840" s="1526"/>
      <c r="BA840" s="1526"/>
      <c r="BB840" s="1526"/>
      <c r="BC840" s="1526"/>
      <c r="BD840" s="1526"/>
      <c r="BE840" s="1526"/>
      <c r="BF840" s="1526"/>
      <c r="BG840" s="1526"/>
      <c r="BH840" s="1526"/>
    </row>
    <row r="841" spans="1:60" s="1525" customFormat="1">
      <c r="A841" s="1499"/>
      <c r="B841" s="1535" t="s">
        <v>2545</v>
      </c>
      <c r="C841" s="1368"/>
      <c r="D841" s="1368"/>
      <c r="E841" s="1368"/>
      <c r="F841" s="1368"/>
      <c r="G841" s="1557">
        <f t="shared" si="843"/>
        <v>0</v>
      </c>
      <c r="H841" s="577"/>
      <c r="I841" s="1557">
        <f t="shared" si="844"/>
        <v>0</v>
      </c>
      <c r="J841" s="577"/>
      <c r="K841" s="577"/>
      <c r="L841" s="577"/>
      <c r="M841" s="577"/>
      <c r="N841" s="577"/>
      <c r="O841" s="577"/>
      <c r="P841" s="577"/>
      <c r="Q841" s="577"/>
      <c r="R841" s="577"/>
      <c r="S841" s="1368">
        <f>F841*0.3*1.3</f>
        <v>0</v>
      </c>
      <c r="T841" s="1565"/>
      <c r="U841" s="1559">
        <f t="shared" si="845"/>
        <v>0</v>
      </c>
      <c r="V841" s="1566"/>
      <c r="W841" s="1559">
        <f t="shared" si="846"/>
        <v>0</v>
      </c>
      <c r="X841" s="1566"/>
      <c r="Y841" s="1566"/>
      <c r="Z841" s="1566"/>
      <c r="AA841" s="1566"/>
      <c r="AB841" s="1566"/>
      <c r="AC841" s="1566"/>
      <c r="AD841" s="1566"/>
      <c r="AE841" s="1566"/>
      <c r="AF841" s="1566"/>
      <c r="AG841" s="1554">
        <f t="shared" si="847"/>
        <v>0</v>
      </c>
      <c r="AH841" s="1566"/>
      <c r="AI841" s="1561">
        <f t="shared" si="848"/>
        <v>0</v>
      </c>
      <c r="AJ841" s="1561">
        <f t="shared" si="849"/>
        <v>0</v>
      </c>
      <c r="AL841" s="561"/>
      <c r="AM841" s="1526"/>
      <c r="AN841" s="1526"/>
      <c r="AO841" s="1526"/>
      <c r="AP841" s="1526"/>
      <c r="AQ841" s="1526"/>
      <c r="AR841" s="1526"/>
      <c r="AS841" s="1526"/>
      <c r="AT841" s="1526"/>
      <c r="AU841" s="1526"/>
      <c r="AV841" s="1526"/>
      <c r="AW841" s="1526"/>
      <c r="AX841" s="1526"/>
      <c r="AY841" s="1526"/>
      <c r="AZ841" s="1526"/>
      <c r="BA841" s="1526"/>
      <c r="BB841" s="1526"/>
      <c r="BC841" s="1526"/>
      <c r="BD841" s="1526"/>
      <c r="BE841" s="1526"/>
      <c r="BF841" s="1526"/>
      <c r="BG841" s="1526"/>
      <c r="BH841" s="1526"/>
    </row>
    <row r="842" spans="1:60" s="1525" customFormat="1">
      <c r="A842" s="1516" t="s">
        <v>18</v>
      </c>
      <c r="B842" s="1538" t="s">
        <v>2546</v>
      </c>
      <c r="C842" s="1564">
        <f>SUM(C843:C845)</f>
        <v>0</v>
      </c>
      <c r="D842" s="1564"/>
      <c r="E842" s="1564"/>
      <c r="F842" s="1564">
        <f t="shared" ref="F842:AJ842" si="850">SUM(F843:F845)</f>
        <v>0</v>
      </c>
      <c r="G842" s="1564">
        <f t="shared" si="850"/>
        <v>0</v>
      </c>
      <c r="H842" s="1564">
        <f t="shared" si="850"/>
        <v>0</v>
      </c>
      <c r="I842" s="1564">
        <f t="shared" si="850"/>
        <v>0</v>
      </c>
      <c r="J842" s="1564">
        <f t="shared" si="850"/>
        <v>0</v>
      </c>
      <c r="K842" s="1564">
        <f t="shared" si="850"/>
        <v>0</v>
      </c>
      <c r="L842" s="1564">
        <f t="shared" si="850"/>
        <v>0</v>
      </c>
      <c r="M842" s="1564">
        <f t="shared" si="850"/>
        <v>0</v>
      </c>
      <c r="N842" s="1564">
        <f t="shared" si="850"/>
        <v>0</v>
      </c>
      <c r="O842" s="1564">
        <f t="shared" si="850"/>
        <v>0</v>
      </c>
      <c r="P842" s="1564">
        <f t="shared" si="850"/>
        <v>0</v>
      </c>
      <c r="Q842" s="1564">
        <f t="shared" si="850"/>
        <v>0</v>
      </c>
      <c r="R842" s="1564">
        <f t="shared" si="850"/>
        <v>0</v>
      </c>
      <c r="S842" s="1564">
        <f t="shared" si="850"/>
        <v>0</v>
      </c>
      <c r="T842" s="1564">
        <f t="shared" si="850"/>
        <v>0</v>
      </c>
      <c r="U842" s="1563">
        <f t="shared" si="850"/>
        <v>0</v>
      </c>
      <c r="V842" s="1563">
        <f t="shared" si="850"/>
        <v>0</v>
      </c>
      <c r="W842" s="1563">
        <f t="shared" si="850"/>
        <v>0</v>
      </c>
      <c r="X842" s="1563">
        <f t="shared" si="850"/>
        <v>0</v>
      </c>
      <c r="Y842" s="1563">
        <f t="shared" si="850"/>
        <v>0</v>
      </c>
      <c r="Z842" s="1563">
        <f t="shared" si="850"/>
        <v>0</v>
      </c>
      <c r="AA842" s="1563">
        <f t="shared" si="850"/>
        <v>0</v>
      </c>
      <c r="AB842" s="1563">
        <f t="shared" si="850"/>
        <v>0</v>
      </c>
      <c r="AC842" s="1563">
        <f t="shared" si="850"/>
        <v>0</v>
      </c>
      <c r="AD842" s="1563">
        <f t="shared" si="850"/>
        <v>0</v>
      </c>
      <c r="AE842" s="1563">
        <f t="shared" si="850"/>
        <v>0</v>
      </c>
      <c r="AF842" s="1563">
        <f t="shared" si="850"/>
        <v>0</v>
      </c>
      <c r="AG842" s="1563">
        <f t="shared" si="850"/>
        <v>0</v>
      </c>
      <c r="AH842" s="1563">
        <f t="shared" si="850"/>
        <v>0</v>
      </c>
      <c r="AI842" s="1563">
        <f t="shared" si="850"/>
        <v>0</v>
      </c>
      <c r="AJ842" s="1563">
        <f t="shared" si="850"/>
        <v>0</v>
      </c>
      <c r="AL842" s="561"/>
      <c r="AM842" s="1526"/>
      <c r="AN842" s="1526"/>
      <c r="AO842" s="1526"/>
      <c r="AP842" s="1526"/>
      <c r="AQ842" s="1526"/>
      <c r="AR842" s="1526"/>
      <c r="AS842" s="1526"/>
      <c r="AT842" s="1526"/>
      <c r="AU842" s="1526"/>
      <c r="AV842" s="1526"/>
      <c r="AW842" s="1526"/>
      <c r="AX842" s="1526"/>
      <c r="AY842" s="1526"/>
      <c r="AZ842" s="1526"/>
      <c r="BA842" s="1526"/>
      <c r="BB842" s="1526"/>
      <c r="BC842" s="1526"/>
      <c r="BD842" s="1526"/>
      <c r="BE842" s="1526"/>
      <c r="BF842" s="1526"/>
      <c r="BG842" s="1526"/>
      <c r="BH842" s="1526"/>
    </row>
    <row r="843" spans="1:60" s="1525" customFormat="1">
      <c r="A843" s="1499"/>
      <c r="B843" s="1535" t="s">
        <v>2547</v>
      </c>
      <c r="C843" s="1368"/>
      <c r="D843" s="1368"/>
      <c r="E843" s="1368"/>
      <c r="F843" s="1368"/>
      <c r="G843" s="1557">
        <f t="shared" ref="G843:G845" si="851">H843+I843+T843</f>
        <v>0</v>
      </c>
      <c r="H843" s="577"/>
      <c r="I843" s="1557">
        <f t="shared" ref="I843:I845" si="852">SUM(J843:S843)</f>
        <v>0</v>
      </c>
      <c r="J843" s="577"/>
      <c r="K843" s="577"/>
      <c r="L843" s="577"/>
      <c r="M843" s="577"/>
      <c r="N843" s="577"/>
      <c r="O843" s="577"/>
      <c r="P843" s="577"/>
      <c r="Q843" s="577"/>
      <c r="R843" s="577"/>
      <c r="S843" s="1368">
        <f>F843*0.5*1.3</f>
        <v>0</v>
      </c>
      <c r="T843" s="1565"/>
      <c r="U843" s="1559">
        <f t="shared" ref="U843:U845" si="853">V843+W843+AH843</f>
        <v>0</v>
      </c>
      <c r="V843" s="1566"/>
      <c r="W843" s="1559">
        <f t="shared" ref="W843:W845" si="854">SUM(X843:AG843)</f>
        <v>0</v>
      </c>
      <c r="X843" s="1566"/>
      <c r="Y843" s="1566"/>
      <c r="Z843" s="1566"/>
      <c r="AA843" s="1566"/>
      <c r="AB843" s="1566"/>
      <c r="AC843" s="1566"/>
      <c r="AD843" s="1566"/>
      <c r="AE843" s="1566"/>
      <c r="AF843" s="1566"/>
      <c r="AG843" s="1554">
        <f t="shared" ref="AG843:AG845" si="855">(S843/1.39)*1.49</f>
        <v>0</v>
      </c>
      <c r="AH843" s="1566"/>
      <c r="AI843" s="1561">
        <f t="shared" ref="AI843:AI845" si="856">U843-G843</f>
        <v>0</v>
      </c>
      <c r="AJ843" s="1561">
        <f t="shared" ref="AJ843:AJ845" si="857">AI843*6</f>
        <v>0</v>
      </c>
      <c r="AL843" s="561"/>
      <c r="AM843" s="1526"/>
      <c r="AN843" s="1526"/>
      <c r="AO843" s="1526"/>
      <c r="AP843" s="1526"/>
      <c r="AQ843" s="1526"/>
      <c r="AR843" s="1526"/>
      <c r="AS843" s="1526"/>
      <c r="AT843" s="1526"/>
      <c r="AU843" s="1526"/>
      <c r="AV843" s="1526"/>
      <c r="AW843" s="1526"/>
      <c r="AX843" s="1526"/>
      <c r="AY843" s="1526"/>
      <c r="AZ843" s="1526"/>
      <c r="BA843" s="1526"/>
      <c r="BB843" s="1526"/>
      <c r="BC843" s="1526"/>
      <c r="BD843" s="1526"/>
      <c r="BE843" s="1526"/>
      <c r="BF843" s="1526"/>
      <c r="BG843" s="1526"/>
      <c r="BH843" s="1526"/>
    </row>
    <row r="844" spans="1:60" s="1525" customFormat="1">
      <c r="A844" s="1499"/>
      <c r="B844" s="1535" t="s">
        <v>2548</v>
      </c>
      <c r="C844" s="1368"/>
      <c r="D844" s="1368"/>
      <c r="E844" s="1368"/>
      <c r="F844" s="1368"/>
      <c r="G844" s="1557">
        <f t="shared" si="851"/>
        <v>0</v>
      </c>
      <c r="H844" s="577"/>
      <c r="I844" s="1557">
        <f t="shared" si="852"/>
        <v>0</v>
      </c>
      <c r="J844" s="577"/>
      <c r="K844" s="577"/>
      <c r="L844" s="577"/>
      <c r="M844" s="577"/>
      <c r="N844" s="577"/>
      <c r="O844" s="577"/>
      <c r="P844" s="577"/>
      <c r="Q844" s="577"/>
      <c r="R844" s="577"/>
      <c r="S844" s="1368">
        <f>F844*0.4*1.3</f>
        <v>0</v>
      </c>
      <c r="T844" s="1565"/>
      <c r="U844" s="1559">
        <f t="shared" si="853"/>
        <v>0</v>
      </c>
      <c r="V844" s="1566"/>
      <c r="W844" s="1559">
        <f t="shared" si="854"/>
        <v>0</v>
      </c>
      <c r="X844" s="1566"/>
      <c r="Y844" s="1566"/>
      <c r="Z844" s="1566"/>
      <c r="AA844" s="1566"/>
      <c r="AB844" s="1566"/>
      <c r="AC844" s="1566"/>
      <c r="AD844" s="1566"/>
      <c r="AE844" s="1566"/>
      <c r="AF844" s="1566"/>
      <c r="AG844" s="1554">
        <f t="shared" si="855"/>
        <v>0</v>
      </c>
      <c r="AH844" s="1566"/>
      <c r="AI844" s="1561">
        <f t="shared" si="856"/>
        <v>0</v>
      </c>
      <c r="AJ844" s="1561">
        <f t="shared" si="857"/>
        <v>0</v>
      </c>
      <c r="AL844" s="561"/>
      <c r="AM844" s="1526"/>
      <c r="AN844" s="1526"/>
      <c r="AO844" s="1526"/>
      <c r="AP844" s="1526"/>
      <c r="AQ844" s="1526"/>
      <c r="AR844" s="1526"/>
      <c r="AS844" s="1526"/>
      <c r="AT844" s="1526"/>
      <c r="AU844" s="1526"/>
      <c r="AV844" s="1526"/>
      <c r="AW844" s="1526"/>
      <c r="AX844" s="1526"/>
      <c r="AY844" s="1526"/>
      <c r="AZ844" s="1526"/>
      <c r="BA844" s="1526"/>
      <c r="BB844" s="1526"/>
      <c r="BC844" s="1526"/>
      <c r="BD844" s="1526"/>
      <c r="BE844" s="1526"/>
      <c r="BF844" s="1526"/>
      <c r="BG844" s="1526"/>
      <c r="BH844" s="1526"/>
    </row>
    <row r="845" spans="1:60" s="1525" customFormat="1">
      <c r="A845" s="1499"/>
      <c r="B845" s="1535" t="s">
        <v>2549</v>
      </c>
      <c r="C845" s="1368"/>
      <c r="D845" s="1368"/>
      <c r="E845" s="1368"/>
      <c r="F845" s="1368"/>
      <c r="G845" s="1557">
        <f t="shared" si="851"/>
        <v>0</v>
      </c>
      <c r="H845" s="577"/>
      <c r="I845" s="1557">
        <f t="shared" si="852"/>
        <v>0</v>
      </c>
      <c r="J845" s="577"/>
      <c r="K845" s="577"/>
      <c r="L845" s="577"/>
      <c r="M845" s="577"/>
      <c r="N845" s="577"/>
      <c r="O845" s="577"/>
      <c r="P845" s="577"/>
      <c r="Q845" s="577"/>
      <c r="R845" s="577"/>
      <c r="S845" s="1368">
        <f>F845*0.3*1.3</f>
        <v>0</v>
      </c>
      <c r="T845" s="1565"/>
      <c r="U845" s="1559">
        <f t="shared" si="853"/>
        <v>0</v>
      </c>
      <c r="V845" s="1566"/>
      <c r="W845" s="1559">
        <f t="shared" si="854"/>
        <v>0</v>
      </c>
      <c r="X845" s="1566"/>
      <c r="Y845" s="1566"/>
      <c r="Z845" s="1566"/>
      <c r="AA845" s="1566"/>
      <c r="AB845" s="1566"/>
      <c r="AC845" s="1566"/>
      <c r="AD845" s="1566"/>
      <c r="AE845" s="1566"/>
      <c r="AF845" s="1566"/>
      <c r="AG845" s="1554">
        <f t="shared" si="855"/>
        <v>0</v>
      </c>
      <c r="AH845" s="1566"/>
      <c r="AI845" s="1561">
        <f t="shared" si="856"/>
        <v>0</v>
      </c>
      <c r="AJ845" s="1561">
        <f t="shared" si="857"/>
        <v>0</v>
      </c>
      <c r="AL845" s="561"/>
      <c r="AM845" s="1526"/>
      <c r="AN845" s="1526"/>
      <c r="AO845" s="1526"/>
      <c r="AP845" s="1526"/>
      <c r="AQ845" s="1526"/>
      <c r="AR845" s="1526"/>
      <c r="AS845" s="1526"/>
      <c r="AT845" s="1526"/>
      <c r="AU845" s="1526"/>
      <c r="AV845" s="1526"/>
      <c r="AW845" s="1526"/>
      <c r="AX845" s="1526"/>
      <c r="AY845" s="1526"/>
      <c r="AZ845" s="1526"/>
      <c r="BA845" s="1526"/>
      <c r="BB845" s="1526"/>
      <c r="BC845" s="1526"/>
      <c r="BD845" s="1526"/>
      <c r="BE845" s="1526"/>
      <c r="BF845" s="1526"/>
      <c r="BG845" s="1526"/>
      <c r="BH845" s="1526"/>
    </row>
    <row r="846" spans="1:60" s="1525" customFormat="1">
      <c r="A846" s="1605"/>
      <c r="B846" s="1606" t="s">
        <v>2498</v>
      </c>
      <c r="C846" s="1604">
        <f>C847+C867+C868+C872</f>
        <v>0</v>
      </c>
      <c r="D846" s="1604"/>
      <c r="E846" s="1604"/>
      <c r="F846" s="1604">
        <f t="shared" ref="F846:AJ846" si="858">F847+F867+F868+F872</f>
        <v>0</v>
      </c>
      <c r="G846" s="1604">
        <f t="shared" si="858"/>
        <v>0</v>
      </c>
      <c r="H846" s="1604">
        <f t="shared" si="858"/>
        <v>0</v>
      </c>
      <c r="I846" s="1604">
        <f t="shared" si="858"/>
        <v>0</v>
      </c>
      <c r="J846" s="1604">
        <f t="shared" si="858"/>
        <v>0</v>
      </c>
      <c r="K846" s="1604">
        <f t="shared" si="858"/>
        <v>0</v>
      </c>
      <c r="L846" s="1604">
        <f t="shared" si="858"/>
        <v>0</v>
      </c>
      <c r="M846" s="1604">
        <f t="shared" si="858"/>
        <v>0</v>
      </c>
      <c r="N846" s="1604">
        <f t="shared" si="858"/>
        <v>0</v>
      </c>
      <c r="O846" s="1604">
        <f t="shared" si="858"/>
        <v>0</v>
      </c>
      <c r="P846" s="1604">
        <f t="shared" si="858"/>
        <v>0</v>
      </c>
      <c r="Q846" s="1604">
        <f t="shared" si="858"/>
        <v>0</v>
      </c>
      <c r="R846" s="1604">
        <f>R847+R867+R868+R872</f>
        <v>0</v>
      </c>
      <c r="S846" s="1604">
        <f t="shared" si="858"/>
        <v>0</v>
      </c>
      <c r="T846" s="1604">
        <f t="shared" si="858"/>
        <v>0</v>
      </c>
      <c r="U846" s="1604">
        <f t="shared" si="858"/>
        <v>0</v>
      </c>
      <c r="V846" s="1604">
        <f t="shared" si="858"/>
        <v>0</v>
      </c>
      <c r="W846" s="1604">
        <f t="shared" si="858"/>
        <v>0</v>
      </c>
      <c r="X846" s="1604">
        <f t="shared" si="858"/>
        <v>0</v>
      </c>
      <c r="Y846" s="1604">
        <f t="shared" si="858"/>
        <v>0</v>
      </c>
      <c r="Z846" s="1604">
        <f t="shared" si="858"/>
        <v>0</v>
      </c>
      <c r="AA846" s="1604">
        <f t="shared" si="858"/>
        <v>0</v>
      </c>
      <c r="AB846" s="1604">
        <f t="shared" si="858"/>
        <v>0</v>
      </c>
      <c r="AC846" s="1604">
        <f t="shared" si="858"/>
        <v>0</v>
      </c>
      <c r="AD846" s="1604">
        <f t="shared" si="858"/>
        <v>0</v>
      </c>
      <c r="AE846" s="1604">
        <f t="shared" si="858"/>
        <v>0</v>
      </c>
      <c r="AF846" s="1604">
        <f t="shared" si="858"/>
        <v>0</v>
      </c>
      <c r="AG846" s="1604">
        <f t="shared" si="858"/>
        <v>0</v>
      </c>
      <c r="AH846" s="1604">
        <f t="shared" si="858"/>
        <v>0</v>
      </c>
      <c r="AI846" s="1604">
        <f t="shared" si="858"/>
        <v>0</v>
      </c>
      <c r="AJ846" s="1604">
        <f t="shared" si="858"/>
        <v>0</v>
      </c>
      <c r="AL846" s="561"/>
      <c r="AM846" s="1526"/>
      <c r="AN846" s="1526"/>
      <c r="AO846" s="1526"/>
      <c r="AP846" s="1526"/>
      <c r="AQ846" s="1526"/>
      <c r="AR846" s="1526"/>
      <c r="AS846" s="1526"/>
      <c r="AT846" s="1526"/>
      <c r="AU846" s="1526"/>
      <c r="AV846" s="1526"/>
      <c r="AW846" s="1526"/>
      <c r="AX846" s="1526"/>
      <c r="AY846" s="1526"/>
      <c r="AZ846" s="1526"/>
      <c r="BA846" s="1526"/>
      <c r="BB846" s="1526"/>
      <c r="BC846" s="1526"/>
      <c r="BD846" s="1526"/>
      <c r="BE846" s="1526"/>
      <c r="BF846" s="1526"/>
      <c r="BG846" s="1526"/>
      <c r="BH846" s="1526"/>
    </row>
    <row r="847" spans="1:60" s="1525" customFormat="1">
      <c r="A847" s="1433" t="s">
        <v>13</v>
      </c>
      <c r="B847" s="1552" t="s">
        <v>2528</v>
      </c>
      <c r="C847" s="1438">
        <f>C849+C854+C856+C857+C858+C859+C860+C861+C862+C863</f>
        <v>0</v>
      </c>
      <c r="D847" s="1438"/>
      <c r="E847" s="1438"/>
      <c r="F847" s="1438">
        <f t="shared" ref="F847:AH847" si="859">F849+F854+F856+F857+F858+F859+F860+F861+F862+F863</f>
        <v>0</v>
      </c>
      <c r="G847" s="1438">
        <f t="shared" si="859"/>
        <v>0</v>
      </c>
      <c r="H847" s="1438">
        <f t="shared" si="859"/>
        <v>0</v>
      </c>
      <c r="I847" s="1438">
        <f t="shared" si="859"/>
        <v>0</v>
      </c>
      <c r="J847" s="1438">
        <f t="shared" si="859"/>
        <v>0</v>
      </c>
      <c r="K847" s="1438">
        <f t="shared" si="859"/>
        <v>0</v>
      </c>
      <c r="L847" s="1438">
        <f t="shared" si="859"/>
        <v>0</v>
      </c>
      <c r="M847" s="1438">
        <f t="shared" si="859"/>
        <v>0</v>
      </c>
      <c r="N847" s="1438">
        <f t="shared" si="859"/>
        <v>0</v>
      </c>
      <c r="O847" s="1438">
        <f t="shared" si="859"/>
        <v>0</v>
      </c>
      <c r="P847" s="1438">
        <f t="shared" si="859"/>
        <v>0</v>
      </c>
      <c r="Q847" s="1438">
        <f t="shared" si="859"/>
        <v>0</v>
      </c>
      <c r="R847" s="1438">
        <f>R849+R854+R856+R857+R858+R859+R860+R861+R862+R863</f>
        <v>0</v>
      </c>
      <c r="S847" s="1438">
        <f t="shared" si="859"/>
        <v>0</v>
      </c>
      <c r="T847" s="1438">
        <f t="shared" si="859"/>
        <v>0</v>
      </c>
      <c r="U847" s="1438">
        <f t="shared" si="859"/>
        <v>0</v>
      </c>
      <c r="V847" s="1438">
        <f t="shared" si="859"/>
        <v>0</v>
      </c>
      <c r="W847" s="1438">
        <f t="shared" si="859"/>
        <v>0</v>
      </c>
      <c r="X847" s="1438">
        <f t="shared" si="859"/>
        <v>0</v>
      </c>
      <c r="Y847" s="1438">
        <f t="shared" si="859"/>
        <v>0</v>
      </c>
      <c r="Z847" s="1438">
        <f t="shared" si="859"/>
        <v>0</v>
      </c>
      <c r="AA847" s="1438">
        <f t="shared" si="859"/>
        <v>0</v>
      </c>
      <c r="AB847" s="1438">
        <f t="shared" si="859"/>
        <v>0</v>
      </c>
      <c r="AC847" s="1438">
        <f t="shared" si="859"/>
        <v>0</v>
      </c>
      <c r="AD847" s="1438">
        <f t="shared" si="859"/>
        <v>0</v>
      </c>
      <c r="AE847" s="1438">
        <f t="shared" si="859"/>
        <v>0</v>
      </c>
      <c r="AF847" s="1438">
        <f t="shared" si="859"/>
        <v>0</v>
      </c>
      <c r="AG847" s="1438">
        <f t="shared" si="859"/>
        <v>0</v>
      </c>
      <c r="AH847" s="1438">
        <f t="shared" si="859"/>
        <v>0</v>
      </c>
      <c r="AI847" s="1438">
        <f>AI849+AI854+AI856+AI857+AI858+AI859+AI860+AI861+AI862+AI863</f>
        <v>0</v>
      </c>
      <c r="AJ847" s="1438">
        <f>AJ849+AJ854+AJ856+AJ857+AJ858+AJ859+AJ860+AJ861+AJ862+AJ863</f>
        <v>0</v>
      </c>
      <c r="AL847" s="561"/>
      <c r="AM847" s="1526"/>
      <c r="AN847" s="1526"/>
      <c r="AO847" s="1526"/>
      <c r="AP847" s="1526"/>
      <c r="AQ847" s="1526"/>
      <c r="AR847" s="1526"/>
      <c r="AS847" s="1526"/>
      <c r="AT847" s="1526"/>
      <c r="AU847" s="1526"/>
      <c r="AV847" s="1526"/>
      <c r="AW847" s="1526"/>
      <c r="AX847" s="1526"/>
      <c r="AY847" s="1526"/>
      <c r="AZ847" s="1526"/>
      <c r="BA847" s="1526"/>
      <c r="BB847" s="1526"/>
      <c r="BC847" s="1526"/>
      <c r="BD847" s="1526"/>
      <c r="BE847" s="1526"/>
      <c r="BF847" s="1526"/>
      <c r="BG847" s="1526"/>
      <c r="BH847" s="1526"/>
    </row>
    <row r="848" spans="1:60" s="1525" customFormat="1">
      <c r="A848" s="1375"/>
      <c r="B848" s="1533" t="s">
        <v>2512</v>
      </c>
      <c r="C848" s="1440"/>
      <c r="D848" s="1440"/>
      <c r="E848" s="1440"/>
      <c r="F848" s="1440"/>
      <c r="G848" s="1553"/>
      <c r="H848" s="1440"/>
      <c r="I848" s="1553"/>
      <c r="J848" s="1440"/>
      <c r="K848" s="1440"/>
      <c r="L848" s="1440"/>
      <c r="M848" s="1440"/>
      <c r="N848" s="1440"/>
      <c r="O848" s="1440"/>
      <c r="P848" s="1440"/>
      <c r="Q848" s="1440"/>
      <c r="R848" s="1440"/>
      <c r="S848" s="1440"/>
      <c r="T848" s="1553"/>
      <c r="U848" s="1554"/>
      <c r="V848" s="1554"/>
      <c r="W848" s="1554"/>
      <c r="X848" s="1554"/>
      <c r="Y848" s="1554"/>
      <c r="Z848" s="1554"/>
      <c r="AA848" s="1554"/>
      <c r="AB848" s="1554"/>
      <c r="AC848" s="1554"/>
      <c r="AD848" s="1554"/>
      <c r="AE848" s="1554"/>
      <c r="AF848" s="1554"/>
      <c r="AG848" s="1554"/>
      <c r="AH848" s="1554"/>
      <c r="AI848" s="1554"/>
      <c r="AJ848" s="1554"/>
      <c r="AL848" s="561"/>
      <c r="AM848" s="1526"/>
      <c r="AN848" s="1526"/>
      <c r="AO848" s="1526"/>
      <c r="AP848" s="1526"/>
      <c r="AQ848" s="1526"/>
      <c r="AR848" s="1526"/>
      <c r="AS848" s="1526"/>
      <c r="AT848" s="1526"/>
      <c r="AU848" s="1526"/>
      <c r="AV848" s="1526"/>
      <c r="AW848" s="1526"/>
      <c r="AX848" s="1526"/>
      <c r="AY848" s="1526"/>
      <c r="AZ848" s="1526"/>
      <c r="BA848" s="1526"/>
      <c r="BB848" s="1526"/>
      <c r="BC848" s="1526"/>
      <c r="BD848" s="1526"/>
      <c r="BE848" s="1526"/>
      <c r="BF848" s="1526"/>
      <c r="BG848" s="1526"/>
      <c r="BH848" s="1526"/>
    </row>
    <row r="849" spans="1:60" s="1525" customFormat="1">
      <c r="A849" s="1375">
        <v>1</v>
      </c>
      <c r="B849" s="1534" t="s">
        <v>2489</v>
      </c>
      <c r="C849" s="1365">
        <f>C850+C852</f>
        <v>0</v>
      </c>
      <c r="D849" s="1365">
        <f t="shared" ref="D849:AJ849" si="860">D850+D852</f>
        <v>0</v>
      </c>
      <c r="E849" s="1365">
        <f t="shared" si="860"/>
        <v>0</v>
      </c>
      <c r="F849" s="1365">
        <f t="shared" si="860"/>
        <v>0</v>
      </c>
      <c r="G849" s="1365">
        <f t="shared" si="860"/>
        <v>0</v>
      </c>
      <c r="H849" s="1365">
        <f t="shared" si="860"/>
        <v>0</v>
      </c>
      <c r="I849" s="1365">
        <f t="shared" si="860"/>
        <v>0</v>
      </c>
      <c r="J849" s="1365">
        <f t="shared" si="860"/>
        <v>0</v>
      </c>
      <c r="K849" s="1365">
        <f t="shared" si="860"/>
        <v>0</v>
      </c>
      <c r="L849" s="1365">
        <f t="shared" si="860"/>
        <v>0</v>
      </c>
      <c r="M849" s="1365">
        <f t="shared" si="860"/>
        <v>0</v>
      </c>
      <c r="N849" s="1365">
        <f t="shared" si="860"/>
        <v>0</v>
      </c>
      <c r="O849" s="1365">
        <f t="shared" si="860"/>
        <v>0</v>
      </c>
      <c r="P849" s="1365">
        <f t="shared" si="860"/>
        <v>0</v>
      </c>
      <c r="Q849" s="1365">
        <f t="shared" si="860"/>
        <v>0</v>
      </c>
      <c r="R849" s="1365">
        <f t="shared" si="860"/>
        <v>0</v>
      </c>
      <c r="S849" s="1365">
        <f t="shared" si="860"/>
        <v>0</v>
      </c>
      <c r="T849" s="1365">
        <f t="shared" si="860"/>
        <v>0</v>
      </c>
      <c r="U849" s="1556">
        <f t="shared" si="860"/>
        <v>0</v>
      </c>
      <c r="V849" s="1556">
        <f t="shared" si="860"/>
        <v>0</v>
      </c>
      <c r="W849" s="1556">
        <f t="shared" si="860"/>
        <v>0</v>
      </c>
      <c r="X849" s="1556">
        <f t="shared" si="860"/>
        <v>0</v>
      </c>
      <c r="Y849" s="1556">
        <f t="shared" si="860"/>
        <v>0</v>
      </c>
      <c r="Z849" s="1556">
        <f t="shared" si="860"/>
        <v>0</v>
      </c>
      <c r="AA849" s="1556">
        <f t="shared" si="860"/>
        <v>0</v>
      </c>
      <c r="AB849" s="1556">
        <f t="shared" si="860"/>
        <v>0</v>
      </c>
      <c r="AC849" s="1556">
        <f t="shared" si="860"/>
        <v>0</v>
      </c>
      <c r="AD849" s="1556">
        <f t="shared" si="860"/>
        <v>0</v>
      </c>
      <c r="AE849" s="1556">
        <f t="shared" si="860"/>
        <v>0</v>
      </c>
      <c r="AF849" s="1556">
        <f t="shared" si="860"/>
        <v>0</v>
      </c>
      <c r="AG849" s="1556">
        <f t="shared" si="860"/>
        <v>0</v>
      </c>
      <c r="AH849" s="1556">
        <f t="shared" si="860"/>
        <v>0</v>
      </c>
      <c r="AI849" s="1556">
        <f t="shared" si="860"/>
        <v>0</v>
      </c>
      <c r="AJ849" s="1556">
        <f t="shared" si="860"/>
        <v>0</v>
      </c>
      <c r="AL849" s="561"/>
      <c r="AM849" s="1526"/>
      <c r="AN849" s="1526"/>
      <c r="AO849" s="1526"/>
      <c r="AP849" s="1526"/>
      <c r="AQ849" s="1526"/>
      <c r="AR849" s="1526"/>
      <c r="AS849" s="1526"/>
      <c r="AT849" s="1526"/>
      <c r="AU849" s="1526"/>
      <c r="AV849" s="1526"/>
      <c r="AW849" s="1526"/>
      <c r="AX849" s="1526"/>
      <c r="AY849" s="1526"/>
      <c r="AZ849" s="1526"/>
      <c r="BA849" s="1526"/>
      <c r="BB849" s="1526"/>
      <c r="BC849" s="1526"/>
      <c r="BD849" s="1526"/>
      <c r="BE849" s="1526"/>
      <c r="BF849" s="1526"/>
      <c r="BG849" s="1526"/>
      <c r="BH849" s="1526"/>
    </row>
    <row r="850" spans="1:60" s="1525" customFormat="1">
      <c r="A850" s="1375"/>
      <c r="B850" s="1449" t="s">
        <v>2490</v>
      </c>
      <c r="C850" s="1365"/>
      <c r="D850" s="1365"/>
      <c r="E850" s="1365"/>
      <c r="F850" s="1365"/>
      <c r="G850" s="1553">
        <f t="shared" ref="G850" si="861">H850+I850+T850</f>
        <v>0</v>
      </c>
      <c r="H850" s="1365"/>
      <c r="I850" s="1553">
        <f>SUM(J850:S850)</f>
        <v>0</v>
      </c>
      <c r="J850" s="1365"/>
      <c r="K850" s="1365"/>
      <c r="L850" s="1365"/>
      <c r="M850" s="1365"/>
      <c r="N850" s="1365"/>
      <c r="O850" s="1365"/>
      <c r="P850" s="1365"/>
      <c r="Q850" s="1365"/>
      <c r="R850" s="1365"/>
      <c r="S850" s="1365"/>
      <c r="T850" s="1555">
        <f t="shared" ref="T850:T862" si="862">(H850+K850+L850+R850)*23.5%</f>
        <v>0</v>
      </c>
      <c r="U850" s="1554">
        <f t="shared" ref="U850:U862" si="863">V850+W850+AH850</f>
        <v>0</v>
      </c>
      <c r="V850" s="1554">
        <f>(H850/1.39)*1.49</f>
        <v>0</v>
      </c>
      <c r="W850" s="1554">
        <f t="shared" ref="W850:W867" si="864">SUM(X850:AG850)</f>
        <v>0</v>
      </c>
      <c r="X850" s="1554">
        <f>(J850/1.39)*1.49</f>
        <v>0</v>
      </c>
      <c r="Y850" s="1554">
        <f>(K850/1.39)*1.49</f>
        <v>0</v>
      </c>
      <c r="Z850" s="1554">
        <f>(L850/1.39)*1.49</f>
        <v>0</v>
      </c>
      <c r="AA850" s="1554">
        <f>(M850/1.39)*1.49</f>
        <v>0</v>
      </c>
      <c r="AB850" s="1554">
        <f t="shared" ref="AB850:AG867" si="865">(N850/1.39)*1.49</f>
        <v>0</v>
      </c>
      <c r="AC850" s="1554">
        <f t="shared" si="865"/>
        <v>0</v>
      </c>
      <c r="AD850" s="1554">
        <f t="shared" si="865"/>
        <v>0</v>
      </c>
      <c r="AE850" s="1554">
        <f t="shared" si="865"/>
        <v>0</v>
      </c>
      <c r="AF850" s="1554">
        <f t="shared" si="865"/>
        <v>0</v>
      </c>
      <c r="AG850" s="1554">
        <f t="shared" si="865"/>
        <v>0</v>
      </c>
      <c r="AH850" s="1554">
        <f>(V850+Y850+Z850+AF850)*23.5%</f>
        <v>0</v>
      </c>
      <c r="AI850" s="1556">
        <f t="shared" ref="AI850:AI862" si="866">U850-G850</f>
        <v>0</v>
      </c>
      <c r="AJ850" s="1556">
        <f t="shared" ref="AJ850:AJ862" si="867">AI850*6</f>
        <v>0</v>
      </c>
      <c r="AL850" s="561"/>
      <c r="AM850" s="1526"/>
      <c r="AN850" s="1526"/>
      <c r="AO850" s="1526"/>
      <c r="AP850" s="1526"/>
      <c r="AQ850" s="1526"/>
      <c r="AR850" s="1526"/>
      <c r="AS850" s="1526"/>
      <c r="AT850" s="1526"/>
      <c r="AU850" s="1526"/>
      <c r="AV850" s="1526"/>
      <c r="AW850" s="1526"/>
      <c r="AX850" s="1526"/>
      <c r="AY850" s="1526"/>
      <c r="AZ850" s="1526"/>
      <c r="BA850" s="1526"/>
      <c r="BB850" s="1526"/>
      <c r="BC850" s="1526"/>
      <c r="BD850" s="1526"/>
      <c r="BE850" s="1526"/>
      <c r="BF850" s="1526"/>
      <c r="BG850" s="1526"/>
      <c r="BH850" s="1526"/>
    </row>
    <row r="851" spans="1:60" s="1525" customFormat="1">
      <c r="A851" s="1456"/>
      <c r="B851" s="1535" t="s">
        <v>2529</v>
      </c>
      <c r="C851" s="1365"/>
      <c r="D851" s="1365"/>
      <c r="E851" s="1365"/>
      <c r="F851" s="1365"/>
      <c r="G851" s="1555"/>
      <c r="H851" s="1365"/>
      <c r="I851" s="1555"/>
      <c r="J851" s="1365"/>
      <c r="K851" s="1365"/>
      <c r="L851" s="1365"/>
      <c r="M851" s="1365"/>
      <c r="N851" s="1365"/>
      <c r="O851" s="1365"/>
      <c r="P851" s="1365"/>
      <c r="Q851" s="1365"/>
      <c r="R851" s="1365"/>
      <c r="S851" s="1365"/>
      <c r="T851" s="1555">
        <f>(H851+K851+L851+R851)*23.5%</f>
        <v>0</v>
      </c>
      <c r="U851" s="1554">
        <f t="shared" si="863"/>
        <v>0</v>
      </c>
      <c r="V851" s="1554">
        <f t="shared" ref="V851:V866" si="868">(H851/1.39)*1.49</f>
        <v>0</v>
      </c>
      <c r="W851" s="1554">
        <f t="shared" si="864"/>
        <v>0</v>
      </c>
      <c r="X851" s="1554">
        <f t="shared" ref="X851:AA866" si="869">(J851/1.39)*1.49</f>
        <v>0</v>
      </c>
      <c r="Y851" s="1554">
        <f t="shared" si="869"/>
        <v>0</v>
      </c>
      <c r="Z851" s="1554">
        <f t="shared" si="869"/>
        <v>0</v>
      </c>
      <c r="AA851" s="1554">
        <f t="shared" si="869"/>
        <v>0</v>
      </c>
      <c r="AB851" s="1554">
        <f t="shared" si="865"/>
        <v>0</v>
      </c>
      <c r="AC851" s="1554">
        <f t="shared" si="865"/>
        <v>0</v>
      </c>
      <c r="AD851" s="1554">
        <f t="shared" si="865"/>
        <v>0</v>
      </c>
      <c r="AE851" s="1554">
        <f t="shared" si="865"/>
        <v>0</v>
      </c>
      <c r="AF851" s="1554">
        <f t="shared" si="865"/>
        <v>0</v>
      </c>
      <c r="AG851" s="1554">
        <f t="shared" si="865"/>
        <v>0</v>
      </c>
      <c r="AH851" s="1554">
        <f t="shared" ref="AH851:AH862" si="870">(V851+Y851+Z851+AF851)*23.5%</f>
        <v>0</v>
      </c>
      <c r="AI851" s="1556">
        <f t="shared" si="866"/>
        <v>0</v>
      </c>
      <c r="AJ851" s="1556">
        <f t="shared" si="867"/>
        <v>0</v>
      </c>
      <c r="AL851" s="561"/>
      <c r="AM851" s="1526"/>
      <c r="AN851" s="1526"/>
      <c r="AO851" s="1526"/>
      <c r="AP851" s="1526"/>
      <c r="AQ851" s="1526"/>
      <c r="AR851" s="1526"/>
      <c r="AS851" s="1526"/>
      <c r="AT851" s="1526"/>
      <c r="AU851" s="1526"/>
      <c r="AV851" s="1526"/>
      <c r="AW851" s="1526"/>
      <c r="AX851" s="1526"/>
      <c r="AY851" s="1526"/>
      <c r="AZ851" s="1526"/>
      <c r="BA851" s="1526"/>
      <c r="BB851" s="1526"/>
      <c r="BC851" s="1526"/>
      <c r="BD851" s="1526"/>
      <c r="BE851" s="1526"/>
      <c r="BF851" s="1526"/>
      <c r="BG851" s="1526"/>
      <c r="BH851" s="1526"/>
    </row>
    <row r="852" spans="1:60" s="1525" customFormat="1">
      <c r="A852" s="1456"/>
      <c r="B852" s="1449" t="s">
        <v>2491</v>
      </c>
      <c r="C852" s="1365"/>
      <c r="D852" s="1365"/>
      <c r="E852" s="1365"/>
      <c r="F852" s="1365"/>
      <c r="G852" s="1553">
        <f t="shared" ref="G852" si="871">H852+I852+T852</f>
        <v>0</v>
      </c>
      <c r="H852" s="1365"/>
      <c r="I852" s="1553">
        <f>SUM(J852:S852)</f>
        <v>0</v>
      </c>
      <c r="J852" s="1365"/>
      <c r="K852" s="1365"/>
      <c r="L852" s="1365"/>
      <c r="M852" s="1365"/>
      <c r="N852" s="1365"/>
      <c r="O852" s="1365"/>
      <c r="P852" s="1365"/>
      <c r="Q852" s="1365"/>
      <c r="R852" s="1365"/>
      <c r="S852" s="1365"/>
      <c r="T852" s="1555">
        <f t="shared" si="862"/>
        <v>0</v>
      </c>
      <c r="U852" s="1554">
        <f t="shared" si="863"/>
        <v>0</v>
      </c>
      <c r="V852" s="1554">
        <f t="shared" si="868"/>
        <v>0</v>
      </c>
      <c r="W852" s="1554">
        <f t="shared" si="864"/>
        <v>0</v>
      </c>
      <c r="X852" s="1554">
        <f t="shared" si="869"/>
        <v>0</v>
      </c>
      <c r="Y852" s="1554">
        <f t="shared" si="869"/>
        <v>0</v>
      </c>
      <c r="Z852" s="1554">
        <f t="shared" si="869"/>
        <v>0</v>
      </c>
      <c r="AA852" s="1554">
        <f t="shared" si="869"/>
        <v>0</v>
      </c>
      <c r="AB852" s="1554">
        <f t="shared" si="865"/>
        <v>0</v>
      </c>
      <c r="AC852" s="1554">
        <f t="shared" si="865"/>
        <v>0</v>
      </c>
      <c r="AD852" s="1554">
        <f t="shared" si="865"/>
        <v>0</v>
      </c>
      <c r="AE852" s="1554">
        <f t="shared" si="865"/>
        <v>0</v>
      </c>
      <c r="AF852" s="1554">
        <f t="shared" si="865"/>
        <v>0</v>
      </c>
      <c r="AG852" s="1554">
        <f t="shared" si="865"/>
        <v>0</v>
      </c>
      <c r="AH852" s="1554">
        <f t="shared" si="870"/>
        <v>0</v>
      </c>
      <c r="AI852" s="1556">
        <f t="shared" si="866"/>
        <v>0</v>
      </c>
      <c r="AJ852" s="1556">
        <f t="shared" si="867"/>
        <v>0</v>
      </c>
      <c r="AL852" s="561"/>
      <c r="AM852" s="1526"/>
      <c r="AN852" s="1526"/>
      <c r="AO852" s="1526"/>
      <c r="AP852" s="1526"/>
      <c r="AQ852" s="1526"/>
      <c r="AR852" s="1526"/>
      <c r="AS852" s="1526"/>
      <c r="AT852" s="1526"/>
      <c r="AU852" s="1526"/>
      <c r="AV852" s="1526"/>
      <c r="AW852" s="1526"/>
      <c r="AX852" s="1526"/>
      <c r="AY852" s="1526"/>
      <c r="AZ852" s="1526"/>
      <c r="BA852" s="1526"/>
      <c r="BB852" s="1526"/>
      <c r="BC852" s="1526"/>
      <c r="BD852" s="1526"/>
      <c r="BE852" s="1526"/>
      <c r="BF852" s="1526"/>
      <c r="BG852" s="1526"/>
      <c r="BH852" s="1526"/>
    </row>
    <row r="853" spans="1:60" s="1525" customFormat="1">
      <c r="A853" s="1456"/>
      <c r="B853" s="1535" t="s">
        <v>2529</v>
      </c>
      <c r="C853" s="1365"/>
      <c r="D853" s="1365"/>
      <c r="E853" s="1365"/>
      <c r="F853" s="1365"/>
      <c r="G853" s="1555"/>
      <c r="H853" s="1365"/>
      <c r="I853" s="1555"/>
      <c r="J853" s="1365"/>
      <c r="K853" s="1365"/>
      <c r="L853" s="1365"/>
      <c r="M853" s="1365"/>
      <c r="N853" s="1365"/>
      <c r="O853" s="1365"/>
      <c r="P853" s="1365"/>
      <c r="Q853" s="1365"/>
      <c r="R853" s="1365"/>
      <c r="S853" s="1365"/>
      <c r="T853" s="1555">
        <f t="shared" si="862"/>
        <v>0</v>
      </c>
      <c r="U853" s="1554">
        <f t="shared" si="863"/>
        <v>0</v>
      </c>
      <c r="V853" s="1554">
        <f t="shared" si="868"/>
        <v>0</v>
      </c>
      <c r="W853" s="1554">
        <f t="shared" si="864"/>
        <v>0</v>
      </c>
      <c r="X853" s="1554">
        <f t="shared" si="869"/>
        <v>0</v>
      </c>
      <c r="Y853" s="1554">
        <f t="shared" si="869"/>
        <v>0</v>
      </c>
      <c r="Z853" s="1554">
        <f t="shared" si="869"/>
        <v>0</v>
      </c>
      <c r="AA853" s="1554">
        <f t="shared" si="869"/>
        <v>0</v>
      </c>
      <c r="AB853" s="1554">
        <f t="shared" si="865"/>
        <v>0</v>
      </c>
      <c r="AC853" s="1554">
        <f t="shared" si="865"/>
        <v>0</v>
      </c>
      <c r="AD853" s="1554">
        <f t="shared" si="865"/>
        <v>0</v>
      </c>
      <c r="AE853" s="1554">
        <f t="shared" si="865"/>
        <v>0</v>
      </c>
      <c r="AF853" s="1554">
        <f t="shared" si="865"/>
        <v>0</v>
      </c>
      <c r="AG853" s="1554">
        <f t="shared" si="865"/>
        <v>0</v>
      </c>
      <c r="AH853" s="1554">
        <f t="shared" si="870"/>
        <v>0</v>
      </c>
      <c r="AI853" s="1556">
        <f t="shared" si="866"/>
        <v>0</v>
      </c>
      <c r="AJ853" s="1556">
        <f t="shared" si="867"/>
        <v>0</v>
      </c>
      <c r="AL853" s="561"/>
      <c r="AM853" s="1526"/>
      <c r="AN853" s="1526"/>
      <c r="AO853" s="1526"/>
      <c r="AP853" s="1526"/>
      <c r="AQ853" s="1526"/>
      <c r="AR853" s="1526"/>
      <c r="AS853" s="1526"/>
      <c r="AT853" s="1526"/>
      <c r="AU853" s="1526"/>
      <c r="AV853" s="1526"/>
      <c r="AW853" s="1526"/>
      <c r="AX853" s="1526"/>
      <c r="AY853" s="1526"/>
      <c r="AZ853" s="1526"/>
      <c r="BA853" s="1526"/>
      <c r="BB853" s="1526"/>
      <c r="BC853" s="1526"/>
      <c r="BD853" s="1526"/>
      <c r="BE853" s="1526"/>
      <c r="BF853" s="1526"/>
      <c r="BG853" s="1526"/>
      <c r="BH853" s="1526"/>
    </row>
    <row r="854" spans="1:60" s="1525" customFormat="1">
      <c r="A854" s="1375">
        <v>2</v>
      </c>
      <c r="B854" s="1534" t="s">
        <v>2237</v>
      </c>
      <c r="C854" s="1365"/>
      <c r="D854" s="1365"/>
      <c r="E854" s="1365"/>
      <c r="F854" s="1365"/>
      <c r="G854" s="1553">
        <f t="shared" ref="G854:G862" si="872">H854+I854+T854</f>
        <v>0</v>
      </c>
      <c r="H854" s="1365"/>
      <c r="I854" s="1553">
        <f>SUM(J854:S854)</f>
        <v>0</v>
      </c>
      <c r="J854" s="1365"/>
      <c r="K854" s="1365"/>
      <c r="L854" s="1365"/>
      <c r="M854" s="1365"/>
      <c r="N854" s="1365"/>
      <c r="O854" s="1365"/>
      <c r="P854" s="1365"/>
      <c r="Q854" s="1365"/>
      <c r="R854" s="1365"/>
      <c r="S854" s="1365"/>
      <c r="T854" s="1555">
        <f t="shared" si="862"/>
        <v>0</v>
      </c>
      <c r="U854" s="1554">
        <f t="shared" si="863"/>
        <v>0</v>
      </c>
      <c r="V854" s="1554">
        <f t="shared" si="868"/>
        <v>0</v>
      </c>
      <c r="W854" s="1554">
        <f t="shared" si="864"/>
        <v>0</v>
      </c>
      <c r="X854" s="1554">
        <f t="shared" si="869"/>
        <v>0</v>
      </c>
      <c r="Y854" s="1554">
        <f t="shared" si="869"/>
        <v>0</v>
      </c>
      <c r="Z854" s="1554">
        <f t="shared" si="869"/>
        <v>0</v>
      </c>
      <c r="AA854" s="1554">
        <f t="shared" si="869"/>
        <v>0</v>
      </c>
      <c r="AB854" s="1554">
        <f t="shared" si="865"/>
        <v>0</v>
      </c>
      <c r="AC854" s="1554">
        <f t="shared" si="865"/>
        <v>0</v>
      </c>
      <c r="AD854" s="1554">
        <f t="shared" si="865"/>
        <v>0</v>
      </c>
      <c r="AE854" s="1554">
        <f t="shared" si="865"/>
        <v>0</v>
      </c>
      <c r="AF854" s="1554">
        <f t="shared" si="865"/>
        <v>0</v>
      </c>
      <c r="AG854" s="1554">
        <f t="shared" si="865"/>
        <v>0</v>
      </c>
      <c r="AH854" s="1554">
        <f t="shared" si="870"/>
        <v>0</v>
      </c>
      <c r="AI854" s="1556">
        <f t="shared" si="866"/>
        <v>0</v>
      </c>
      <c r="AJ854" s="1556">
        <f t="shared" si="867"/>
        <v>0</v>
      </c>
      <c r="AL854" s="561"/>
      <c r="AM854" s="1526"/>
      <c r="AN854" s="1526"/>
      <c r="AO854" s="1526"/>
      <c r="AP854" s="1526"/>
      <c r="AQ854" s="1526"/>
      <c r="AR854" s="1526"/>
      <c r="AS854" s="1526"/>
      <c r="AT854" s="1526"/>
      <c r="AU854" s="1526"/>
      <c r="AV854" s="1526"/>
      <c r="AW854" s="1526"/>
      <c r="AX854" s="1526"/>
      <c r="AY854" s="1526"/>
      <c r="AZ854" s="1526"/>
      <c r="BA854" s="1526"/>
      <c r="BB854" s="1526"/>
      <c r="BC854" s="1526"/>
      <c r="BD854" s="1526"/>
      <c r="BE854" s="1526"/>
      <c r="BF854" s="1526"/>
      <c r="BG854" s="1526"/>
      <c r="BH854" s="1526"/>
    </row>
    <row r="855" spans="1:60" s="1525" customFormat="1">
      <c r="A855" s="1456"/>
      <c r="B855" s="1535" t="s">
        <v>2529</v>
      </c>
      <c r="C855" s="1365"/>
      <c r="D855" s="1365"/>
      <c r="E855" s="1365"/>
      <c r="F855" s="1365"/>
      <c r="G855" s="1555"/>
      <c r="H855" s="1365"/>
      <c r="I855" s="1555"/>
      <c r="J855" s="1365"/>
      <c r="K855" s="1365"/>
      <c r="L855" s="1365"/>
      <c r="M855" s="1365"/>
      <c r="N855" s="1365"/>
      <c r="O855" s="1365"/>
      <c r="P855" s="1365"/>
      <c r="Q855" s="1365"/>
      <c r="R855" s="1365"/>
      <c r="S855" s="1365"/>
      <c r="T855" s="1555">
        <f t="shared" si="862"/>
        <v>0</v>
      </c>
      <c r="U855" s="1554">
        <f t="shared" si="863"/>
        <v>0</v>
      </c>
      <c r="V855" s="1554">
        <f t="shared" si="868"/>
        <v>0</v>
      </c>
      <c r="W855" s="1554">
        <f t="shared" si="864"/>
        <v>0</v>
      </c>
      <c r="X855" s="1554">
        <f t="shared" si="869"/>
        <v>0</v>
      </c>
      <c r="Y855" s="1554">
        <f t="shared" si="869"/>
        <v>0</v>
      </c>
      <c r="Z855" s="1554">
        <f t="shared" si="869"/>
        <v>0</v>
      </c>
      <c r="AA855" s="1554">
        <f t="shared" si="869"/>
        <v>0</v>
      </c>
      <c r="AB855" s="1554">
        <f t="shared" si="865"/>
        <v>0</v>
      </c>
      <c r="AC855" s="1554" t="s">
        <v>2530</v>
      </c>
      <c r="AD855" s="1554">
        <f t="shared" si="865"/>
        <v>0</v>
      </c>
      <c r="AE855" s="1554">
        <f t="shared" si="865"/>
        <v>0</v>
      </c>
      <c r="AF855" s="1554">
        <f t="shared" si="865"/>
        <v>0</v>
      </c>
      <c r="AG855" s="1554">
        <f t="shared" si="865"/>
        <v>0</v>
      </c>
      <c r="AH855" s="1554">
        <f t="shared" si="870"/>
        <v>0</v>
      </c>
      <c r="AI855" s="1556">
        <f t="shared" si="866"/>
        <v>0</v>
      </c>
      <c r="AJ855" s="1556">
        <f t="shared" si="867"/>
        <v>0</v>
      </c>
      <c r="AL855" s="561"/>
      <c r="AM855" s="1526"/>
      <c r="AN855" s="1526"/>
      <c r="AO855" s="1526"/>
      <c r="AP855" s="1526"/>
      <c r="AQ855" s="1526"/>
      <c r="AR855" s="1526"/>
      <c r="AS855" s="1526"/>
      <c r="AT855" s="1526"/>
      <c r="AU855" s="1526"/>
      <c r="AV855" s="1526"/>
      <c r="AW855" s="1526"/>
      <c r="AX855" s="1526"/>
      <c r="AY855" s="1526"/>
      <c r="AZ855" s="1526"/>
      <c r="BA855" s="1526"/>
      <c r="BB855" s="1526"/>
      <c r="BC855" s="1526"/>
      <c r="BD855" s="1526"/>
      <c r="BE855" s="1526"/>
      <c r="BF855" s="1526"/>
      <c r="BG855" s="1526"/>
      <c r="BH855" s="1526"/>
    </row>
    <row r="856" spans="1:60" s="1525" customFormat="1">
      <c r="A856" s="1375">
        <v>3</v>
      </c>
      <c r="B856" s="1534" t="s">
        <v>2531</v>
      </c>
      <c r="C856" s="1365"/>
      <c r="D856" s="1365"/>
      <c r="E856" s="1365"/>
      <c r="F856" s="1365"/>
      <c r="G856" s="1553">
        <f t="shared" si="872"/>
        <v>0</v>
      </c>
      <c r="H856" s="1365"/>
      <c r="I856" s="1553">
        <f t="shared" ref="I856:I862" si="873">SUM(J856:S856)</f>
        <v>0</v>
      </c>
      <c r="J856" s="1365"/>
      <c r="K856" s="1365"/>
      <c r="L856" s="1365"/>
      <c r="M856" s="1365"/>
      <c r="N856" s="1365"/>
      <c r="O856" s="1365"/>
      <c r="P856" s="1365"/>
      <c r="Q856" s="1365"/>
      <c r="R856" s="1365"/>
      <c r="S856" s="1365"/>
      <c r="T856" s="1555">
        <f t="shared" si="862"/>
        <v>0</v>
      </c>
      <c r="U856" s="1554">
        <f t="shared" si="863"/>
        <v>0</v>
      </c>
      <c r="V856" s="1554">
        <f t="shared" si="868"/>
        <v>0</v>
      </c>
      <c r="W856" s="1554">
        <f t="shared" si="864"/>
        <v>0</v>
      </c>
      <c r="X856" s="1554">
        <f t="shared" si="869"/>
        <v>0</v>
      </c>
      <c r="Y856" s="1554">
        <f t="shared" si="869"/>
        <v>0</v>
      </c>
      <c r="Z856" s="1554">
        <f t="shared" si="869"/>
        <v>0</v>
      </c>
      <c r="AA856" s="1554">
        <f t="shared" si="869"/>
        <v>0</v>
      </c>
      <c r="AB856" s="1554">
        <f t="shared" si="865"/>
        <v>0</v>
      </c>
      <c r="AC856" s="1554">
        <f t="shared" si="865"/>
        <v>0</v>
      </c>
      <c r="AD856" s="1554">
        <f t="shared" si="865"/>
        <v>0</v>
      </c>
      <c r="AE856" s="1554">
        <f t="shared" si="865"/>
        <v>0</v>
      </c>
      <c r="AF856" s="1554">
        <f t="shared" si="865"/>
        <v>0</v>
      </c>
      <c r="AG856" s="1554">
        <f t="shared" si="865"/>
        <v>0</v>
      </c>
      <c r="AH856" s="1554">
        <f t="shared" si="870"/>
        <v>0</v>
      </c>
      <c r="AI856" s="1556">
        <f t="shared" si="866"/>
        <v>0</v>
      </c>
      <c r="AJ856" s="1556">
        <f t="shared" si="867"/>
        <v>0</v>
      </c>
      <c r="AL856" s="561"/>
      <c r="AM856" s="1526"/>
      <c r="AN856" s="1526"/>
      <c r="AO856" s="1526"/>
      <c r="AP856" s="1526"/>
      <c r="AQ856" s="1526"/>
      <c r="AR856" s="1526"/>
      <c r="AS856" s="1526"/>
      <c r="AT856" s="1526"/>
      <c r="AU856" s="1526"/>
      <c r="AV856" s="1526"/>
      <c r="AW856" s="1526"/>
      <c r="AX856" s="1526"/>
      <c r="AY856" s="1526"/>
      <c r="AZ856" s="1526"/>
      <c r="BA856" s="1526"/>
      <c r="BB856" s="1526"/>
      <c r="BC856" s="1526"/>
      <c r="BD856" s="1526"/>
      <c r="BE856" s="1526"/>
      <c r="BF856" s="1526"/>
      <c r="BG856" s="1526"/>
      <c r="BH856" s="1526"/>
    </row>
    <row r="857" spans="1:60" s="1525" customFormat="1">
      <c r="A857" s="1375">
        <v>4</v>
      </c>
      <c r="B857" s="1534" t="s">
        <v>2532</v>
      </c>
      <c r="C857" s="1365"/>
      <c r="D857" s="1365"/>
      <c r="E857" s="1365"/>
      <c r="F857" s="1365"/>
      <c r="G857" s="1553">
        <f t="shared" si="872"/>
        <v>0</v>
      </c>
      <c r="H857" s="1365"/>
      <c r="I857" s="1553">
        <f t="shared" si="873"/>
        <v>0</v>
      </c>
      <c r="J857" s="1365"/>
      <c r="K857" s="1365"/>
      <c r="L857" s="1365"/>
      <c r="M857" s="1365"/>
      <c r="N857" s="1365"/>
      <c r="O857" s="1365"/>
      <c r="P857" s="1365"/>
      <c r="Q857" s="1365"/>
      <c r="R857" s="1365"/>
      <c r="S857" s="1365"/>
      <c r="T857" s="1555">
        <f t="shared" si="862"/>
        <v>0</v>
      </c>
      <c r="U857" s="1554">
        <f t="shared" si="863"/>
        <v>0</v>
      </c>
      <c r="V857" s="1554">
        <f t="shared" si="868"/>
        <v>0</v>
      </c>
      <c r="W857" s="1554">
        <f t="shared" si="864"/>
        <v>0</v>
      </c>
      <c r="X857" s="1554">
        <f t="shared" si="869"/>
        <v>0</v>
      </c>
      <c r="Y857" s="1554">
        <f t="shared" si="869"/>
        <v>0</v>
      </c>
      <c r="Z857" s="1554">
        <f t="shared" si="869"/>
        <v>0</v>
      </c>
      <c r="AA857" s="1554">
        <f t="shared" si="869"/>
        <v>0</v>
      </c>
      <c r="AB857" s="1554">
        <f t="shared" si="865"/>
        <v>0</v>
      </c>
      <c r="AC857" s="1554">
        <f t="shared" si="865"/>
        <v>0</v>
      </c>
      <c r="AD857" s="1554">
        <f t="shared" si="865"/>
        <v>0</v>
      </c>
      <c r="AE857" s="1554">
        <f t="shared" si="865"/>
        <v>0</v>
      </c>
      <c r="AF857" s="1554">
        <f t="shared" si="865"/>
        <v>0</v>
      </c>
      <c r="AG857" s="1554">
        <f t="shared" si="865"/>
        <v>0</v>
      </c>
      <c r="AH857" s="1554">
        <f t="shared" si="870"/>
        <v>0</v>
      </c>
      <c r="AI857" s="1556">
        <f t="shared" si="866"/>
        <v>0</v>
      </c>
      <c r="AJ857" s="1556">
        <f t="shared" si="867"/>
        <v>0</v>
      </c>
      <c r="AL857" s="561"/>
      <c r="AM857" s="1526"/>
      <c r="AN857" s="1526"/>
      <c r="AO857" s="1526"/>
      <c r="AP857" s="1526"/>
      <c r="AQ857" s="1526"/>
      <c r="AR857" s="1526"/>
      <c r="AS857" s="1526"/>
      <c r="AT857" s="1526"/>
      <c r="AU857" s="1526"/>
      <c r="AV857" s="1526"/>
      <c r="AW857" s="1526"/>
      <c r="AX857" s="1526"/>
      <c r="AY857" s="1526"/>
      <c r="AZ857" s="1526"/>
      <c r="BA857" s="1526"/>
      <c r="BB857" s="1526"/>
      <c r="BC857" s="1526"/>
      <c r="BD857" s="1526"/>
      <c r="BE857" s="1526"/>
      <c r="BF857" s="1526"/>
      <c r="BG857" s="1526"/>
      <c r="BH857" s="1526"/>
    </row>
    <row r="858" spans="1:60" s="1525" customFormat="1">
      <c r="A858" s="1375">
        <v>5</v>
      </c>
      <c r="B858" s="1534" t="s">
        <v>2533</v>
      </c>
      <c r="C858" s="1365"/>
      <c r="D858" s="1365"/>
      <c r="E858" s="1365"/>
      <c r="F858" s="1365"/>
      <c r="G858" s="1553">
        <f t="shared" si="872"/>
        <v>0</v>
      </c>
      <c r="H858" s="1365"/>
      <c r="I858" s="1553">
        <f t="shared" si="873"/>
        <v>0</v>
      </c>
      <c r="J858" s="1365"/>
      <c r="K858" s="1365"/>
      <c r="L858" s="1365"/>
      <c r="M858" s="1365"/>
      <c r="N858" s="1365"/>
      <c r="O858" s="1365"/>
      <c r="P858" s="1365"/>
      <c r="Q858" s="1365"/>
      <c r="R858" s="1365"/>
      <c r="S858" s="1365"/>
      <c r="T858" s="1555">
        <f t="shared" si="862"/>
        <v>0</v>
      </c>
      <c r="U858" s="1554">
        <f t="shared" si="863"/>
        <v>0</v>
      </c>
      <c r="V858" s="1554">
        <f t="shared" si="868"/>
        <v>0</v>
      </c>
      <c r="W858" s="1554">
        <f t="shared" si="864"/>
        <v>0</v>
      </c>
      <c r="X858" s="1554">
        <f t="shared" si="869"/>
        <v>0</v>
      </c>
      <c r="Y858" s="1554">
        <f t="shared" si="869"/>
        <v>0</v>
      </c>
      <c r="Z858" s="1554">
        <f t="shared" si="869"/>
        <v>0</v>
      </c>
      <c r="AA858" s="1554">
        <f t="shared" si="869"/>
        <v>0</v>
      </c>
      <c r="AB858" s="1554">
        <f t="shared" si="865"/>
        <v>0</v>
      </c>
      <c r="AC858" s="1554">
        <f t="shared" si="865"/>
        <v>0</v>
      </c>
      <c r="AD858" s="1554">
        <f t="shared" si="865"/>
        <v>0</v>
      </c>
      <c r="AE858" s="1554">
        <f t="shared" si="865"/>
        <v>0</v>
      </c>
      <c r="AF858" s="1554">
        <f t="shared" si="865"/>
        <v>0</v>
      </c>
      <c r="AG858" s="1554">
        <f t="shared" si="865"/>
        <v>0</v>
      </c>
      <c r="AH858" s="1554">
        <f t="shared" si="870"/>
        <v>0</v>
      </c>
      <c r="AI858" s="1556">
        <f t="shared" si="866"/>
        <v>0</v>
      </c>
      <c r="AJ858" s="1556">
        <f t="shared" si="867"/>
        <v>0</v>
      </c>
      <c r="AL858" s="561"/>
      <c r="AM858" s="1526"/>
      <c r="AN858" s="1526"/>
      <c r="AO858" s="1526"/>
      <c r="AP858" s="1526"/>
      <c r="AQ858" s="1526"/>
      <c r="AR858" s="1526"/>
      <c r="AS858" s="1526"/>
      <c r="AT858" s="1526"/>
      <c r="AU858" s="1526"/>
      <c r="AV858" s="1526"/>
      <c r="AW858" s="1526"/>
      <c r="AX858" s="1526"/>
      <c r="AY858" s="1526"/>
      <c r="AZ858" s="1526"/>
      <c r="BA858" s="1526"/>
      <c r="BB858" s="1526"/>
      <c r="BC858" s="1526"/>
      <c r="BD858" s="1526"/>
      <c r="BE858" s="1526"/>
      <c r="BF858" s="1526"/>
      <c r="BG858" s="1526"/>
      <c r="BH858" s="1526"/>
    </row>
    <row r="859" spans="1:60" s="1525" customFormat="1">
      <c r="A859" s="1375">
        <v>6</v>
      </c>
      <c r="B859" s="1534" t="s">
        <v>2534</v>
      </c>
      <c r="C859" s="1365"/>
      <c r="D859" s="1365"/>
      <c r="E859" s="1365"/>
      <c r="F859" s="1365"/>
      <c r="G859" s="1553">
        <f t="shared" si="872"/>
        <v>0</v>
      </c>
      <c r="H859" s="1365"/>
      <c r="I859" s="1553">
        <f t="shared" si="873"/>
        <v>0</v>
      </c>
      <c r="J859" s="1365"/>
      <c r="K859" s="1365"/>
      <c r="L859" s="1365"/>
      <c r="M859" s="1365"/>
      <c r="N859" s="1365"/>
      <c r="O859" s="1365"/>
      <c r="P859" s="1365"/>
      <c r="Q859" s="1365"/>
      <c r="R859" s="1365"/>
      <c r="S859" s="1365"/>
      <c r="T859" s="1555">
        <f t="shared" si="862"/>
        <v>0</v>
      </c>
      <c r="U859" s="1554">
        <f t="shared" si="863"/>
        <v>0</v>
      </c>
      <c r="V859" s="1554">
        <f t="shared" si="868"/>
        <v>0</v>
      </c>
      <c r="W859" s="1554">
        <f t="shared" si="864"/>
        <v>0</v>
      </c>
      <c r="X859" s="1554">
        <f t="shared" si="869"/>
        <v>0</v>
      </c>
      <c r="Y859" s="1554">
        <f t="shared" si="869"/>
        <v>0</v>
      </c>
      <c r="Z859" s="1554">
        <f t="shared" si="869"/>
        <v>0</v>
      </c>
      <c r="AA859" s="1554">
        <f t="shared" si="869"/>
        <v>0</v>
      </c>
      <c r="AB859" s="1554">
        <f t="shared" si="865"/>
        <v>0</v>
      </c>
      <c r="AC859" s="1554">
        <f t="shared" si="865"/>
        <v>0</v>
      </c>
      <c r="AD859" s="1554">
        <f t="shared" si="865"/>
        <v>0</v>
      </c>
      <c r="AE859" s="1554">
        <f t="shared" si="865"/>
        <v>0</v>
      </c>
      <c r="AF859" s="1554">
        <f t="shared" si="865"/>
        <v>0</v>
      </c>
      <c r="AG859" s="1554">
        <f t="shared" si="865"/>
        <v>0</v>
      </c>
      <c r="AH859" s="1554">
        <f t="shared" si="870"/>
        <v>0</v>
      </c>
      <c r="AI859" s="1556">
        <f t="shared" si="866"/>
        <v>0</v>
      </c>
      <c r="AJ859" s="1556">
        <f t="shared" si="867"/>
        <v>0</v>
      </c>
      <c r="AL859" s="561"/>
      <c r="AM859" s="1526"/>
      <c r="AN859" s="1526"/>
      <c r="AO859" s="1526"/>
      <c r="AP859" s="1526"/>
      <c r="AQ859" s="1526"/>
      <c r="AR859" s="1526"/>
      <c r="AS859" s="1526"/>
      <c r="AT859" s="1526"/>
      <c r="AU859" s="1526"/>
      <c r="AV859" s="1526"/>
      <c r="AW859" s="1526"/>
      <c r="AX859" s="1526"/>
      <c r="AY859" s="1526"/>
      <c r="AZ859" s="1526"/>
      <c r="BA859" s="1526"/>
      <c r="BB859" s="1526"/>
      <c r="BC859" s="1526"/>
      <c r="BD859" s="1526"/>
      <c r="BE859" s="1526"/>
      <c r="BF859" s="1526"/>
      <c r="BG859" s="1526"/>
      <c r="BH859" s="1526"/>
    </row>
    <row r="860" spans="1:60" s="1525" customFormat="1">
      <c r="A860" s="1375">
        <v>7</v>
      </c>
      <c r="B860" s="1534" t="s">
        <v>2535</v>
      </c>
      <c r="C860" s="1365"/>
      <c r="D860" s="1365"/>
      <c r="E860" s="1365"/>
      <c r="F860" s="1365"/>
      <c r="G860" s="1553">
        <f t="shared" si="872"/>
        <v>0</v>
      </c>
      <c r="H860" s="1365"/>
      <c r="I860" s="1553">
        <f t="shared" si="873"/>
        <v>0</v>
      </c>
      <c r="J860" s="1365"/>
      <c r="K860" s="1365"/>
      <c r="L860" s="1365"/>
      <c r="M860" s="1365"/>
      <c r="N860" s="1365"/>
      <c r="O860" s="1365"/>
      <c r="P860" s="1365"/>
      <c r="Q860" s="1365"/>
      <c r="R860" s="1365"/>
      <c r="S860" s="1365"/>
      <c r="T860" s="1555">
        <f t="shared" si="862"/>
        <v>0</v>
      </c>
      <c r="U860" s="1554">
        <f t="shared" si="863"/>
        <v>0</v>
      </c>
      <c r="V860" s="1554">
        <f t="shared" si="868"/>
        <v>0</v>
      </c>
      <c r="W860" s="1554">
        <f t="shared" si="864"/>
        <v>0</v>
      </c>
      <c r="X860" s="1554">
        <f t="shared" si="869"/>
        <v>0</v>
      </c>
      <c r="Y860" s="1554">
        <f t="shared" si="869"/>
        <v>0</v>
      </c>
      <c r="Z860" s="1554">
        <f t="shared" si="869"/>
        <v>0</v>
      </c>
      <c r="AA860" s="1554">
        <f t="shared" si="869"/>
        <v>0</v>
      </c>
      <c r="AB860" s="1554">
        <f t="shared" si="865"/>
        <v>0</v>
      </c>
      <c r="AC860" s="1554">
        <f t="shared" si="865"/>
        <v>0</v>
      </c>
      <c r="AD860" s="1554">
        <f t="shared" si="865"/>
        <v>0</v>
      </c>
      <c r="AE860" s="1554">
        <f t="shared" si="865"/>
        <v>0</v>
      </c>
      <c r="AF860" s="1554">
        <f t="shared" si="865"/>
        <v>0</v>
      </c>
      <c r="AG860" s="1554">
        <f t="shared" si="865"/>
        <v>0</v>
      </c>
      <c r="AH860" s="1554">
        <f t="shared" si="870"/>
        <v>0</v>
      </c>
      <c r="AI860" s="1556">
        <f t="shared" si="866"/>
        <v>0</v>
      </c>
      <c r="AJ860" s="1556">
        <f t="shared" si="867"/>
        <v>0</v>
      </c>
      <c r="AL860" s="561"/>
      <c r="AM860" s="1526"/>
      <c r="AN860" s="1526"/>
      <c r="AO860" s="1526"/>
      <c r="AP860" s="1526"/>
      <c r="AQ860" s="1526"/>
      <c r="AR860" s="1526"/>
      <c r="AS860" s="1526"/>
      <c r="AT860" s="1526"/>
      <c r="AU860" s="1526"/>
      <c r="AV860" s="1526"/>
      <c r="AW860" s="1526"/>
      <c r="AX860" s="1526"/>
      <c r="AY860" s="1526"/>
      <c r="AZ860" s="1526"/>
      <c r="BA860" s="1526"/>
      <c r="BB860" s="1526"/>
      <c r="BC860" s="1526"/>
      <c r="BD860" s="1526"/>
      <c r="BE860" s="1526"/>
      <c r="BF860" s="1526"/>
      <c r="BG860" s="1526"/>
      <c r="BH860" s="1526"/>
    </row>
    <row r="861" spans="1:60" s="1525" customFormat="1">
      <c r="A861" s="1375">
        <v>8</v>
      </c>
      <c r="B861" s="1536" t="s">
        <v>2536</v>
      </c>
      <c r="C861" s="1365"/>
      <c r="D861" s="1365"/>
      <c r="E861" s="1365"/>
      <c r="F861" s="1365"/>
      <c r="G861" s="1553">
        <f t="shared" si="872"/>
        <v>0</v>
      </c>
      <c r="H861" s="1365"/>
      <c r="I861" s="1553">
        <f t="shared" si="873"/>
        <v>0</v>
      </c>
      <c r="J861" s="1365"/>
      <c r="K861" s="1365"/>
      <c r="L861" s="1365"/>
      <c r="M861" s="1365"/>
      <c r="N861" s="1365"/>
      <c r="O861" s="1365"/>
      <c r="P861" s="1365"/>
      <c r="Q861" s="1365"/>
      <c r="R861" s="1365"/>
      <c r="S861" s="1365"/>
      <c r="T861" s="1555">
        <f t="shared" si="862"/>
        <v>0</v>
      </c>
      <c r="U861" s="1554">
        <f t="shared" si="863"/>
        <v>0</v>
      </c>
      <c r="V861" s="1554">
        <f t="shared" si="868"/>
        <v>0</v>
      </c>
      <c r="W861" s="1554">
        <f t="shared" si="864"/>
        <v>0</v>
      </c>
      <c r="X861" s="1554">
        <f t="shared" si="869"/>
        <v>0</v>
      </c>
      <c r="Y861" s="1554">
        <f t="shared" si="869"/>
        <v>0</v>
      </c>
      <c r="Z861" s="1554">
        <f t="shared" si="869"/>
        <v>0</v>
      </c>
      <c r="AA861" s="1554">
        <f t="shared" si="869"/>
        <v>0</v>
      </c>
      <c r="AB861" s="1554">
        <f t="shared" si="865"/>
        <v>0</v>
      </c>
      <c r="AC861" s="1554">
        <f t="shared" si="865"/>
        <v>0</v>
      </c>
      <c r="AD861" s="1554">
        <f t="shared" si="865"/>
        <v>0</v>
      </c>
      <c r="AE861" s="1554">
        <f t="shared" si="865"/>
        <v>0</v>
      </c>
      <c r="AF861" s="1554">
        <f t="shared" si="865"/>
        <v>0</v>
      </c>
      <c r="AG861" s="1554">
        <f t="shared" si="865"/>
        <v>0</v>
      </c>
      <c r="AH861" s="1554">
        <f t="shared" si="870"/>
        <v>0</v>
      </c>
      <c r="AI861" s="1556">
        <f t="shared" si="866"/>
        <v>0</v>
      </c>
      <c r="AJ861" s="1556">
        <f t="shared" si="867"/>
        <v>0</v>
      </c>
      <c r="AL861" s="561"/>
      <c r="AM861" s="1526"/>
      <c r="AN861" s="1526"/>
      <c r="AO861" s="1526"/>
      <c r="AP861" s="1526"/>
      <c r="AQ861" s="1526"/>
      <c r="AR861" s="1526"/>
      <c r="AS861" s="1526"/>
      <c r="AT861" s="1526"/>
      <c r="AU861" s="1526"/>
      <c r="AV861" s="1526"/>
      <c r="AW861" s="1526"/>
      <c r="AX861" s="1526"/>
      <c r="AY861" s="1526"/>
      <c r="AZ861" s="1526"/>
      <c r="BA861" s="1526"/>
      <c r="BB861" s="1526"/>
      <c r="BC861" s="1526"/>
      <c r="BD861" s="1526"/>
      <c r="BE861" s="1526"/>
      <c r="BF861" s="1526"/>
      <c r="BG861" s="1526"/>
      <c r="BH861" s="1526"/>
    </row>
    <row r="862" spans="1:60" s="1525" customFormat="1">
      <c r="A862" s="1375">
        <v>9</v>
      </c>
      <c r="B862" s="1536" t="s">
        <v>2537</v>
      </c>
      <c r="C862" s="1365"/>
      <c r="D862" s="1365"/>
      <c r="E862" s="1365"/>
      <c r="F862" s="1365"/>
      <c r="G862" s="1553">
        <f t="shared" si="872"/>
        <v>0</v>
      </c>
      <c r="H862" s="1365"/>
      <c r="I862" s="1553">
        <f t="shared" si="873"/>
        <v>0</v>
      </c>
      <c r="J862" s="1365"/>
      <c r="K862" s="1365"/>
      <c r="L862" s="1365"/>
      <c r="M862" s="1365"/>
      <c r="N862" s="1365"/>
      <c r="O862" s="1365"/>
      <c r="P862" s="1365"/>
      <c r="Q862" s="1365"/>
      <c r="R862" s="1365"/>
      <c r="S862" s="1365"/>
      <c r="T862" s="1555">
        <f t="shared" si="862"/>
        <v>0</v>
      </c>
      <c r="U862" s="1554">
        <f t="shared" si="863"/>
        <v>0</v>
      </c>
      <c r="V862" s="1554">
        <f t="shared" si="868"/>
        <v>0</v>
      </c>
      <c r="W862" s="1554">
        <f t="shared" si="864"/>
        <v>0</v>
      </c>
      <c r="X862" s="1554">
        <f t="shared" si="869"/>
        <v>0</v>
      </c>
      <c r="Y862" s="1554">
        <f t="shared" si="869"/>
        <v>0</v>
      </c>
      <c r="Z862" s="1554">
        <f t="shared" si="869"/>
        <v>0</v>
      </c>
      <c r="AA862" s="1554">
        <f t="shared" si="869"/>
        <v>0</v>
      </c>
      <c r="AB862" s="1554">
        <f t="shared" si="865"/>
        <v>0</v>
      </c>
      <c r="AC862" s="1554">
        <f t="shared" si="865"/>
        <v>0</v>
      </c>
      <c r="AD862" s="1554">
        <f t="shared" si="865"/>
        <v>0</v>
      </c>
      <c r="AE862" s="1554">
        <f t="shared" si="865"/>
        <v>0</v>
      </c>
      <c r="AF862" s="1554">
        <f t="shared" si="865"/>
        <v>0</v>
      </c>
      <c r="AG862" s="1554">
        <f t="shared" si="865"/>
        <v>0</v>
      </c>
      <c r="AH862" s="1554">
        <f t="shared" si="870"/>
        <v>0</v>
      </c>
      <c r="AI862" s="1556">
        <f t="shared" si="866"/>
        <v>0</v>
      </c>
      <c r="AJ862" s="1556">
        <f t="shared" si="867"/>
        <v>0</v>
      </c>
      <c r="AL862" s="561"/>
      <c r="AM862" s="1526"/>
      <c r="AN862" s="1526"/>
      <c r="AO862" s="1526"/>
      <c r="AP862" s="1526"/>
      <c r="AQ862" s="1526"/>
      <c r="AR862" s="1526"/>
      <c r="AS862" s="1526"/>
      <c r="AT862" s="1526"/>
      <c r="AU862" s="1526"/>
      <c r="AV862" s="1526"/>
      <c r="AW862" s="1526"/>
      <c r="AX862" s="1526"/>
      <c r="AY862" s="1526"/>
      <c r="AZ862" s="1526"/>
      <c r="BA862" s="1526"/>
      <c r="BB862" s="1526"/>
      <c r="BC862" s="1526"/>
      <c r="BD862" s="1526"/>
      <c r="BE862" s="1526"/>
      <c r="BF862" s="1526"/>
      <c r="BG862" s="1526"/>
      <c r="BH862" s="1526"/>
    </row>
    <row r="863" spans="1:60" s="1525" customFormat="1">
      <c r="A863" s="1375">
        <v>10</v>
      </c>
      <c r="B863" s="1534" t="s">
        <v>2492</v>
      </c>
      <c r="C863" s="1555">
        <f>SUM(C864:C866)</f>
        <v>0</v>
      </c>
      <c r="D863" s="1555"/>
      <c r="E863" s="1555"/>
      <c r="F863" s="1555">
        <f t="shared" ref="F863:R863" si="874">SUM(F864:F866)</f>
        <v>0</v>
      </c>
      <c r="G863" s="1555">
        <f t="shared" si="874"/>
        <v>0</v>
      </c>
      <c r="H863" s="1555">
        <f t="shared" si="874"/>
        <v>0</v>
      </c>
      <c r="I863" s="1555">
        <f t="shared" si="874"/>
        <v>0</v>
      </c>
      <c r="J863" s="1555">
        <f t="shared" si="874"/>
        <v>0</v>
      </c>
      <c r="K863" s="1555">
        <f t="shared" si="874"/>
        <v>0</v>
      </c>
      <c r="L863" s="1555">
        <f t="shared" si="874"/>
        <v>0</v>
      </c>
      <c r="M863" s="1555">
        <f t="shared" si="874"/>
        <v>0</v>
      </c>
      <c r="N863" s="1555">
        <f t="shared" si="874"/>
        <v>0</v>
      </c>
      <c r="O863" s="1555">
        <f t="shared" si="874"/>
        <v>0</v>
      </c>
      <c r="P863" s="1555">
        <f t="shared" si="874"/>
        <v>0</v>
      </c>
      <c r="Q863" s="1555">
        <f t="shared" si="874"/>
        <v>0</v>
      </c>
      <c r="R863" s="1555">
        <f t="shared" si="874"/>
        <v>0</v>
      </c>
      <c r="S863" s="1555">
        <f>SUM(S864:S866)</f>
        <v>0</v>
      </c>
      <c r="T863" s="1555">
        <f>SUM(T864:T866)</f>
        <v>0</v>
      </c>
      <c r="U863" s="1556">
        <f t="shared" ref="U863" si="875">SUM(U864:U866)</f>
        <v>0</v>
      </c>
      <c r="V863" s="1554">
        <f t="shared" si="868"/>
        <v>0</v>
      </c>
      <c r="W863" s="1554">
        <f t="shared" si="864"/>
        <v>0</v>
      </c>
      <c r="X863" s="1554">
        <f t="shared" si="869"/>
        <v>0</v>
      </c>
      <c r="Y863" s="1554">
        <f t="shared" si="869"/>
        <v>0</v>
      </c>
      <c r="Z863" s="1554">
        <f t="shared" si="869"/>
        <v>0</v>
      </c>
      <c r="AA863" s="1554">
        <f t="shared" si="869"/>
        <v>0</v>
      </c>
      <c r="AB863" s="1554">
        <f t="shared" si="865"/>
        <v>0</v>
      </c>
      <c r="AC863" s="1554">
        <f t="shared" si="865"/>
        <v>0</v>
      </c>
      <c r="AD863" s="1554">
        <f t="shared" si="865"/>
        <v>0</v>
      </c>
      <c r="AE863" s="1554">
        <f t="shared" si="865"/>
        <v>0</v>
      </c>
      <c r="AF863" s="1554">
        <f t="shared" si="865"/>
        <v>0</v>
      </c>
      <c r="AG863" s="1554">
        <f t="shared" si="865"/>
        <v>0</v>
      </c>
      <c r="AH863" s="1556">
        <f t="shared" ref="AH863:AJ863" si="876">SUM(AH864:AH866)</f>
        <v>0</v>
      </c>
      <c r="AI863" s="1556">
        <f t="shared" si="876"/>
        <v>0</v>
      </c>
      <c r="AJ863" s="1556">
        <f t="shared" si="876"/>
        <v>0</v>
      </c>
      <c r="AL863" s="561"/>
      <c r="AM863" s="1526"/>
      <c r="AN863" s="1526"/>
      <c r="AO863" s="1526"/>
      <c r="AP863" s="1526"/>
      <c r="AQ863" s="1526"/>
      <c r="AR863" s="1526"/>
      <c r="AS863" s="1526"/>
      <c r="AT863" s="1526"/>
      <c r="AU863" s="1526"/>
      <c r="AV863" s="1526"/>
      <c r="AW863" s="1526"/>
      <c r="AX863" s="1526"/>
      <c r="AY863" s="1526"/>
      <c r="AZ863" s="1526"/>
      <c r="BA863" s="1526"/>
      <c r="BB863" s="1526"/>
      <c r="BC863" s="1526"/>
      <c r="BD863" s="1526"/>
      <c r="BE863" s="1526"/>
      <c r="BF863" s="1526"/>
      <c r="BG863" s="1526"/>
      <c r="BH863" s="1526"/>
    </row>
    <row r="864" spans="1:60" s="1525" customFormat="1">
      <c r="A864" s="1499"/>
      <c r="B864" s="1535" t="s">
        <v>2538</v>
      </c>
      <c r="C864" s="1368"/>
      <c r="D864" s="1368"/>
      <c r="E864" s="1368"/>
      <c r="F864" s="1368"/>
      <c r="G864" s="1557">
        <f t="shared" ref="G864:G867" si="877">H864+I864+T864</f>
        <v>0</v>
      </c>
      <c r="H864" s="1368"/>
      <c r="I864" s="1557">
        <f t="shared" ref="I864:I866" si="878">SUM(J864:S864)</f>
        <v>0</v>
      </c>
      <c r="J864" s="1368"/>
      <c r="K864" s="1368"/>
      <c r="L864" s="1368"/>
      <c r="M864" s="1368"/>
      <c r="N864" s="1368"/>
      <c r="O864" s="1368"/>
      <c r="P864" s="1368"/>
      <c r="Q864" s="1368"/>
      <c r="R864" s="1368"/>
      <c r="S864" s="1368"/>
      <c r="T864" s="1558">
        <f>(H864+K864+L864+R864)*22.5%</f>
        <v>0</v>
      </c>
      <c r="U864" s="1559">
        <f t="shared" ref="U864:U867" si="879">V864+W864+AH864</f>
        <v>0</v>
      </c>
      <c r="V864" s="1554">
        <f t="shared" si="868"/>
        <v>0</v>
      </c>
      <c r="W864" s="1554">
        <f t="shared" si="864"/>
        <v>0</v>
      </c>
      <c r="X864" s="1554">
        <f t="shared" si="869"/>
        <v>0</v>
      </c>
      <c r="Y864" s="1554">
        <f t="shared" si="869"/>
        <v>0</v>
      </c>
      <c r="Z864" s="1554">
        <f t="shared" si="869"/>
        <v>0</v>
      </c>
      <c r="AA864" s="1554">
        <f t="shared" si="869"/>
        <v>0</v>
      </c>
      <c r="AB864" s="1554">
        <f t="shared" si="865"/>
        <v>0</v>
      </c>
      <c r="AC864" s="1554">
        <f t="shared" si="865"/>
        <v>0</v>
      </c>
      <c r="AD864" s="1554">
        <f t="shared" si="865"/>
        <v>0</v>
      </c>
      <c r="AE864" s="1554">
        <f t="shared" si="865"/>
        <v>0</v>
      </c>
      <c r="AF864" s="1554">
        <f t="shared" si="865"/>
        <v>0</v>
      </c>
      <c r="AG864" s="1554">
        <f t="shared" si="865"/>
        <v>0</v>
      </c>
      <c r="AH864" s="1560">
        <f>(V864+Y864+Z864+AF864)*22.5%</f>
        <v>0</v>
      </c>
      <c r="AI864" s="1561">
        <f t="shared" ref="AI864:AI866" si="880">U864-G864</f>
        <v>0</v>
      </c>
      <c r="AJ864" s="1561">
        <f t="shared" ref="AJ864:AJ866" si="881">AI864*6</f>
        <v>0</v>
      </c>
      <c r="AL864" s="561"/>
      <c r="AM864" s="1526"/>
      <c r="AN864" s="1526"/>
      <c r="AO864" s="1526"/>
      <c r="AP864" s="1526"/>
      <c r="AQ864" s="1526"/>
      <c r="AR864" s="1526"/>
      <c r="AS864" s="1526"/>
      <c r="AT864" s="1526"/>
      <c r="AU864" s="1526"/>
      <c r="AV864" s="1526"/>
      <c r="AW864" s="1526"/>
      <c r="AX864" s="1526"/>
      <c r="AY864" s="1526"/>
      <c r="AZ864" s="1526"/>
      <c r="BA864" s="1526"/>
      <c r="BB864" s="1526"/>
      <c r="BC864" s="1526"/>
      <c r="BD864" s="1526"/>
      <c r="BE864" s="1526"/>
      <c r="BF864" s="1526"/>
      <c r="BG864" s="1526"/>
      <c r="BH864" s="1526"/>
    </row>
    <row r="865" spans="1:60" s="1525" customFormat="1">
      <c r="A865" s="1499"/>
      <c r="B865" s="1535" t="s">
        <v>2539</v>
      </c>
      <c r="C865" s="1368"/>
      <c r="D865" s="1368"/>
      <c r="E865" s="1368"/>
      <c r="F865" s="1368"/>
      <c r="G865" s="1557">
        <f t="shared" si="877"/>
        <v>0</v>
      </c>
      <c r="H865" s="1368"/>
      <c r="I865" s="1557">
        <f t="shared" si="878"/>
        <v>0</v>
      </c>
      <c r="J865" s="1368"/>
      <c r="K865" s="1368"/>
      <c r="L865" s="1368"/>
      <c r="M865" s="1368"/>
      <c r="N865" s="1368"/>
      <c r="O865" s="1368"/>
      <c r="P865" s="1368"/>
      <c r="Q865" s="1368"/>
      <c r="R865" s="1368"/>
      <c r="S865" s="1368"/>
      <c r="T865" s="1558">
        <f>(H865+K865+L865+R865)*22.5%</f>
        <v>0</v>
      </c>
      <c r="U865" s="1559">
        <f t="shared" si="879"/>
        <v>0</v>
      </c>
      <c r="V865" s="1554">
        <f t="shared" si="868"/>
        <v>0</v>
      </c>
      <c r="W865" s="1554">
        <f t="shared" si="864"/>
        <v>0</v>
      </c>
      <c r="X865" s="1554">
        <f t="shared" si="869"/>
        <v>0</v>
      </c>
      <c r="Y865" s="1554">
        <f t="shared" si="869"/>
        <v>0</v>
      </c>
      <c r="Z865" s="1554">
        <f t="shared" si="869"/>
        <v>0</v>
      </c>
      <c r="AA865" s="1554">
        <f t="shared" si="869"/>
        <v>0</v>
      </c>
      <c r="AB865" s="1554">
        <f t="shared" si="865"/>
        <v>0</v>
      </c>
      <c r="AC865" s="1554">
        <f t="shared" si="865"/>
        <v>0</v>
      </c>
      <c r="AD865" s="1554">
        <f t="shared" si="865"/>
        <v>0</v>
      </c>
      <c r="AE865" s="1554">
        <f t="shared" si="865"/>
        <v>0</v>
      </c>
      <c r="AF865" s="1554">
        <f t="shared" si="865"/>
        <v>0</v>
      </c>
      <c r="AG865" s="1554">
        <f t="shared" si="865"/>
        <v>0</v>
      </c>
      <c r="AH865" s="1560">
        <f>(V865+Y865+Z865+AF865)*22.5%</f>
        <v>0</v>
      </c>
      <c r="AI865" s="1561">
        <f t="shared" si="880"/>
        <v>0</v>
      </c>
      <c r="AJ865" s="1561">
        <f t="shared" si="881"/>
        <v>0</v>
      </c>
      <c r="AL865" s="561"/>
      <c r="AM865" s="1526"/>
      <c r="AN865" s="1526"/>
      <c r="AO865" s="1526"/>
      <c r="AP865" s="1526"/>
      <c r="AQ865" s="1526"/>
      <c r="AR865" s="1526"/>
      <c r="AS865" s="1526"/>
      <c r="AT865" s="1526"/>
      <c r="AU865" s="1526"/>
      <c r="AV865" s="1526"/>
      <c r="AW865" s="1526"/>
      <c r="AX865" s="1526"/>
      <c r="AY865" s="1526"/>
      <c r="AZ865" s="1526"/>
      <c r="BA865" s="1526"/>
      <c r="BB865" s="1526"/>
      <c r="BC865" s="1526"/>
      <c r="BD865" s="1526"/>
      <c r="BE865" s="1526"/>
      <c r="BF865" s="1526"/>
      <c r="BG865" s="1526"/>
      <c r="BH865" s="1526"/>
    </row>
    <row r="866" spans="1:60" s="1525" customFormat="1">
      <c r="A866" s="1499"/>
      <c r="B866" s="1535" t="s">
        <v>2540</v>
      </c>
      <c r="C866" s="1368"/>
      <c r="D866" s="1368"/>
      <c r="E866" s="1368"/>
      <c r="F866" s="1368"/>
      <c r="G866" s="1557">
        <f t="shared" si="877"/>
        <v>0</v>
      </c>
      <c r="H866" s="1368"/>
      <c r="I866" s="1557">
        <f t="shared" si="878"/>
        <v>0</v>
      </c>
      <c r="J866" s="1368"/>
      <c r="K866" s="1368"/>
      <c r="L866" s="1368"/>
      <c r="M866" s="1368"/>
      <c r="N866" s="1368"/>
      <c r="O866" s="1368"/>
      <c r="P866" s="1368"/>
      <c r="Q866" s="1368"/>
      <c r="R866" s="1368"/>
      <c r="S866" s="1368"/>
      <c r="T866" s="1558">
        <f>(H866+K866+L866+R866)*22.5%</f>
        <v>0</v>
      </c>
      <c r="U866" s="1559">
        <f t="shared" si="879"/>
        <v>0</v>
      </c>
      <c r="V866" s="1554">
        <f t="shared" si="868"/>
        <v>0</v>
      </c>
      <c r="W866" s="1554">
        <f t="shared" si="864"/>
        <v>0</v>
      </c>
      <c r="X866" s="1554">
        <f t="shared" si="869"/>
        <v>0</v>
      </c>
      <c r="Y866" s="1554">
        <f t="shared" si="869"/>
        <v>0</v>
      </c>
      <c r="Z866" s="1554">
        <f t="shared" si="869"/>
        <v>0</v>
      </c>
      <c r="AA866" s="1554">
        <f t="shared" si="869"/>
        <v>0</v>
      </c>
      <c r="AB866" s="1554">
        <f t="shared" si="865"/>
        <v>0</v>
      </c>
      <c r="AC866" s="1554">
        <f t="shared" si="865"/>
        <v>0</v>
      </c>
      <c r="AD866" s="1554">
        <f t="shared" si="865"/>
        <v>0</v>
      </c>
      <c r="AE866" s="1554">
        <f t="shared" si="865"/>
        <v>0</v>
      </c>
      <c r="AF866" s="1554">
        <f t="shared" si="865"/>
        <v>0</v>
      </c>
      <c r="AG866" s="1554">
        <f t="shared" si="865"/>
        <v>0</v>
      </c>
      <c r="AH866" s="1560">
        <f>(V866+Y866+Z866+AF866)*22.5%</f>
        <v>0</v>
      </c>
      <c r="AI866" s="1561">
        <f t="shared" si="880"/>
        <v>0</v>
      </c>
      <c r="AJ866" s="1561">
        <f t="shared" si="881"/>
        <v>0</v>
      </c>
      <c r="AL866" s="561"/>
      <c r="AM866" s="1526"/>
      <c r="AN866" s="1526"/>
      <c r="AO866" s="1526"/>
      <c r="AP866" s="1526"/>
      <c r="AQ866" s="1526"/>
      <c r="AR866" s="1526"/>
      <c r="AS866" s="1526"/>
      <c r="AT866" s="1526"/>
      <c r="AU866" s="1526"/>
      <c r="AV866" s="1526"/>
      <c r="AW866" s="1526"/>
      <c r="AX866" s="1526"/>
      <c r="AY866" s="1526"/>
      <c r="AZ866" s="1526"/>
      <c r="BA866" s="1526"/>
      <c r="BB866" s="1526"/>
      <c r="BC866" s="1526"/>
      <c r="BD866" s="1526"/>
      <c r="BE866" s="1526"/>
      <c r="BF866" s="1526"/>
      <c r="BG866" s="1526"/>
      <c r="BH866" s="1526"/>
    </row>
    <row r="867" spans="1:60" s="1525" customFormat="1" ht="31.5">
      <c r="A867" s="1516" t="s">
        <v>65</v>
      </c>
      <c r="B867" s="1538" t="s">
        <v>2541</v>
      </c>
      <c r="C867" s="1370"/>
      <c r="D867" s="1370"/>
      <c r="E867" s="1370"/>
      <c r="F867" s="1370"/>
      <c r="G867" s="1553">
        <f t="shared" si="877"/>
        <v>0</v>
      </c>
      <c r="H867" s="1370"/>
      <c r="I867" s="1553">
        <f t="shared" ref="I867" si="882">SUM(J867:S867)</f>
        <v>0</v>
      </c>
      <c r="J867" s="1370"/>
      <c r="K867" s="1370"/>
      <c r="L867" s="1370"/>
      <c r="M867" s="1370"/>
      <c r="N867" s="1370"/>
      <c r="O867" s="1370"/>
      <c r="P867" s="1370"/>
      <c r="Q867" s="1370"/>
      <c r="R867" s="1370"/>
      <c r="S867" s="1370"/>
      <c r="T867" s="1558">
        <f>(H867+K867+L867+R867)*22.5%</f>
        <v>0</v>
      </c>
      <c r="U867" s="1562">
        <f t="shared" si="879"/>
        <v>0</v>
      </c>
      <c r="V867" s="1554">
        <f>(H867/1.39)*1.49</f>
        <v>0</v>
      </c>
      <c r="W867" s="1562">
        <f t="shared" si="864"/>
        <v>0</v>
      </c>
      <c r="X867" s="1554">
        <f>(J867/1.39)*1.49</f>
        <v>0</v>
      </c>
      <c r="Y867" s="1554">
        <f t="shared" ref="Y867:AA867" si="883">(K867/1.39)*1.49</f>
        <v>0</v>
      </c>
      <c r="Z867" s="1554">
        <f t="shared" si="883"/>
        <v>0</v>
      </c>
      <c r="AA867" s="1554">
        <f t="shared" si="883"/>
        <v>0</v>
      </c>
      <c r="AB867" s="1554">
        <f t="shared" si="865"/>
        <v>0</v>
      </c>
      <c r="AC867" s="1554">
        <f t="shared" si="865"/>
        <v>0</v>
      </c>
      <c r="AD867" s="1554">
        <f t="shared" si="865"/>
        <v>0</v>
      </c>
      <c r="AE867" s="1554">
        <f t="shared" si="865"/>
        <v>0</v>
      </c>
      <c r="AF867" s="1554">
        <f t="shared" si="865"/>
        <v>0</v>
      </c>
      <c r="AG867" s="1554">
        <f t="shared" si="865"/>
        <v>0</v>
      </c>
      <c r="AH867" s="1560">
        <f>(V867+Y867+Z867+AF867)*22.5%</f>
        <v>0</v>
      </c>
      <c r="AI867" s="1563">
        <f>U867-G867</f>
        <v>0</v>
      </c>
      <c r="AJ867" s="1563">
        <f>AI867*6</f>
        <v>0</v>
      </c>
      <c r="AL867" s="561"/>
      <c r="AM867" s="1526"/>
      <c r="AN867" s="1526"/>
      <c r="AO867" s="1526"/>
      <c r="AP867" s="1526"/>
      <c r="AQ867" s="1526"/>
      <c r="AR867" s="1526"/>
      <c r="AS867" s="1526"/>
      <c r="AT867" s="1526"/>
      <c r="AU867" s="1526"/>
      <c r="AV867" s="1526"/>
      <c r="AW867" s="1526"/>
      <c r="AX867" s="1526"/>
      <c r="AY867" s="1526"/>
      <c r="AZ867" s="1526"/>
      <c r="BA867" s="1526"/>
      <c r="BB867" s="1526"/>
      <c r="BC867" s="1526"/>
      <c r="BD867" s="1526"/>
      <c r="BE867" s="1526"/>
      <c r="BF867" s="1526"/>
      <c r="BG867" s="1526"/>
      <c r="BH867" s="1526"/>
    </row>
    <row r="868" spans="1:60" s="1525" customFormat="1" ht="31.5">
      <c r="A868" s="1516" t="s">
        <v>14</v>
      </c>
      <c r="B868" s="1538" t="s">
        <v>2542</v>
      </c>
      <c r="C868" s="1564">
        <f>SUM(C869:C871)</f>
        <v>0</v>
      </c>
      <c r="D868" s="1564"/>
      <c r="E868" s="1564"/>
      <c r="F868" s="1564">
        <f t="shared" ref="F868:AJ868" si="884">SUM(F869:F871)</f>
        <v>0</v>
      </c>
      <c r="G868" s="1564">
        <f t="shared" si="884"/>
        <v>0</v>
      </c>
      <c r="H868" s="1564">
        <f t="shared" si="884"/>
        <v>0</v>
      </c>
      <c r="I868" s="1564">
        <f t="shared" si="884"/>
        <v>0</v>
      </c>
      <c r="J868" s="1564">
        <f t="shared" si="884"/>
        <v>0</v>
      </c>
      <c r="K868" s="1564">
        <f t="shared" si="884"/>
        <v>0</v>
      </c>
      <c r="L868" s="1564">
        <f t="shared" si="884"/>
        <v>0</v>
      </c>
      <c r="M868" s="1564">
        <f t="shared" si="884"/>
        <v>0</v>
      </c>
      <c r="N868" s="1564">
        <f t="shared" si="884"/>
        <v>0</v>
      </c>
      <c r="O868" s="1564">
        <f t="shared" si="884"/>
        <v>0</v>
      </c>
      <c r="P868" s="1564">
        <f t="shared" si="884"/>
        <v>0</v>
      </c>
      <c r="Q868" s="1564">
        <f t="shared" si="884"/>
        <v>0</v>
      </c>
      <c r="R868" s="1564">
        <f t="shared" si="884"/>
        <v>0</v>
      </c>
      <c r="S868" s="1564">
        <f>SUM(S869:S871)</f>
        <v>0</v>
      </c>
      <c r="T868" s="1564">
        <f t="shared" si="884"/>
        <v>0</v>
      </c>
      <c r="U868" s="1563">
        <f t="shared" si="884"/>
        <v>0</v>
      </c>
      <c r="V868" s="1563">
        <f t="shared" si="884"/>
        <v>0</v>
      </c>
      <c r="W868" s="1563">
        <f t="shared" si="884"/>
        <v>0</v>
      </c>
      <c r="X868" s="1563">
        <f t="shared" si="884"/>
        <v>0</v>
      </c>
      <c r="Y868" s="1563">
        <f t="shared" si="884"/>
        <v>0</v>
      </c>
      <c r="Z868" s="1563">
        <f t="shared" si="884"/>
        <v>0</v>
      </c>
      <c r="AA868" s="1563">
        <f t="shared" si="884"/>
        <v>0</v>
      </c>
      <c r="AB868" s="1563">
        <f t="shared" si="884"/>
        <v>0</v>
      </c>
      <c r="AC868" s="1563">
        <f t="shared" si="884"/>
        <v>0</v>
      </c>
      <c r="AD868" s="1563">
        <f t="shared" si="884"/>
        <v>0</v>
      </c>
      <c r="AE868" s="1563">
        <f t="shared" si="884"/>
        <v>0</v>
      </c>
      <c r="AF868" s="1563">
        <f t="shared" si="884"/>
        <v>0</v>
      </c>
      <c r="AG868" s="1563">
        <f t="shared" si="884"/>
        <v>0</v>
      </c>
      <c r="AH868" s="1563">
        <f t="shared" si="884"/>
        <v>0</v>
      </c>
      <c r="AI868" s="1563">
        <f t="shared" si="884"/>
        <v>0</v>
      </c>
      <c r="AJ868" s="1563">
        <f t="shared" si="884"/>
        <v>0</v>
      </c>
      <c r="AL868" s="561"/>
      <c r="AM868" s="1526"/>
      <c r="AN868" s="1526"/>
      <c r="AO868" s="1526"/>
      <c r="AP868" s="1526"/>
      <c r="AQ868" s="1526"/>
      <c r="AR868" s="1526"/>
      <c r="AS868" s="1526"/>
      <c r="AT868" s="1526"/>
      <c r="AU868" s="1526"/>
      <c r="AV868" s="1526"/>
      <c r="AW868" s="1526"/>
      <c r="AX868" s="1526"/>
      <c r="AY868" s="1526"/>
      <c r="AZ868" s="1526"/>
      <c r="BA868" s="1526"/>
      <c r="BB868" s="1526"/>
      <c r="BC868" s="1526"/>
      <c r="BD868" s="1526"/>
      <c r="BE868" s="1526"/>
      <c r="BF868" s="1526"/>
      <c r="BG868" s="1526"/>
      <c r="BH868" s="1526"/>
    </row>
    <row r="869" spans="1:60" s="1525" customFormat="1">
      <c r="A869" s="1499"/>
      <c r="B869" s="1535" t="s">
        <v>2543</v>
      </c>
      <c r="C869" s="1368"/>
      <c r="D869" s="1368"/>
      <c r="E869" s="1368"/>
      <c r="F869" s="1368"/>
      <c r="G869" s="1557">
        <f t="shared" ref="G869:G871" si="885">H869+I869+T869</f>
        <v>0</v>
      </c>
      <c r="H869" s="577"/>
      <c r="I869" s="1557">
        <f t="shared" ref="I869:I871" si="886">SUM(J869:S869)</f>
        <v>0</v>
      </c>
      <c r="J869" s="577"/>
      <c r="K869" s="577"/>
      <c r="L869" s="577"/>
      <c r="M869" s="577"/>
      <c r="N869" s="577"/>
      <c r="O869" s="577"/>
      <c r="P869" s="577"/>
      <c r="Q869" s="577"/>
      <c r="R869" s="577"/>
      <c r="S869" s="578">
        <f>F869*0.5*1.39</f>
        <v>0</v>
      </c>
      <c r="T869" s="1565"/>
      <c r="U869" s="1559">
        <f t="shared" ref="U869:U871" si="887">V869+W869+AH869</f>
        <v>0</v>
      </c>
      <c r="V869" s="1566"/>
      <c r="W869" s="1559">
        <f t="shared" ref="W869:W871" si="888">SUM(X869:AG869)</f>
        <v>0</v>
      </c>
      <c r="X869" s="1566"/>
      <c r="Y869" s="1566"/>
      <c r="Z869" s="1566"/>
      <c r="AA869" s="1566"/>
      <c r="AB869" s="1566"/>
      <c r="AC869" s="1566"/>
      <c r="AD869" s="1566"/>
      <c r="AE869" s="1566"/>
      <c r="AF869" s="1566"/>
      <c r="AG869" s="1554">
        <f t="shared" ref="AG869:AG871" si="889">(S869/1.39)*1.49</f>
        <v>0</v>
      </c>
      <c r="AH869" s="1566"/>
      <c r="AI869" s="1561">
        <f t="shared" ref="AI869:AI871" si="890">U869-G869</f>
        <v>0</v>
      </c>
      <c r="AJ869" s="1561">
        <f t="shared" ref="AJ869:AJ871" si="891">AI869*6</f>
        <v>0</v>
      </c>
      <c r="AL869" s="561"/>
      <c r="AM869" s="1526"/>
      <c r="AN869" s="1526"/>
      <c r="AO869" s="1526"/>
      <c r="AP869" s="1526"/>
      <c r="AQ869" s="1526"/>
      <c r="AR869" s="1526"/>
      <c r="AS869" s="1526"/>
      <c r="AT869" s="1526"/>
      <c r="AU869" s="1526"/>
      <c r="AV869" s="1526"/>
      <c r="AW869" s="1526"/>
      <c r="AX869" s="1526"/>
      <c r="AY869" s="1526"/>
      <c r="AZ869" s="1526"/>
      <c r="BA869" s="1526"/>
      <c r="BB869" s="1526"/>
      <c r="BC869" s="1526"/>
      <c r="BD869" s="1526"/>
      <c r="BE869" s="1526"/>
      <c r="BF869" s="1526"/>
      <c r="BG869" s="1526"/>
      <c r="BH869" s="1526"/>
    </row>
    <row r="870" spans="1:60" s="1525" customFormat="1">
      <c r="A870" s="1499"/>
      <c r="B870" s="1535" t="s">
        <v>2544</v>
      </c>
      <c r="C870" s="1368"/>
      <c r="D870" s="1368"/>
      <c r="E870" s="1368"/>
      <c r="F870" s="1368"/>
      <c r="G870" s="1557">
        <f t="shared" si="885"/>
        <v>0</v>
      </c>
      <c r="H870" s="577"/>
      <c r="I870" s="1557">
        <f t="shared" si="886"/>
        <v>0</v>
      </c>
      <c r="J870" s="577"/>
      <c r="K870" s="577"/>
      <c r="L870" s="577"/>
      <c r="M870" s="577"/>
      <c r="N870" s="577"/>
      <c r="O870" s="577"/>
      <c r="P870" s="577"/>
      <c r="Q870" s="577"/>
      <c r="R870" s="577"/>
      <c r="S870" s="1368">
        <f>F870*0.4*1.39</f>
        <v>0</v>
      </c>
      <c r="T870" s="1565"/>
      <c r="U870" s="1559">
        <f t="shared" si="887"/>
        <v>0</v>
      </c>
      <c r="V870" s="1566"/>
      <c r="W870" s="1559">
        <f t="shared" si="888"/>
        <v>0</v>
      </c>
      <c r="X870" s="1566"/>
      <c r="Y870" s="1566"/>
      <c r="Z870" s="1566"/>
      <c r="AA870" s="1566"/>
      <c r="AB870" s="1566"/>
      <c r="AC870" s="1566"/>
      <c r="AD870" s="1566"/>
      <c r="AE870" s="1566"/>
      <c r="AF870" s="1566"/>
      <c r="AG870" s="1554">
        <f t="shared" si="889"/>
        <v>0</v>
      </c>
      <c r="AH870" s="1566"/>
      <c r="AI870" s="1561">
        <f t="shared" si="890"/>
        <v>0</v>
      </c>
      <c r="AJ870" s="1561">
        <f t="shared" si="891"/>
        <v>0</v>
      </c>
      <c r="AL870" s="561"/>
      <c r="AM870" s="1526"/>
      <c r="AN870" s="1526"/>
      <c r="AO870" s="1526"/>
      <c r="AP870" s="1526"/>
      <c r="AQ870" s="1526"/>
      <c r="AR870" s="1526"/>
      <c r="AS870" s="1526"/>
      <c r="AT870" s="1526"/>
      <c r="AU870" s="1526"/>
      <c r="AV870" s="1526"/>
      <c r="AW870" s="1526"/>
      <c r="AX870" s="1526"/>
      <c r="AY870" s="1526"/>
      <c r="AZ870" s="1526"/>
      <c r="BA870" s="1526"/>
      <c r="BB870" s="1526"/>
      <c r="BC870" s="1526"/>
      <c r="BD870" s="1526"/>
      <c r="BE870" s="1526"/>
      <c r="BF870" s="1526"/>
      <c r="BG870" s="1526"/>
      <c r="BH870" s="1526"/>
    </row>
    <row r="871" spans="1:60" s="1525" customFormat="1">
      <c r="A871" s="1499"/>
      <c r="B871" s="1535" t="s">
        <v>2545</v>
      </c>
      <c r="C871" s="1368"/>
      <c r="D871" s="1368"/>
      <c r="E871" s="1368"/>
      <c r="F871" s="1368"/>
      <c r="G871" s="1557">
        <f t="shared" si="885"/>
        <v>0</v>
      </c>
      <c r="H871" s="577"/>
      <c r="I871" s="1557">
        <f t="shared" si="886"/>
        <v>0</v>
      </c>
      <c r="J871" s="577"/>
      <c r="K871" s="577"/>
      <c r="L871" s="577"/>
      <c r="M871" s="577"/>
      <c r="N871" s="577"/>
      <c r="O871" s="577"/>
      <c r="P871" s="577"/>
      <c r="Q871" s="577"/>
      <c r="R871" s="577"/>
      <c r="S871" s="1368">
        <f>F871*0.3*1.39</f>
        <v>0</v>
      </c>
      <c r="T871" s="1565"/>
      <c r="U871" s="1559">
        <f t="shared" si="887"/>
        <v>0</v>
      </c>
      <c r="V871" s="1566"/>
      <c r="W871" s="1559">
        <f t="shared" si="888"/>
        <v>0</v>
      </c>
      <c r="X871" s="1566"/>
      <c r="Y871" s="1566"/>
      <c r="Z871" s="1566"/>
      <c r="AA871" s="1566"/>
      <c r="AB871" s="1566"/>
      <c r="AC871" s="1566"/>
      <c r="AD871" s="1566"/>
      <c r="AE871" s="1566"/>
      <c r="AF871" s="1566"/>
      <c r="AG871" s="1554">
        <f t="shared" si="889"/>
        <v>0</v>
      </c>
      <c r="AH871" s="1566"/>
      <c r="AI871" s="1561">
        <f t="shared" si="890"/>
        <v>0</v>
      </c>
      <c r="AJ871" s="1561">
        <f t="shared" si="891"/>
        <v>0</v>
      </c>
      <c r="AL871" s="561"/>
      <c r="AM871" s="1526"/>
      <c r="AN871" s="1526"/>
      <c r="AO871" s="1526"/>
      <c r="AP871" s="1526"/>
      <c r="AQ871" s="1526"/>
      <c r="AR871" s="1526"/>
      <c r="AS871" s="1526"/>
      <c r="AT871" s="1526"/>
      <c r="AU871" s="1526"/>
      <c r="AV871" s="1526"/>
      <c r="AW871" s="1526"/>
      <c r="AX871" s="1526"/>
      <c r="AY871" s="1526"/>
      <c r="AZ871" s="1526"/>
      <c r="BA871" s="1526"/>
      <c r="BB871" s="1526"/>
      <c r="BC871" s="1526"/>
      <c r="BD871" s="1526"/>
      <c r="BE871" s="1526"/>
      <c r="BF871" s="1526"/>
      <c r="BG871" s="1526"/>
      <c r="BH871" s="1526"/>
    </row>
    <row r="872" spans="1:60" s="1525" customFormat="1">
      <c r="A872" s="1516" t="s">
        <v>18</v>
      </c>
      <c r="B872" s="1538" t="s">
        <v>2546</v>
      </c>
      <c r="C872" s="1564">
        <f>SUM(C873:C875)</f>
        <v>0</v>
      </c>
      <c r="D872" s="1564"/>
      <c r="E872" s="1564"/>
      <c r="F872" s="1564">
        <f t="shared" ref="F872:AJ872" si="892">SUM(F873:F875)</f>
        <v>0</v>
      </c>
      <c r="G872" s="1564">
        <f t="shared" si="892"/>
        <v>0</v>
      </c>
      <c r="H872" s="1564">
        <f t="shared" si="892"/>
        <v>0</v>
      </c>
      <c r="I872" s="1564">
        <f t="shared" si="892"/>
        <v>0</v>
      </c>
      <c r="J872" s="1564">
        <f t="shared" si="892"/>
        <v>0</v>
      </c>
      <c r="K872" s="1564">
        <f t="shared" si="892"/>
        <v>0</v>
      </c>
      <c r="L872" s="1564">
        <f t="shared" si="892"/>
        <v>0</v>
      </c>
      <c r="M872" s="1564">
        <f t="shared" si="892"/>
        <v>0</v>
      </c>
      <c r="N872" s="1564">
        <f t="shared" si="892"/>
        <v>0</v>
      </c>
      <c r="O872" s="1564">
        <f t="shared" si="892"/>
        <v>0</v>
      </c>
      <c r="P872" s="1564">
        <f t="shared" si="892"/>
        <v>0</v>
      </c>
      <c r="Q872" s="1564">
        <f t="shared" si="892"/>
        <v>0</v>
      </c>
      <c r="R872" s="1564">
        <f t="shared" si="892"/>
        <v>0</v>
      </c>
      <c r="S872" s="1564">
        <f t="shared" si="892"/>
        <v>0</v>
      </c>
      <c r="T872" s="1564">
        <f t="shared" si="892"/>
        <v>0</v>
      </c>
      <c r="U872" s="1563">
        <f t="shared" si="892"/>
        <v>0</v>
      </c>
      <c r="V872" s="1563">
        <f t="shared" si="892"/>
        <v>0</v>
      </c>
      <c r="W872" s="1563">
        <f t="shared" si="892"/>
        <v>0</v>
      </c>
      <c r="X872" s="1563">
        <f t="shared" si="892"/>
        <v>0</v>
      </c>
      <c r="Y872" s="1563">
        <f t="shared" si="892"/>
        <v>0</v>
      </c>
      <c r="Z872" s="1563">
        <f t="shared" si="892"/>
        <v>0</v>
      </c>
      <c r="AA872" s="1563">
        <f t="shared" si="892"/>
        <v>0</v>
      </c>
      <c r="AB872" s="1563">
        <f t="shared" si="892"/>
        <v>0</v>
      </c>
      <c r="AC872" s="1563">
        <f t="shared" si="892"/>
        <v>0</v>
      </c>
      <c r="AD872" s="1563">
        <f t="shared" si="892"/>
        <v>0</v>
      </c>
      <c r="AE872" s="1563">
        <f t="shared" si="892"/>
        <v>0</v>
      </c>
      <c r="AF872" s="1563">
        <f t="shared" si="892"/>
        <v>0</v>
      </c>
      <c r="AG872" s="1563">
        <f t="shared" si="892"/>
        <v>0</v>
      </c>
      <c r="AH872" s="1563">
        <f t="shared" si="892"/>
        <v>0</v>
      </c>
      <c r="AI872" s="1563">
        <f t="shared" si="892"/>
        <v>0</v>
      </c>
      <c r="AJ872" s="1563">
        <f t="shared" si="892"/>
        <v>0</v>
      </c>
      <c r="AL872" s="561"/>
      <c r="AM872" s="1526"/>
      <c r="AN872" s="1526"/>
      <c r="AO872" s="1526"/>
      <c r="AP872" s="1526"/>
      <c r="AQ872" s="1526"/>
      <c r="AR872" s="1526"/>
      <c r="AS872" s="1526"/>
      <c r="AT872" s="1526"/>
      <c r="AU872" s="1526"/>
      <c r="AV872" s="1526"/>
      <c r="AW872" s="1526"/>
      <c r="AX872" s="1526"/>
      <c r="AY872" s="1526"/>
      <c r="AZ872" s="1526"/>
      <c r="BA872" s="1526"/>
      <c r="BB872" s="1526"/>
      <c r="BC872" s="1526"/>
      <c r="BD872" s="1526"/>
      <c r="BE872" s="1526"/>
      <c r="BF872" s="1526"/>
      <c r="BG872" s="1526"/>
      <c r="BH872" s="1526"/>
    </row>
    <row r="873" spans="1:60" s="1525" customFormat="1">
      <c r="A873" s="1499"/>
      <c r="B873" s="1535" t="s">
        <v>2547</v>
      </c>
      <c r="C873" s="1368"/>
      <c r="D873" s="1368"/>
      <c r="E873" s="1368"/>
      <c r="F873" s="1368"/>
      <c r="G873" s="1557">
        <f t="shared" ref="G873:G875" si="893">H873+I873+T873</f>
        <v>0</v>
      </c>
      <c r="H873" s="577"/>
      <c r="I873" s="1557">
        <f t="shared" ref="I873:I875" si="894">SUM(J873:S873)</f>
        <v>0</v>
      </c>
      <c r="J873" s="577"/>
      <c r="K873" s="577"/>
      <c r="L873" s="577"/>
      <c r="M873" s="577"/>
      <c r="N873" s="577"/>
      <c r="O873" s="577"/>
      <c r="P873" s="577"/>
      <c r="Q873" s="577"/>
      <c r="R873" s="577"/>
      <c r="S873" s="1368">
        <f>F873*0.5*1.39</f>
        <v>0</v>
      </c>
      <c r="T873" s="1565"/>
      <c r="U873" s="1559">
        <f t="shared" ref="U873:U875" si="895">V873+W873+AH873</f>
        <v>0</v>
      </c>
      <c r="V873" s="1566"/>
      <c r="W873" s="1559">
        <f t="shared" ref="W873:W875" si="896">SUM(X873:AG873)</f>
        <v>0</v>
      </c>
      <c r="X873" s="1566"/>
      <c r="Y873" s="1566"/>
      <c r="Z873" s="1566"/>
      <c r="AA873" s="1566"/>
      <c r="AB873" s="1566"/>
      <c r="AC873" s="1566"/>
      <c r="AD873" s="1566"/>
      <c r="AE873" s="1566"/>
      <c r="AF873" s="1566"/>
      <c r="AG873" s="1554">
        <f t="shared" ref="AG873:AG875" si="897">(S873/1.39)*1.49</f>
        <v>0</v>
      </c>
      <c r="AH873" s="1566"/>
      <c r="AI873" s="1561">
        <f t="shared" ref="AI873:AI875" si="898">U873-G873</f>
        <v>0</v>
      </c>
      <c r="AJ873" s="1561">
        <f t="shared" ref="AJ873:AJ875" si="899">AI873*6</f>
        <v>0</v>
      </c>
      <c r="AL873" s="561"/>
      <c r="AM873" s="1526"/>
      <c r="AN873" s="1526"/>
      <c r="AO873" s="1526"/>
      <c r="AP873" s="1526"/>
      <c r="AQ873" s="1526"/>
      <c r="AR873" s="1526"/>
      <c r="AS873" s="1526"/>
      <c r="AT873" s="1526"/>
      <c r="AU873" s="1526"/>
      <c r="AV873" s="1526"/>
      <c r="AW873" s="1526"/>
      <c r="AX873" s="1526"/>
      <c r="AY873" s="1526"/>
      <c r="AZ873" s="1526"/>
      <c r="BA873" s="1526"/>
      <c r="BB873" s="1526"/>
      <c r="BC873" s="1526"/>
      <c r="BD873" s="1526"/>
      <c r="BE873" s="1526"/>
      <c r="BF873" s="1526"/>
      <c r="BG873" s="1526"/>
      <c r="BH873" s="1526"/>
    </row>
    <row r="874" spans="1:60" s="1525" customFormat="1">
      <c r="A874" s="1499"/>
      <c r="B874" s="1535" t="s">
        <v>2548</v>
      </c>
      <c r="C874" s="1368"/>
      <c r="D874" s="1368"/>
      <c r="E874" s="1368"/>
      <c r="F874" s="1368"/>
      <c r="G874" s="1557">
        <f t="shared" si="893"/>
        <v>0</v>
      </c>
      <c r="H874" s="577"/>
      <c r="I874" s="1557">
        <f t="shared" si="894"/>
        <v>0</v>
      </c>
      <c r="J874" s="577"/>
      <c r="K874" s="577"/>
      <c r="L874" s="577"/>
      <c r="M874" s="577"/>
      <c r="N874" s="577"/>
      <c r="O874" s="577"/>
      <c r="P874" s="577"/>
      <c r="Q874" s="577"/>
      <c r="R874" s="577"/>
      <c r="S874" s="1368">
        <f>F874*0.4*1.39</f>
        <v>0</v>
      </c>
      <c r="T874" s="1565"/>
      <c r="U874" s="1559">
        <f t="shared" si="895"/>
        <v>0</v>
      </c>
      <c r="V874" s="1566"/>
      <c r="W874" s="1559">
        <f t="shared" si="896"/>
        <v>0</v>
      </c>
      <c r="X874" s="1566"/>
      <c r="Y874" s="1566"/>
      <c r="Z874" s="1566"/>
      <c r="AA874" s="1566"/>
      <c r="AB874" s="1566"/>
      <c r="AC874" s="1566"/>
      <c r="AD874" s="1566"/>
      <c r="AE874" s="1566"/>
      <c r="AF874" s="1566"/>
      <c r="AG874" s="1554">
        <f t="shared" si="897"/>
        <v>0</v>
      </c>
      <c r="AH874" s="1566"/>
      <c r="AI874" s="1561">
        <f t="shared" si="898"/>
        <v>0</v>
      </c>
      <c r="AJ874" s="1561">
        <f t="shared" si="899"/>
        <v>0</v>
      </c>
      <c r="AL874" s="561"/>
      <c r="AM874" s="1526"/>
      <c r="AN874" s="1526"/>
      <c r="AO874" s="1526"/>
      <c r="AP874" s="1526"/>
      <c r="AQ874" s="1526"/>
      <c r="AR874" s="1526"/>
      <c r="AS874" s="1526"/>
      <c r="AT874" s="1526"/>
      <c r="AU874" s="1526"/>
      <c r="AV874" s="1526"/>
      <c r="AW874" s="1526"/>
      <c r="AX874" s="1526"/>
      <c r="AY874" s="1526"/>
      <c r="AZ874" s="1526"/>
      <c r="BA874" s="1526"/>
      <c r="BB874" s="1526"/>
      <c r="BC874" s="1526"/>
      <c r="BD874" s="1526"/>
      <c r="BE874" s="1526"/>
      <c r="BF874" s="1526"/>
      <c r="BG874" s="1526"/>
      <c r="BH874" s="1526"/>
    </row>
    <row r="875" spans="1:60" s="1525" customFormat="1">
      <c r="A875" s="1499"/>
      <c r="B875" s="1535" t="s">
        <v>2549</v>
      </c>
      <c r="C875" s="1368"/>
      <c r="D875" s="1368"/>
      <c r="E875" s="1368"/>
      <c r="F875" s="1368"/>
      <c r="G875" s="1607">
        <f t="shared" si="893"/>
        <v>0</v>
      </c>
      <c r="H875" s="577"/>
      <c r="I875" s="1557">
        <f t="shared" si="894"/>
        <v>0</v>
      </c>
      <c r="J875" s="577"/>
      <c r="K875" s="577"/>
      <c r="L875" s="577"/>
      <c r="M875" s="577"/>
      <c r="N875" s="577"/>
      <c r="O875" s="577"/>
      <c r="P875" s="577"/>
      <c r="Q875" s="577"/>
      <c r="R875" s="577"/>
      <c r="S875" s="1368">
        <f>F875*0.3*1.39</f>
        <v>0</v>
      </c>
      <c r="T875" s="1565"/>
      <c r="U875" s="1559">
        <f t="shared" si="895"/>
        <v>0</v>
      </c>
      <c r="V875" s="1566"/>
      <c r="W875" s="1559">
        <f t="shared" si="896"/>
        <v>0</v>
      </c>
      <c r="X875" s="1566"/>
      <c r="Y875" s="1566"/>
      <c r="Z875" s="1566"/>
      <c r="AA875" s="1566"/>
      <c r="AB875" s="1566"/>
      <c r="AC875" s="1566"/>
      <c r="AD875" s="1566"/>
      <c r="AE875" s="1566"/>
      <c r="AF875" s="1566"/>
      <c r="AG875" s="1554">
        <f t="shared" si="897"/>
        <v>0</v>
      </c>
      <c r="AH875" s="1566"/>
      <c r="AI875" s="1561">
        <f t="shared" si="898"/>
        <v>0</v>
      </c>
      <c r="AJ875" s="1561">
        <f t="shared" si="899"/>
        <v>0</v>
      </c>
      <c r="AL875" s="561"/>
      <c r="AM875" s="1526"/>
      <c r="AN875" s="1526"/>
      <c r="AO875" s="1526"/>
      <c r="AP875" s="1526"/>
      <c r="AQ875" s="1526"/>
      <c r="AR875" s="1526"/>
      <c r="AS875" s="1526"/>
      <c r="AT875" s="1526"/>
      <c r="AU875" s="1526"/>
      <c r="AV875" s="1526"/>
      <c r="AW875" s="1526"/>
      <c r="AX875" s="1526"/>
      <c r="AY875" s="1526"/>
      <c r="AZ875" s="1526"/>
      <c r="BA875" s="1526"/>
      <c r="BB875" s="1526"/>
      <c r="BC875" s="1526"/>
      <c r="BD875" s="1526"/>
      <c r="BE875" s="1526"/>
      <c r="BF875" s="1526"/>
      <c r="BG875" s="1526"/>
      <c r="BH875" s="1526"/>
    </row>
    <row r="876" spans="1:60" s="1525" customFormat="1">
      <c r="A876" s="1605"/>
      <c r="B876" s="1606" t="s">
        <v>2494</v>
      </c>
      <c r="C876" s="1604">
        <f>C877+C897+C898+C902</f>
        <v>0</v>
      </c>
      <c r="D876" s="1604"/>
      <c r="E876" s="1604"/>
      <c r="F876" s="1604">
        <f t="shared" ref="F876:Q876" si="900">F877+F897+F898+F902</f>
        <v>0</v>
      </c>
      <c r="G876" s="1604">
        <f t="shared" si="900"/>
        <v>0</v>
      </c>
      <c r="H876" s="1604">
        <f t="shared" si="900"/>
        <v>0</v>
      </c>
      <c r="I876" s="1604">
        <f t="shared" si="900"/>
        <v>0</v>
      </c>
      <c r="J876" s="1604">
        <f t="shared" si="900"/>
        <v>0</v>
      </c>
      <c r="K876" s="1604">
        <f t="shared" si="900"/>
        <v>0</v>
      </c>
      <c r="L876" s="1604">
        <f t="shared" si="900"/>
        <v>0</v>
      </c>
      <c r="M876" s="1604">
        <f t="shared" si="900"/>
        <v>0</v>
      </c>
      <c r="N876" s="1604">
        <f t="shared" si="900"/>
        <v>0</v>
      </c>
      <c r="O876" s="1604">
        <f t="shared" si="900"/>
        <v>0</v>
      </c>
      <c r="P876" s="1604">
        <f t="shared" si="900"/>
        <v>0</v>
      </c>
      <c r="Q876" s="1604">
        <f t="shared" si="900"/>
        <v>0</v>
      </c>
      <c r="R876" s="1604">
        <f>R877+R897+R898+R902</f>
        <v>0</v>
      </c>
      <c r="S876" s="1604">
        <f t="shared" ref="S876:AJ876" si="901">S877+S897+S898+S902</f>
        <v>0</v>
      </c>
      <c r="T876" s="1604">
        <f t="shared" si="901"/>
        <v>0</v>
      </c>
      <c r="U876" s="1604">
        <f t="shared" si="901"/>
        <v>0</v>
      </c>
      <c r="V876" s="1604">
        <f t="shared" si="901"/>
        <v>0</v>
      </c>
      <c r="W876" s="1604">
        <f t="shared" si="901"/>
        <v>0</v>
      </c>
      <c r="X876" s="1604">
        <f t="shared" si="901"/>
        <v>0</v>
      </c>
      <c r="Y876" s="1604">
        <f t="shared" si="901"/>
        <v>0</v>
      </c>
      <c r="Z876" s="1604">
        <f t="shared" si="901"/>
        <v>0</v>
      </c>
      <c r="AA876" s="1604">
        <f t="shared" si="901"/>
        <v>0</v>
      </c>
      <c r="AB876" s="1604">
        <f t="shared" si="901"/>
        <v>0</v>
      </c>
      <c r="AC876" s="1604">
        <f t="shared" si="901"/>
        <v>0</v>
      </c>
      <c r="AD876" s="1604">
        <f t="shared" si="901"/>
        <v>0</v>
      </c>
      <c r="AE876" s="1604">
        <f t="shared" si="901"/>
        <v>0</v>
      </c>
      <c r="AF876" s="1604">
        <f t="shared" si="901"/>
        <v>0</v>
      </c>
      <c r="AG876" s="1604">
        <f t="shared" si="901"/>
        <v>0</v>
      </c>
      <c r="AH876" s="1604">
        <f t="shared" si="901"/>
        <v>0</v>
      </c>
      <c r="AI876" s="1604">
        <f t="shared" si="901"/>
        <v>0</v>
      </c>
      <c r="AJ876" s="1604">
        <f t="shared" si="901"/>
        <v>0</v>
      </c>
      <c r="AL876" s="561"/>
      <c r="AM876" s="1526"/>
      <c r="AN876" s="1526"/>
      <c r="AO876" s="1526"/>
      <c r="AP876" s="1526"/>
      <c r="AQ876" s="1526"/>
      <c r="AR876" s="1526"/>
      <c r="AS876" s="1526"/>
      <c r="AT876" s="1526"/>
      <c r="AU876" s="1526"/>
      <c r="AV876" s="1526"/>
      <c r="AW876" s="1526"/>
      <c r="AX876" s="1526"/>
      <c r="AY876" s="1526"/>
      <c r="AZ876" s="1526"/>
      <c r="BA876" s="1526"/>
      <c r="BB876" s="1526"/>
      <c r="BC876" s="1526"/>
      <c r="BD876" s="1526"/>
      <c r="BE876" s="1526"/>
      <c r="BF876" s="1526"/>
      <c r="BG876" s="1526"/>
      <c r="BH876" s="1526"/>
    </row>
    <row r="877" spans="1:60" s="1525" customFormat="1">
      <c r="A877" s="1433" t="s">
        <v>13</v>
      </c>
      <c r="B877" s="1552" t="s">
        <v>2528</v>
      </c>
      <c r="C877" s="1438">
        <f>C879+C884+C886+C887+C888+C889+C890+C891+C892+C893</f>
        <v>0</v>
      </c>
      <c r="D877" s="1438"/>
      <c r="E877" s="1438"/>
      <c r="F877" s="1438">
        <f t="shared" ref="F877:Q877" si="902">F879+F884+F886+F887+F888+F889+F890+F891+F892+F893</f>
        <v>0</v>
      </c>
      <c r="G877" s="1438">
        <f t="shared" si="902"/>
        <v>0</v>
      </c>
      <c r="H877" s="1438">
        <f t="shared" si="902"/>
        <v>0</v>
      </c>
      <c r="I877" s="1438">
        <f t="shared" si="902"/>
        <v>0</v>
      </c>
      <c r="J877" s="1438">
        <f t="shared" si="902"/>
        <v>0</v>
      </c>
      <c r="K877" s="1438">
        <f t="shared" si="902"/>
        <v>0</v>
      </c>
      <c r="L877" s="1438">
        <f t="shared" si="902"/>
        <v>0</v>
      </c>
      <c r="M877" s="1438">
        <f t="shared" si="902"/>
        <v>0</v>
      </c>
      <c r="N877" s="1438">
        <f t="shared" si="902"/>
        <v>0</v>
      </c>
      <c r="O877" s="1438">
        <f t="shared" si="902"/>
        <v>0</v>
      </c>
      <c r="P877" s="1438">
        <f t="shared" si="902"/>
        <v>0</v>
      </c>
      <c r="Q877" s="1438">
        <f t="shared" si="902"/>
        <v>0</v>
      </c>
      <c r="R877" s="1438">
        <f>R879+R884+R886+R887+R888+R889+R890+R891+R892+R893</f>
        <v>0</v>
      </c>
      <c r="S877" s="1438">
        <f t="shared" ref="S877:AH877" si="903">S879+S884+S886+S887+S888+S889+S890+S891+S892+S893</f>
        <v>0</v>
      </c>
      <c r="T877" s="1438">
        <f t="shared" si="903"/>
        <v>0</v>
      </c>
      <c r="U877" s="1438">
        <f t="shared" si="903"/>
        <v>0</v>
      </c>
      <c r="V877" s="1438">
        <f t="shared" si="903"/>
        <v>0</v>
      </c>
      <c r="W877" s="1438">
        <f t="shared" si="903"/>
        <v>0</v>
      </c>
      <c r="X877" s="1438">
        <f t="shared" si="903"/>
        <v>0</v>
      </c>
      <c r="Y877" s="1438">
        <f t="shared" si="903"/>
        <v>0</v>
      </c>
      <c r="Z877" s="1438">
        <f t="shared" si="903"/>
        <v>0</v>
      </c>
      <c r="AA877" s="1438">
        <f t="shared" si="903"/>
        <v>0</v>
      </c>
      <c r="AB877" s="1438">
        <f t="shared" si="903"/>
        <v>0</v>
      </c>
      <c r="AC877" s="1438">
        <f t="shared" si="903"/>
        <v>0</v>
      </c>
      <c r="AD877" s="1438">
        <f t="shared" si="903"/>
        <v>0</v>
      </c>
      <c r="AE877" s="1438">
        <f t="shared" si="903"/>
        <v>0</v>
      </c>
      <c r="AF877" s="1438">
        <f t="shared" si="903"/>
        <v>0</v>
      </c>
      <c r="AG877" s="1438">
        <f t="shared" si="903"/>
        <v>0</v>
      </c>
      <c r="AH877" s="1438">
        <f t="shared" si="903"/>
        <v>0</v>
      </c>
      <c r="AI877" s="1438">
        <f>AI879+AI884+AI886+AI887+AI888+AI889+AI890+AI891+AI892+AI893</f>
        <v>0</v>
      </c>
      <c r="AJ877" s="1438">
        <f>AJ879+AJ884+AJ886+AJ887+AJ888+AJ889+AJ890+AJ891+AJ892+AJ893</f>
        <v>0</v>
      </c>
      <c r="AL877" s="561"/>
      <c r="AM877" s="1526"/>
      <c r="AN877" s="1526"/>
      <c r="AO877" s="1526"/>
      <c r="AP877" s="1526"/>
      <c r="AQ877" s="1526"/>
      <c r="AR877" s="1526"/>
      <c r="AS877" s="1526"/>
      <c r="AT877" s="1526"/>
      <c r="AU877" s="1526"/>
      <c r="AV877" s="1526"/>
      <c r="AW877" s="1526"/>
      <c r="AX877" s="1526"/>
      <c r="AY877" s="1526"/>
      <c r="AZ877" s="1526"/>
      <c r="BA877" s="1526"/>
      <c r="BB877" s="1526"/>
      <c r="BC877" s="1526"/>
      <c r="BD877" s="1526"/>
      <c r="BE877" s="1526"/>
      <c r="BF877" s="1526"/>
      <c r="BG877" s="1526"/>
      <c r="BH877" s="1526"/>
    </row>
    <row r="878" spans="1:60" s="1525" customFormat="1">
      <c r="A878" s="1375"/>
      <c r="B878" s="1533" t="s">
        <v>2512</v>
      </c>
      <c r="C878" s="1440"/>
      <c r="D878" s="1440"/>
      <c r="E878" s="1440"/>
      <c r="F878" s="1440"/>
      <c r="G878" s="1553"/>
      <c r="H878" s="1440"/>
      <c r="I878" s="1553"/>
      <c r="J878" s="1440"/>
      <c r="K878" s="1440"/>
      <c r="L878" s="1440"/>
      <c r="M878" s="1440"/>
      <c r="N878" s="1440"/>
      <c r="O878" s="1440"/>
      <c r="P878" s="1440"/>
      <c r="Q878" s="1440"/>
      <c r="R878" s="1440"/>
      <c r="S878" s="1440"/>
      <c r="T878" s="1553"/>
      <c r="U878" s="1554"/>
      <c r="V878" s="1554"/>
      <c r="W878" s="1554"/>
      <c r="X878" s="1554"/>
      <c r="Y878" s="1554"/>
      <c r="Z878" s="1554"/>
      <c r="AA878" s="1554"/>
      <c r="AB878" s="1554"/>
      <c r="AC878" s="1554"/>
      <c r="AD878" s="1554"/>
      <c r="AE878" s="1554"/>
      <c r="AF878" s="1554"/>
      <c r="AG878" s="1554"/>
      <c r="AH878" s="1554"/>
      <c r="AI878" s="1554"/>
      <c r="AJ878" s="1554"/>
      <c r="AL878" s="561"/>
      <c r="AM878" s="1526"/>
      <c r="AN878" s="1526"/>
      <c r="AO878" s="1526"/>
      <c r="AP878" s="1526"/>
      <c r="AQ878" s="1526"/>
      <c r="AR878" s="1526"/>
      <c r="AS878" s="1526"/>
      <c r="AT878" s="1526"/>
      <c r="AU878" s="1526"/>
      <c r="AV878" s="1526"/>
      <c r="AW878" s="1526"/>
      <c r="AX878" s="1526"/>
      <c r="AY878" s="1526"/>
      <c r="AZ878" s="1526"/>
      <c r="BA878" s="1526"/>
      <c r="BB878" s="1526"/>
      <c r="BC878" s="1526"/>
      <c r="BD878" s="1526"/>
      <c r="BE878" s="1526"/>
      <c r="BF878" s="1526"/>
      <c r="BG878" s="1526"/>
      <c r="BH878" s="1526"/>
    </row>
    <row r="879" spans="1:60" s="1525" customFormat="1">
      <c r="A879" s="1375">
        <v>1</v>
      </c>
      <c r="B879" s="1534" t="s">
        <v>2489</v>
      </c>
      <c r="C879" s="1365">
        <f>C880+C882</f>
        <v>0</v>
      </c>
      <c r="D879" s="1365">
        <f t="shared" ref="D879:AJ879" si="904">D880+D882</f>
        <v>0</v>
      </c>
      <c r="E879" s="1365">
        <f t="shared" si="904"/>
        <v>0</v>
      </c>
      <c r="F879" s="1365">
        <f t="shared" si="904"/>
        <v>0</v>
      </c>
      <c r="G879" s="1365">
        <f t="shared" si="904"/>
        <v>0</v>
      </c>
      <c r="H879" s="1365">
        <f t="shared" si="904"/>
        <v>0</v>
      </c>
      <c r="I879" s="1365">
        <f t="shared" si="904"/>
        <v>0</v>
      </c>
      <c r="J879" s="1365">
        <f t="shared" si="904"/>
        <v>0</v>
      </c>
      <c r="K879" s="1365">
        <f t="shared" si="904"/>
        <v>0</v>
      </c>
      <c r="L879" s="1365">
        <f t="shared" si="904"/>
        <v>0</v>
      </c>
      <c r="M879" s="1365">
        <f t="shared" si="904"/>
        <v>0</v>
      </c>
      <c r="N879" s="1365">
        <f t="shared" si="904"/>
        <v>0</v>
      </c>
      <c r="O879" s="1365">
        <f t="shared" si="904"/>
        <v>0</v>
      </c>
      <c r="P879" s="1365">
        <f t="shared" si="904"/>
        <v>0</v>
      </c>
      <c r="Q879" s="1365">
        <f t="shared" si="904"/>
        <v>0</v>
      </c>
      <c r="R879" s="1365">
        <f t="shared" si="904"/>
        <v>0</v>
      </c>
      <c r="S879" s="1365">
        <f t="shared" si="904"/>
        <v>0</v>
      </c>
      <c r="T879" s="1365">
        <f t="shared" si="904"/>
        <v>0</v>
      </c>
      <c r="U879" s="1556">
        <f t="shared" si="904"/>
        <v>0</v>
      </c>
      <c r="V879" s="1556">
        <f t="shared" si="904"/>
        <v>0</v>
      </c>
      <c r="W879" s="1556">
        <f t="shared" si="904"/>
        <v>0</v>
      </c>
      <c r="X879" s="1556">
        <f t="shared" si="904"/>
        <v>0</v>
      </c>
      <c r="Y879" s="1556">
        <f t="shared" si="904"/>
        <v>0</v>
      </c>
      <c r="Z879" s="1556">
        <f t="shared" si="904"/>
        <v>0</v>
      </c>
      <c r="AA879" s="1556">
        <f t="shared" si="904"/>
        <v>0</v>
      </c>
      <c r="AB879" s="1556">
        <f t="shared" si="904"/>
        <v>0</v>
      </c>
      <c r="AC879" s="1556">
        <f t="shared" si="904"/>
        <v>0</v>
      </c>
      <c r="AD879" s="1556">
        <f t="shared" si="904"/>
        <v>0</v>
      </c>
      <c r="AE879" s="1556">
        <f t="shared" si="904"/>
        <v>0</v>
      </c>
      <c r="AF879" s="1556">
        <f t="shared" si="904"/>
        <v>0</v>
      </c>
      <c r="AG879" s="1556">
        <f t="shared" si="904"/>
        <v>0</v>
      </c>
      <c r="AH879" s="1556">
        <f t="shared" si="904"/>
        <v>0</v>
      </c>
      <c r="AI879" s="1556">
        <f t="shared" si="904"/>
        <v>0</v>
      </c>
      <c r="AJ879" s="1556">
        <f t="shared" si="904"/>
        <v>0</v>
      </c>
      <c r="AL879" s="561"/>
      <c r="AM879" s="1526"/>
      <c r="AN879" s="1526"/>
      <c r="AO879" s="1526"/>
      <c r="AP879" s="1526"/>
      <c r="AQ879" s="1526"/>
      <c r="AR879" s="1526"/>
      <c r="AS879" s="1526"/>
      <c r="AT879" s="1526"/>
      <c r="AU879" s="1526"/>
      <c r="AV879" s="1526"/>
      <c r="AW879" s="1526"/>
      <c r="AX879" s="1526"/>
      <c r="AY879" s="1526"/>
      <c r="AZ879" s="1526"/>
      <c r="BA879" s="1526"/>
      <c r="BB879" s="1526"/>
      <c r="BC879" s="1526"/>
      <c r="BD879" s="1526"/>
      <c r="BE879" s="1526"/>
      <c r="BF879" s="1526"/>
      <c r="BG879" s="1526"/>
      <c r="BH879" s="1526"/>
    </row>
    <row r="880" spans="1:60" s="1525" customFormat="1">
      <c r="A880" s="1375"/>
      <c r="B880" s="1449" t="s">
        <v>2490</v>
      </c>
      <c r="C880" s="1365"/>
      <c r="D880" s="1365"/>
      <c r="E880" s="1365"/>
      <c r="F880" s="1365"/>
      <c r="G880" s="1553">
        <f t="shared" ref="G880" si="905">H880+I880+T880</f>
        <v>0</v>
      </c>
      <c r="H880" s="1365"/>
      <c r="I880" s="1553">
        <f>SUM(J880:S880)</f>
        <v>0</v>
      </c>
      <c r="J880" s="1365"/>
      <c r="K880" s="1365"/>
      <c r="L880" s="1365"/>
      <c r="M880" s="1365"/>
      <c r="N880" s="1365"/>
      <c r="O880" s="1365"/>
      <c r="P880" s="1365"/>
      <c r="Q880" s="1365"/>
      <c r="R880" s="1365"/>
      <c r="S880" s="1365"/>
      <c r="T880" s="1555">
        <f t="shared" ref="T880" si="906">(H880+K880+L880+R880)*23.5%</f>
        <v>0</v>
      </c>
      <c r="U880" s="1554">
        <f t="shared" ref="U880:U892" si="907">V880+W880+AH880</f>
        <v>0</v>
      </c>
      <c r="V880" s="1554">
        <f>(H880/1.39)*1.49</f>
        <v>0</v>
      </c>
      <c r="W880" s="1554">
        <f t="shared" ref="W880:W897" si="908">SUM(X880:AG880)</f>
        <v>0</v>
      </c>
      <c r="X880" s="1554">
        <f>(J880/1.39)*1.49</f>
        <v>0</v>
      </c>
      <c r="Y880" s="1554">
        <f>(K880/1.39)*1.49</f>
        <v>0</v>
      </c>
      <c r="Z880" s="1554">
        <f>(L880/1.39)*1.49</f>
        <v>0</v>
      </c>
      <c r="AA880" s="1554">
        <f>(M880/1.39)*1.49</f>
        <v>0</v>
      </c>
      <c r="AB880" s="1554">
        <f t="shared" ref="AB880:AG897" si="909">(N880/1.39)*1.49</f>
        <v>0</v>
      </c>
      <c r="AC880" s="1554">
        <f t="shared" si="909"/>
        <v>0</v>
      </c>
      <c r="AD880" s="1554">
        <f t="shared" si="909"/>
        <v>0</v>
      </c>
      <c r="AE880" s="1554">
        <f t="shared" si="909"/>
        <v>0</v>
      </c>
      <c r="AF880" s="1554">
        <f t="shared" si="909"/>
        <v>0</v>
      </c>
      <c r="AG880" s="1554">
        <f t="shared" si="909"/>
        <v>0</v>
      </c>
      <c r="AH880" s="1554">
        <f>(V880+Y880+Z880+AF880)*23.5%</f>
        <v>0</v>
      </c>
      <c r="AI880" s="1556">
        <f t="shared" ref="AI880:AI892" si="910">U880-G880</f>
        <v>0</v>
      </c>
      <c r="AJ880" s="1556">
        <f t="shared" ref="AJ880:AJ892" si="911">AI880*6</f>
        <v>0</v>
      </c>
      <c r="AL880" s="561"/>
      <c r="AM880" s="1526"/>
      <c r="AN880" s="1526"/>
      <c r="AO880" s="1526"/>
      <c r="AP880" s="1526"/>
      <c r="AQ880" s="1526"/>
      <c r="AR880" s="1526"/>
      <c r="AS880" s="1526"/>
      <c r="AT880" s="1526"/>
      <c r="AU880" s="1526"/>
      <c r="AV880" s="1526"/>
      <c r="AW880" s="1526"/>
      <c r="AX880" s="1526"/>
      <c r="AY880" s="1526"/>
      <c r="AZ880" s="1526"/>
      <c r="BA880" s="1526"/>
      <c r="BB880" s="1526"/>
      <c r="BC880" s="1526"/>
      <c r="BD880" s="1526"/>
      <c r="BE880" s="1526"/>
      <c r="BF880" s="1526"/>
      <c r="BG880" s="1526"/>
      <c r="BH880" s="1526"/>
    </row>
    <row r="881" spans="1:60" s="1525" customFormat="1">
      <c r="A881" s="1456"/>
      <c r="B881" s="1535" t="s">
        <v>2529</v>
      </c>
      <c r="C881" s="1365"/>
      <c r="D881" s="1365"/>
      <c r="E881" s="1365"/>
      <c r="F881" s="1365"/>
      <c r="G881" s="1555"/>
      <c r="H881" s="1365"/>
      <c r="I881" s="1555"/>
      <c r="J881" s="1365"/>
      <c r="K881" s="1365"/>
      <c r="L881" s="1365"/>
      <c r="M881" s="1365"/>
      <c r="N881" s="1365"/>
      <c r="O881" s="1365"/>
      <c r="P881" s="1365"/>
      <c r="Q881" s="1365"/>
      <c r="R881" s="1365"/>
      <c r="S881" s="1365"/>
      <c r="T881" s="1555">
        <f>(H881+K881+L881+R881)*23.5%</f>
        <v>0</v>
      </c>
      <c r="U881" s="1554">
        <f t="shared" si="907"/>
        <v>0</v>
      </c>
      <c r="V881" s="1554">
        <f t="shared" ref="V881:V896" si="912">(H881/1.39)*1.49</f>
        <v>0</v>
      </c>
      <c r="W881" s="1554">
        <f t="shared" si="908"/>
        <v>0</v>
      </c>
      <c r="X881" s="1554">
        <f t="shared" ref="X881:AA896" si="913">(J881/1.39)*1.49</f>
        <v>0</v>
      </c>
      <c r="Y881" s="1554">
        <f t="shared" si="913"/>
        <v>0</v>
      </c>
      <c r="Z881" s="1554">
        <f t="shared" si="913"/>
        <v>0</v>
      </c>
      <c r="AA881" s="1554">
        <f t="shared" si="913"/>
        <v>0</v>
      </c>
      <c r="AB881" s="1554">
        <f t="shared" si="909"/>
        <v>0</v>
      </c>
      <c r="AC881" s="1554">
        <f t="shared" si="909"/>
        <v>0</v>
      </c>
      <c r="AD881" s="1554">
        <f t="shared" si="909"/>
        <v>0</v>
      </c>
      <c r="AE881" s="1554">
        <f t="shared" si="909"/>
        <v>0</v>
      </c>
      <c r="AF881" s="1554">
        <f t="shared" si="909"/>
        <v>0</v>
      </c>
      <c r="AG881" s="1554">
        <f t="shared" si="909"/>
        <v>0</v>
      </c>
      <c r="AH881" s="1554">
        <f t="shared" ref="AH881:AH892" si="914">(V881+Y881+Z881+AF881)*23.5%</f>
        <v>0</v>
      </c>
      <c r="AI881" s="1556">
        <f t="shared" si="910"/>
        <v>0</v>
      </c>
      <c r="AJ881" s="1556">
        <f t="shared" si="911"/>
        <v>0</v>
      </c>
      <c r="AL881" s="561"/>
      <c r="AM881" s="1526"/>
      <c r="AN881" s="1526"/>
      <c r="AO881" s="1526"/>
      <c r="AP881" s="1526"/>
      <c r="AQ881" s="1526"/>
      <c r="AR881" s="1526"/>
      <c r="AS881" s="1526"/>
      <c r="AT881" s="1526"/>
      <c r="AU881" s="1526"/>
      <c r="AV881" s="1526"/>
      <c r="AW881" s="1526"/>
      <c r="AX881" s="1526"/>
      <c r="AY881" s="1526"/>
      <c r="AZ881" s="1526"/>
      <c r="BA881" s="1526"/>
      <c r="BB881" s="1526"/>
      <c r="BC881" s="1526"/>
      <c r="BD881" s="1526"/>
      <c r="BE881" s="1526"/>
      <c r="BF881" s="1526"/>
      <c r="BG881" s="1526"/>
      <c r="BH881" s="1526"/>
    </row>
    <row r="882" spans="1:60" s="1525" customFormat="1">
      <c r="A882" s="1456"/>
      <c r="B882" s="1449" t="s">
        <v>2491</v>
      </c>
      <c r="C882" s="1365"/>
      <c r="D882" s="1365"/>
      <c r="E882" s="1365"/>
      <c r="F882" s="1365"/>
      <c r="G882" s="1553">
        <f t="shared" ref="G882" si="915">H882+I882+T882</f>
        <v>0</v>
      </c>
      <c r="H882" s="1365"/>
      <c r="I882" s="1553">
        <f>SUM(J882:S882)</f>
        <v>0</v>
      </c>
      <c r="J882" s="1365"/>
      <c r="K882" s="1365"/>
      <c r="L882" s="1365"/>
      <c r="M882" s="1365"/>
      <c r="N882" s="1365"/>
      <c r="O882" s="1365"/>
      <c r="P882" s="1365"/>
      <c r="Q882" s="1365"/>
      <c r="R882" s="1365"/>
      <c r="S882" s="1365"/>
      <c r="T882" s="1555">
        <f t="shared" ref="T882:T892" si="916">(H882+K882+L882+R882)*23.5%</f>
        <v>0</v>
      </c>
      <c r="U882" s="1554">
        <f t="shared" si="907"/>
        <v>0</v>
      </c>
      <c r="V882" s="1554">
        <f t="shared" si="912"/>
        <v>0</v>
      </c>
      <c r="W882" s="1554">
        <f t="shared" si="908"/>
        <v>0</v>
      </c>
      <c r="X882" s="1554">
        <f t="shared" si="913"/>
        <v>0</v>
      </c>
      <c r="Y882" s="1554">
        <f t="shared" si="913"/>
        <v>0</v>
      </c>
      <c r="Z882" s="1554">
        <f t="shared" si="913"/>
        <v>0</v>
      </c>
      <c r="AA882" s="1554">
        <f t="shared" si="913"/>
        <v>0</v>
      </c>
      <c r="AB882" s="1554">
        <f t="shared" si="909"/>
        <v>0</v>
      </c>
      <c r="AC882" s="1554">
        <f t="shared" si="909"/>
        <v>0</v>
      </c>
      <c r="AD882" s="1554">
        <f t="shared" si="909"/>
        <v>0</v>
      </c>
      <c r="AE882" s="1554">
        <f t="shared" si="909"/>
        <v>0</v>
      </c>
      <c r="AF882" s="1554">
        <f t="shared" si="909"/>
        <v>0</v>
      </c>
      <c r="AG882" s="1554">
        <f t="shared" si="909"/>
        <v>0</v>
      </c>
      <c r="AH882" s="1554">
        <f t="shared" si="914"/>
        <v>0</v>
      </c>
      <c r="AI882" s="1556">
        <f t="shared" si="910"/>
        <v>0</v>
      </c>
      <c r="AJ882" s="1556">
        <f t="shared" si="911"/>
        <v>0</v>
      </c>
      <c r="AL882" s="561"/>
      <c r="AM882" s="1526"/>
      <c r="AN882" s="1526"/>
      <c r="AO882" s="1526"/>
      <c r="AP882" s="1526"/>
      <c r="AQ882" s="1526"/>
      <c r="AR882" s="1526"/>
      <c r="AS882" s="1526"/>
      <c r="AT882" s="1526"/>
      <c r="AU882" s="1526"/>
      <c r="AV882" s="1526"/>
      <c r="AW882" s="1526"/>
      <c r="AX882" s="1526"/>
      <c r="AY882" s="1526"/>
      <c r="AZ882" s="1526"/>
      <c r="BA882" s="1526"/>
      <c r="BB882" s="1526"/>
      <c r="BC882" s="1526"/>
      <c r="BD882" s="1526"/>
      <c r="BE882" s="1526"/>
      <c r="BF882" s="1526"/>
      <c r="BG882" s="1526"/>
      <c r="BH882" s="1526"/>
    </row>
    <row r="883" spans="1:60" s="1525" customFormat="1">
      <c r="A883" s="1456"/>
      <c r="B883" s="1535" t="s">
        <v>2529</v>
      </c>
      <c r="C883" s="1365"/>
      <c r="D883" s="1365"/>
      <c r="E883" s="1365"/>
      <c r="F883" s="1365"/>
      <c r="G883" s="1555"/>
      <c r="H883" s="1365"/>
      <c r="I883" s="1555"/>
      <c r="J883" s="1365"/>
      <c r="K883" s="1365"/>
      <c r="L883" s="1365"/>
      <c r="M883" s="1365"/>
      <c r="N883" s="1365"/>
      <c r="O883" s="1365"/>
      <c r="P883" s="1365"/>
      <c r="Q883" s="1365"/>
      <c r="R883" s="1365"/>
      <c r="S883" s="1365"/>
      <c r="T883" s="1555">
        <f t="shared" si="916"/>
        <v>0</v>
      </c>
      <c r="U883" s="1554">
        <f t="shared" si="907"/>
        <v>0</v>
      </c>
      <c r="V883" s="1554">
        <f t="shared" si="912"/>
        <v>0</v>
      </c>
      <c r="W883" s="1554">
        <f t="shared" si="908"/>
        <v>0</v>
      </c>
      <c r="X883" s="1554">
        <f t="shared" si="913"/>
        <v>0</v>
      </c>
      <c r="Y883" s="1554">
        <f t="shared" si="913"/>
        <v>0</v>
      </c>
      <c r="Z883" s="1554">
        <f t="shared" si="913"/>
        <v>0</v>
      </c>
      <c r="AA883" s="1554">
        <f t="shared" si="913"/>
        <v>0</v>
      </c>
      <c r="AB883" s="1554">
        <f t="shared" si="909"/>
        <v>0</v>
      </c>
      <c r="AC883" s="1554">
        <f t="shared" si="909"/>
        <v>0</v>
      </c>
      <c r="AD883" s="1554">
        <f t="shared" si="909"/>
        <v>0</v>
      </c>
      <c r="AE883" s="1554">
        <f t="shared" si="909"/>
        <v>0</v>
      </c>
      <c r="AF883" s="1554">
        <f t="shared" si="909"/>
        <v>0</v>
      </c>
      <c r="AG883" s="1554">
        <f t="shared" si="909"/>
        <v>0</v>
      </c>
      <c r="AH883" s="1554">
        <f t="shared" si="914"/>
        <v>0</v>
      </c>
      <c r="AI883" s="1556">
        <f t="shared" si="910"/>
        <v>0</v>
      </c>
      <c r="AJ883" s="1556">
        <f t="shared" si="911"/>
        <v>0</v>
      </c>
      <c r="AL883" s="561"/>
      <c r="AM883" s="1526"/>
      <c r="AN883" s="1526"/>
      <c r="AO883" s="1526"/>
      <c r="AP883" s="1526"/>
      <c r="AQ883" s="1526"/>
      <c r="AR883" s="1526"/>
      <c r="AS883" s="1526"/>
      <c r="AT883" s="1526"/>
      <c r="AU883" s="1526"/>
      <c r="AV883" s="1526"/>
      <c r="AW883" s="1526"/>
      <c r="AX883" s="1526"/>
      <c r="AY883" s="1526"/>
      <c r="AZ883" s="1526"/>
      <c r="BA883" s="1526"/>
      <c r="BB883" s="1526"/>
      <c r="BC883" s="1526"/>
      <c r="BD883" s="1526"/>
      <c r="BE883" s="1526"/>
      <c r="BF883" s="1526"/>
      <c r="BG883" s="1526"/>
      <c r="BH883" s="1526"/>
    </row>
    <row r="884" spans="1:60" s="1525" customFormat="1">
      <c r="A884" s="1375">
        <v>2</v>
      </c>
      <c r="B884" s="1534" t="s">
        <v>2237</v>
      </c>
      <c r="C884" s="1365"/>
      <c r="D884" s="1365"/>
      <c r="E884" s="1365"/>
      <c r="F884" s="1365"/>
      <c r="G884" s="1553">
        <f t="shared" ref="G884" si="917">H884+I884+T884</f>
        <v>0</v>
      </c>
      <c r="H884" s="1365"/>
      <c r="I884" s="1553">
        <f>SUM(J884:S884)</f>
        <v>0</v>
      </c>
      <c r="J884" s="1365"/>
      <c r="K884" s="1365"/>
      <c r="L884" s="1365"/>
      <c r="M884" s="1365"/>
      <c r="N884" s="1365"/>
      <c r="O884" s="1365"/>
      <c r="P884" s="1365"/>
      <c r="Q884" s="1365"/>
      <c r="R884" s="1365"/>
      <c r="S884" s="1365"/>
      <c r="T884" s="1555">
        <f t="shared" si="916"/>
        <v>0</v>
      </c>
      <c r="U884" s="1554">
        <f t="shared" si="907"/>
        <v>0</v>
      </c>
      <c r="V884" s="1554">
        <f t="shared" si="912"/>
        <v>0</v>
      </c>
      <c r="W884" s="1554">
        <f t="shared" si="908"/>
        <v>0</v>
      </c>
      <c r="X884" s="1554">
        <f t="shared" si="913"/>
        <v>0</v>
      </c>
      <c r="Y884" s="1554">
        <f t="shared" si="913"/>
        <v>0</v>
      </c>
      <c r="Z884" s="1554">
        <f t="shared" si="913"/>
        <v>0</v>
      </c>
      <c r="AA884" s="1554">
        <f t="shared" si="913"/>
        <v>0</v>
      </c>
      <c r="AB884" s="1554">
        <f t="shared" si="909"/>
        <v>0</v>
      </c>
      <c r="AC884" s="1554">
        <f t="shared" si="909"/>
        <v>0</v>
      </c>
      <c r="AD884" s="1554">
        <f t="shared" si="909"/>
        <v>0</v>
      </c>
      <c r="AE884" s="1554">
        <f t="shared" si="909"/>
        <v>0</v>
      </c>
      <c r="AF884" s="1554">
        <f t="shared" si="909"/>
        <v>0</v>
      </c>
      <c r="AG884" s="1554">
        <f t="shared" si="909"/>
        <v>0</v>
      </c>
      <c r="AH884" s="1554">
        <f t="shared" si="914"/>
        <v>0</v>
      </c>
      <c r="AI884" s="1556">
        <f t="shared" si="910"/>
        <v>0</v>
      </c>
      <c r="AJ884" s="1556">
        <f t="shared" si="911"/>
        <v>0</v>
      </c>
      <c r="AL884" s="561"/>
      <c r="AM884" s="1526"/>
      <c r="AN884" s="1526"/>
      <c r="AO884" s="1526"/>
      <c r="AP884" s="1526"/>
      <c r="AQ884" s="1526"/>
      <c r="AR884" s="1526"/>
      <c r="AS884" s="1526"/>
      <c r="AT884" s="1526"/>
      <c r="AU884" s="1526"/>
      <c r="AV884" s="1526"/>
      <c r="AW884" s="1526"/>
      <c r="AX884" s="1526"/>
      <c r="AY884" s="1526"/>
      <c r="AZ884" s="1526"/>
      <c r="BA884" s="1526"/>
      <c r="BB884" s="1526"/>
      <c r="BC884" s="1526"/>
      <c r="BD884" s="1526"/>
      <c r="BE884" s="1526"/>
      <c r="BF884" s="1526"/>
      <c r="BG884" s="1526"/>
      <c r="BH884" s="1526"/>
    </row>
    <row r="885" spans="1:60" s="1525" customFormat="1">
      <c r="A885" s="1456"/>
      <c r="B885" s="1535" t="s">
        <v>2529</v>
      </c>
      <c r="C885" s="1365"/>
      <c r="D885" s="1365"/>
      <c r="E885" s="1365"/>
      <c r="F885" s="1365"/>
      <c r="G885" s="1555"/>
      <c r="H885" s="1365"/>
      <c r="I885" s="1555"/>
      <c r="J885" s="1365"/>
      <c r="K885" s="1365"/>
      <c r="L885" s="1365"/>
      <c r="M885" s="1365"/>
      <c r="N885" s="1365"/>
      <c r="O885" s="1365"/>
      <c r="P885" s="1365"/>
      <c r="Q885" s="1365"/>
      <c r="R885" s="1365"/>
      <c r="S885" s="1365"/>
      <c r="T885" s="1555">
        <f t="shared" si="916"/>
        <v>0</v>
      </c>
      <c r="U885" s="1554">
        <f t="shared" si="907"/>
        <v>0</v>
      </c>
      <c r="V885" s="1554">
        <f t="shared" si="912"/>
        <v>0</v>
      </c>
      <c r="W885" s="1554">
        <f t="shared" si="908"/>
        <v>0</v>
      </c>
      <c r="X885" s="1554">
        <f t="shared" si="913"/>
        <v>0</v>
      </c>
      <c r="Y885" s="1554">
        <f t="shared" si="913"/>
        <v>0</v>
      </c>
      <c r="Z885" s="1554">
        <f t="shared" si="913"/>
        <v>0</v>
      </c>
      <c r="AA885" s="1554">
        <f t="shared" si="913"/>
        <v>0</v>
      </c>
      <c r="AB885" s="1554">
        <f t="shared" si="909"/>
        <v>0</v>
      </c>
      <c r="AC885" s="1554" t="s">
        <v>2530</v>
      </c>
      <c r="AD885" s="1554">
        <f t="shared" si="909"/>
        <v>0</v>
      </c>
      <c r="AE885" s="1554">
        <f t="shared" si="909"/>
        <v>0</v>
      </c>
      <c r="AF885" s="1554">
        <f t="shared" si="909"/>
        <v>0</v>
      </c>
      <c r="AG885" s="1554">
        <f t="shared" si="909"/>
        <v>0</v>
      </c>
      <c r="AH885" s="1554">
        <f t="shared" si="914"/>
        <v>0</v>
      </c>
      <c r="AI885" s="1556">
        <f t="shared" si="910"/>
        <v>0</v>
      </c>
      <c r="AJ885" s="1556">
        <f t="shared" si="911"/>
        <v>0</v>
      </c>
      <c r="AL885" s="561"/>
      <c r="AM885" s="1526"/>
      <c r="AN885" s="1526"/>
      <c r="AO885" s="1526"/>
      <c r="AP885" s="1526"/>
      <c r="AQ885" s="1526"/>
      <c r="AR885" s="1526"/>
      <c r="AS885" s="1526"/>
      <c r="AT885" s="1526"/>
      <c r="AU885" s="1526"/>
      <c r="AV885" s="1526"/>
      <c r="AW885" s="1526"/>
      <c r="AX885" s="1526"/>
      <c r="AY885" s="1526"/>
      <c r="AZ885" s="1526"/>
      <c r="BA885" s="1526"/>
      <c r="BB885" s="1526"/>
      <c r="BC885" s="1526"/>
      <c r="BD885" s="1526"/>
      <c r="BE885" s="1526"/>
      <c r="BF885" s="1526"/>
      <c r="BG885" s="1526"/>
      <c r="BH885" s="1526"/>
    </row>
    <row r="886" spans="1:60" s="1525" customFormat="1">
      <c r="A886" s="1375">
        <v>3</v>
      </c>
      <c r="B886" s="1534" t="s">
        <v>2531</v>
      </c>
      <c r="C886" s="1365"/>
      <c r="D886" s="1365"/>
      <c r="E886" s="1365"/>
      <c r="F886" s="1365"/>
      <c r="G886" s="1553">
        <f t="shared" ref="G886:G892" si="918">H886+I886+T886</f>
        <v>0</v>
      </c>
      <c r="H886" s="1365"/>
      <c r="I886" s="1553">
        <f t="shared" ref="I886:I892" si="919">SUM(J886:S886)</f>
        <v>0</v>
      </c>
      <c r="J886" s="1365"/>
      <c r="K886" s="1365"/>
      <c r="L886" s="1365"/>
      <c r="M886" s="1365"/>
      <c r="N886" s="1365"/>
      <c r="O886" s="1365"/>
      <c r="P886" s="1365"/>
      <c r="Q886" s="1365"/>
      <c r="R886" s="1365"/>
      <c r="S886" s="1365"/>
      <c r="T886" s="1555">
        <f t="shared" si="916"/>
        <v>0</v>
      </c>
      <c r="U886" s="1554">
        <f t="shared" si="907"/>
        <v>0</v>
      </c>
      <c r="V886" s="1554">
        <f t="shared" si="912"/>
        <v>0</v>
      </c>
      <c r="W886" s="1554">
        <f t="shared" si="908"/>
        <v>0</v>
      </c>
      <c r="X886" s="1554">
        <f t="shared" si="913"/>
        <v>0</v>
      </c>
      <c r="Y886" s="1554">
        <f t="shared" si="913"/>
        <v>0</v>
      </c>
      <c r="Z886" s="1554">
        <f t="shared" si="913"/>
        <v>0</v>
      </c>
      <c r="AA886" s="1554">
        <f t="shared" si="913"/>
        <v>0</v>
      </c>
      <c r="AB886" s="1554">
        <f t="shared" si="909"/>
        <v>0</v>
      </c>
      <c r="AC886" s="1554">
        <f t="shared" si="909"/>
        <v>0</v>
      </c>
      <c r="AD886" s="1554">
        <f t="shared" si="909"/>
        <v>0</v>
      </c>
      <c r="AE886" s="1554">
        <f t="shared" si="909"/>
        <v>0</v>
      </c>
      <c r="AF886" s="1554">
        <f t="shared" si="909"/>
        <v>0</v>
      </c>
      <c r="AG886" s="1554">
        <f t="shared" si="909"/>
        <v>0</v>
      </c>
      <c r="AH886" s="1554">
        <f t="shared" si="914"/>
        <v>0</v>
      </c>
      <c r="AI886" s="1556">
        <f t="shared" si="910"/>
        <v>0</v>
      </c>
      <c r="AJ886" s="1556">
        <f t="shared" si="911"/>
        <v>0</v>
      </c>
      <c r="AL886" s="561"/>
      <c r="AM886" s="1526"/>
      <c r="AN886" s="1526"/>
      <c r="AO886" s="1526"/>
      <c r="AP886" s="1526"/>
      <c r="AQ886" s="1526"/>
      <c r="AR886" s="1526"/>
      <c r="AS886" s="1526"/>
      <c r="AT886" s="1526"/>
      <c r="AU886" s="1526"/>
      <c r="AV886" s="1526"/>
      <c r="AW886" s="1526"/>
      <c r="AX886" s="1526"/>
      <c r="AY886" s="1526"/>
      <c r="AZ886" s="1526"/>
      <c r="BA886" s="1526"/>
      <c r="BB886" s="1526"/>
      <c r="BC886" s="1526"/>
      <c r="BD886" s="1526"/>
      <c r="BE886" s="1526"/>
      <c r="BF886" s="1526"/>
      <c r="BG886" s="1526"/>
      <c r="BH886" s="1526"/>
    </row>
    <row r="887" spans="1:60" s="1525" customFormat="1">
      <c r="A887" s="1375">
        <v>4</v>
      </c>
      <c r="B887" s="1534" t="s">
        <v>2532</v>
      </c>
      <c r="C887" s="1365"/>
      <c r="D887" s="1365"/>
      <c r="E887" s="1365"/>
      <c r="F887" s="1365"/>
      <c r="G887" s="1553">
        <f t="shared" si="918"/>
        <v>0</v>
      </c>
      <c r="H887" s="1365"/>
      <c r="I887" s="1553">
        <f t="shared" si="919"/>
        <v>0</v>
      </c>
      <c r="J887" s="1365"/>
      <c r="K887" s="1365"/>
      <c r="L887" s="1365"/>
      <c r="M887" s="1365"/>
      <c r="N887" s="1365"/>
      <c r="O887" s="1365"/>
      <c r="P887" s="1365"/>
      <c r="Q887" s="1365"/>
      <c r="R887" s="1365"/>
      <c r="S887" s="1365"/>
      <c r="T887" s="1555">
        <f t="shared" si="916"/>
        <v>0</v>
      </c>
      <c r="U887" s="1554">
        <f t="shared" si="907"/>
        <v>0</v>
      </c>
      <c r="V887" s="1554">
        <f t="shared" si="912"/>
        <v>0</v>
      </c>
      <c r="W887" s="1554">
        <f t="shared" si="908"/>
        <v>0</v>
      </c>
      <c r="X887" s="1554">
        <f t="shared" si="913"/>
        <v>0</v>
      </c>
      <c r="Y887" s="1554">
        <f t="shared" si="913"/>
        <v>0</v>
      </c>
      <c r="Z887" s="1554">
        <f t="shared" si="913"/>
        <v>0</v>
      </c>
      <c r="AA887" s="1554">
        <f t="shared" si="913"/>
        <v>0</v>
      </c>
      <c r="AB887" s="1554">
        <f t="shared" si="909"/>
        <v>0</v>
      </c>
      <c r="AC887" s="1554">
        <f t="shared" si="909"/>
        <v>0</v>
      </c>
      <c r="AD887" s="1554">
        <f t="shared" si="909"/>
        <v>0</v>
      </c>
      <c r="AE887" s="1554">
        <f t="shared" si="909"/>
        <v>0</v>
      </c>
      <c r="AF887" s="1554">
        <f t="shared" si="909"/>
        <v>0</v>
      </c>
      <c r="AG887" s="1554">
        <f t="shared" si="909"/>
        <v>0</v>
      </c>
      <c r="AH887" s="1554">
        <f t="shared" si="914"/>
        <v>0</v>
      </c>
      <c r="AI887" s="1556">
        <f t="shared" si="910"/>
        <v>0</v>
      </c>
      <c r="AJ887" s="1556">
        <f t="shared" si="911"/>
        <v>0</v>
      </c>
      <c r="AL887" s="561"/>
      <c r="AM887" s="1526"/>
      <c r="AN887" s="1526"/>
      <c r="AO887" s="1526"/>
      <c r="AP887" s="1526"/>
      <c r="AQ887" s="1526"/>
      <c r="AR887" s="1526"/>
      <c r="AS887" s="1526"/>
      <c r="AT887" s="1526"/>
      <c r="AU887" s="1526"/>
      <c r="AV887" s="1526"/>
      <c r="AW887" s="1526"/>
      <c r="AX887" s="1526"/>
      <c r="AY887" s="1526"/>
      <c r="AZ887" s="1526"/>
      <c r="BA887" s="1526"/>
      <c r="BB887" s="1526"/>
      <c r="BC887" s="1526"/>
      <c r="BD887" s="1526"/>
      <c r="BE887" s="1526"/>
      <c r="BF887" s="1526"/>
      <c r="BG887" s="1526"/>
      <c r="BH887" s="1526"/>
    </row>
    <row r="888" spans="1:60" s="1525" customFormat="1">
      <c r="A888" s="1375">
        <v>5</v>
      </c>
      <c r="B888" s="1534" t="s">
        <v>2533</v>
      </c>
      <c r="C888" s="1365"/>
      <c r="D888" s="1365"/>
      <c r="E888" s="1365"/>
      <c r="F888" s="1365"/>
      <c r="G888" s="1553">
        <f t="shared" si="918"/>
        <v>0</v>
      </c>
      <c r="H888" s="1365"/>
      <c r="I888" s="1553">
        <f t="shared" si="919"/>
        <v>0</v>
      </c>
      <c r="J888" s="1365"/>
      <c r="K888" s="1365"/>
      <c r="L888" s="1365"/>
      <c r="M888" s="1365"/>
      <c r="N888" s="1365"/>
      <c r="O888" s="1365"/>
      <c r="P888" s="1365"/>
      <c r="Q888" s="1365"/>
      <c r="R888" s="1365"/>
      <c r="S888" s="1365"/>
      <c r="T888" s="1555">
        <f t="shared" si="916"/>
        <v>0</v>
      </c>
      <c r="U888" s="1554">
        <f t="shared" si="907"/>
        <v>0</v>
      </c>
      <c r="V888" s="1554">
        <f t="shared" si="912"/>
        <v>0</v>
      </c>
      <c r="W888" s="1554">
        <f t="shared" si="908"/>
        <v>0</v>
      </c>
      <c r="X888" s="1554">
        <f t="shared" si="913"/>
        <v>0</v>
      </c>
      <c r="Y888" s="1554">
        <f t="shared" si="913"/>
        <v>0</v>
      </c>
      <c r="Z888" s="1554">
        <f t="shared" si="913"/>
        <v>0</v>
      </c>
      <c r="AA888" s="1554">
        <f t="shared" si="913"/>
        <v>0</v>
      </c>
      <c r="AB888" s="1554">
        <f t="shared" si="909"/>
        <v>0</v>
      </c>
      <c r="AC888" s="1554">
        <f t="shared" si="909"/>
        <v>0</v>
      </c>
      <c r="AD888" s="1554">
        <f t="shared" si="909"/>
        <v>0</v>
      </c>
      <c r="AE888" s="1554">
        <f t="shared" si="909"/>
        <v>0</v>
      </c>
      <c r="AF888" s="1554">
        <f t="shared" si="909"/>
        <v>0</v>
      </c>
      <c r="AG888" s="1554">
        <f t="shared" si="909"/>
        <v>0</v>
      </c>
      <c r="AH888" s="1554">
        <f t="shared" si="914"/>
        <v>0</v>
      </c>
      <c r="AI888" s="1556">
        <f t="shared" si="910"/>
        <v>0</v>
      </c>
      <c r="AJ888" s="1556">
        <f t="shared" si="911"/>
        <v>0</v>
      </c>
      <c r="AL888" s="561"/>
      <c r="AM888" s="1526"/>
      <c r="AN888" s="1526"/>
      <c r="AO888" s="1526"/>
      <c r="AP888" s="1526"/>
      <c r="AQ888" s="1526"/>
      <c r="AR888" s="1526"/>
      <c r="AS888" s="1526"/>
      <c r="AT888" s="1526"/>
      <c r="AU888" s="1526"/>
      <c r="AV888" s="1526"/>
      <c r="AW888" s="1526"/>
      <c r="AX888" s="1526"/>
      <c r="AY888" s="1526"/>
      <c r="AZ888" s="1526"/>
      <c r="BA888" s="1526"/>
      <c r="BB888" s="1526"/>
      <c r="BC888" s="1526"/>
      <c r="BD888" s="1526"/>
      <c r="BE888" s="1526"/>
      <c r="BF888" s="1526"/>
      <c r="BG888" s="1526"/>
      <c r="BH888" s="1526"/>
    </row>
    <row r="889" spans="1:60" s="1525" customFormat="1">
      <c r="A889" s="1375">
        <v>6</v>
      </c>
      <c r="B889" s="1534" t="s">
        <v>2534</v>
      </c>
      <c r="C889" s="1365"/>
      <c r="D889" s="1365"/>
      <c r="E889" s="1365"/>
      <c r="F889" s="1365"/>
      <c r="G889" s="1553">
        <f t="shared" si="918"/>
        <v>0</v>
      </c>
      <c r="H889" s="1365"/>
      <c r="I889" s="1553">
        <f t="shared" si="919"/>
        <v>0</v>
      </c>
      <c r="J889" s="1365"/>
      <c r="K889" s="1365"/>
      <c r="L889" s="1365"/>
      <c r="M889" s="1365"/>
      <c r="N889" s="1365"/>
      <c r="O889" s="1365"/>
      <c r="P889" s="1365"/>
      <c r="Q889" s="1365"/>
      <c r="R889" s="1365"/>
      <c r="S889" s="1365"/>
      <c r="T889" s="1555">
        <f t="shared" si="916"/>
        <v>0</v>
      </c>
      <c r="U889" s="1554">
        <f t="shared" si="907"/>
        <v>0</v>
      </c>
      <c r="V889" s="1554">
        <f t="shared" si="912"/>
        <v>0</v>
      </c>
      <c r="W889" s="1554">
        <f t="shared" si="908"/>
        <v>0</v>
      </c>
      <c r="X889" s="1554">
        <f t="shared" si="913"/>
        <v>0</v>
      </c>
      <c r="Y889" s="1554">
        <f t="shared" si="913"/>
        <v>0</v>
      </c>
      <c r="Z889" s="1554">
        <f t="shared" si="913"/>
        <v>0</v>
      </c>
      <c r="AA889" s="1554">
        <f t="shared" si="913"/>
        <v>0</v>
      </c>
      <c r="AB889" s="1554">
        <f t="shared" si="909"/>
        <v>0</v>
      </c>
      <c r="AC889" s="1554">
        <f t="shared" si="909"/>
        <v>0</v>
      </c>
      <c r="AD889" s="1554">
        <f t="shared" si="909"/>
        <v>0</v>
      </c>
      <c r="AE889" s="1554">
        <f t="shared" si="909"/>
        <v>0</v>
      </c>
      <c r="AF889" s="1554">
        <f t="shared" si="909"/>
        <v>0</v>
      </c>
      <c r="AG889" s="1554">
        <f t="shared" si="909"/>
        <v>0</v>
      </c>
      <c r="AH889" s="1554">
        <f t="shared" si="914"/>
        <v>0</v>
      </c>
      <c r="AI889" s="1556">
        <f t="shared" si="910"/>
        <v>0</v>
      </c>
      <c r="AJ889" s="1556">
        <f t="shared" si="911"/>
        <v>0</v>
      </c>
      <c r="AL889" s="561"/>
      <c r="AM889" s="1526"/>
      <c r="AN889" s="1526"/>
      <c r="AO889" s="1526"/>
      <c r="AP889" s="1526"/>
      <c r="AQ889" s="1526"/>
      <c r="AR889" s="1526"/>
      <c r="AS889" s="1526"/>
      <c r="AT889" s="1526"/>
      <c r="AU889" s="1526"/>
      <c r="AV889" s="1526"/>
      <c r="AW889" s="1526"/>
      <c r="AX889" s="1526"/>
      <c r="AY889" s="1526"/>
      <c r="AZ889" s="1526"/>
      <c r="BA889" s="1526"/>
      <c r="BB889" s="1526"/>
      <c r="BC889" s="1526"/>
      <c r="BD889" s="1526"/>
      <c r="BE889" s="1526"/>
      <c r="BF889" s="1526"/>
      <c r="BG889" s="1526"/>
      <c r="BH889" s="1526"/>
    </row>
    <row r="890" spans="1:60" s="1525" customFormat="1">
      <c r="A890" s="1375">
        <v>7</v>
      </c>
      <c r="B890" s="1534" t="s">
        <v>2535</v>
      </c>
      <c r="C890" s="1365"/>
      <c r="D890" s="1365"/>
      <c r="E890" s="1365"/>
      <c r="F890" s="1365"/>
      <c r="G890" s="1553">
        <f t="shared" si="918"/>
        <v>0</v>
      </c>
      <c r="H890" s="1365"/>
      <c r="I890" s="1553">
        <f t="shared" si="919"/>
        <v>0</v>
      </c>
      <c r="J890" s="1365"/>
      <c r="K890" s="1365"/>
      <c r="L890" s="1365"/>
      <c r="M890" s="1365"/>
      <c r="N890" s="1365"/>
      <c r="O890" s="1365"/>
      <c r="P890" s="1365"/>
      <c r="Q890" s="1365"/>
      <c r="R890" s="1365"/>
      <c r="S890" s="1365"/>
      <c r="T890" s="1555">
        <f t="shared" si="916"/>
        <v>0</v>
      </c>
      <c r="U890" s="1554">
        <f t="shared" si="907"/>
        <v>0</v>
      </c>
      <c r="V890" s="1554">
        <f t="shared" si="912"/>
        <v>0</v>
      </c>
      <c r="W890" s="1554">
        <f t="shared" si="908"/>
        <v>0</v>
      </c>
      <c r="X890" s="1554">
        <f t="shared" si="913"/>
        <v>0</v>
      </c>
      <c r="Y890" s="1554">
        <f t="shared" si="913"/>
        <v>0</v>
      </c>
      <c r="Z890" s="1554">
        <f t="shared" si="913"/>
        <v>0</v>
      </c>
      <c r="AA890" s="1554">
        <f t="shared" si="913"/>
        <v>0</v>
      </c>
      <c r="AB890" s="1554">
        <f t="shared" si="909"/>
        <v>0</v>
      </c>
      <c r="AC890" s="1554">
        <f t="shared" si="909"/>
        <v>0</v>
      </c>
      <c r="AD890" s="1554">
        <f t="shared" si="909"/>
        <v>0</v>
      </c>
      <c r="AE890" s="1554">
        <f t="shared" si="909"/>
        <v>0</v>
      </c>
      <c r="AF890" s="1554">
        <f t="shared" si="909"/>
        <v>0</v>
      </c>
      <c r="AG890" s="1554">
        <f t="shared" si="909"/>
        <v>0</v>
      </c>
      <c r="AH890" s="1554">
        <f t="shared" si="914"/>
        <v>0</v>
      </c>
      <c r="AI890" s="1556">
        <f t="shared" si="910"/>
        <v>0</v>
      </c>
      <c r="AJ890" s="1556">
        <f t="shared" si="911"/>
        <v>0</v>
      </c>
      <c r="AL890" s="561"/>
      <c r="AM890" s="1526"/>
      <c r="AN890" s="1526"/>
      <c r="AO890" s="1526"/>
      <c r="AP890" s="1526"/>
      <c r="AQ890" s="1526"/>
      <c r="AR890" s="1526"/>
      <c r="AS890" s="1526"/>
      <c r="AT890" s="1526"/>
      <c r="AU890" s="1526"/>
      <c r="AV890" s="1526"/>
      <c r="AW890" s="1526"/>
      <c r="AX890" s="1526"/>
      <c r="AY890" s="1526"/>
      <c r="AZ890" s="1526"/>
      <c r="BA890" s="1526"/>
      <c r="BB890" s="1526"/>
      <c r="BC890" s="1526"/>
      <c r="BD890" s="1526"/>
      <c r="BE890" s="1526"/>
      <c r="BF890" s="1526"/>
      <c r="BG890" s="1526"/>
      <c r="BH890" s="1526"/>
    </row>
    <row r="891" spans="1:60" s="1525" customFormat="1">
      <c r="A891" s="1375">
        <v>8</v>
      </c>
      <c r="B891" s="1536" t="s">
        <v>2536</v>
      </c>
      <c r="C891" s="1365"/>
      <c r="D891" s="1365"/>
      <c r="E891" s="1365"/>
      <c r="F891" s="1365"/>
      <c r="G891" s="1553">
        <f t="shared" si="918"/>
        <v>0</v>
      </c>
      <c r="H891" s="1365"/>
      <c r="I891" s="1553">
        <f t="shared" si="919"/>
        <v>0</v>
      </c>
      <c r="J891" s="1365"/>
      <c r="K891" s="1365"/>
      <c r="L891" s="1365"/>
      <c r="M891" s="1365"/>
      <c r="N891" s="1365"/>
      <c r="O891" s="1365"/>
      <c r="P891" s="1365"/>
      <c r="Q891" s="1365"/>
      <c r="R891" s="1365"/>
      <c r="S891" s="1365"/>
      <c r="T891" s="1555">
        <f t="shared" si="916"/>
        <v>0</v>
      </c>
      <c r="U891" s="1554">
        <f t="shared" si="907"/>
        <v>0</v>
      </c>
      <c r="V891" s="1554">
        <f t="shared" si="912"/>
        <v>0</v>
      </c>
      <c r="W891" s="1554">
        <f t="shared" si="908"/>
        <v>0</v>
      </c>
      <c r="X891" s="1554">
        <f t="shared" si="913"/>
        <v>0</v>
      </c>
      <c r="Y891" s="1554">
        <f t="shared" si="913"/>
        <v>0</v>
      </c>
      <c r="Z891" s="1554">
        <f t="shared" si="913"/>
        <v>0</v>
      </c>
      <c r="AA891" s="1554">
        <f t="shared" si="913"/>
        <v>0</v>
      </c>
      <c r="AB891" s="1554">
        <f t="shared" si="909"/>
        <v>0</v>
      </c>
      <c r="AC891" s="1554">
        <f t="shared" si="909"/>
        <v>0</v>
      </c>
      <c r="AD891" s="1554">
        <f t="shared" si="909"/>
        <v>0</v>
      </c>
      <c r="AE891" s="1554">
        <f t="shared" si="909"/>
        <v>0</v>
      </c>
      <c r="AF891" s="1554">
        <f t="shared" si="909"/>
        <v>0</v>
      </c>
      <c r="AG891" s="1554">
        <f t="shared" si="909"/>
        <v>0</v>
      </c>
      <c r="AH891" s="1554">
        <f t="shared" si="914"/>
        <v>0</v>
      </c>
      <c r="AI891" s="1556">
        <f t="shared" si="910"/>
        <v>0</v>
      </c>
      <c r="AJ891" s="1556">
        <f t="shared" si="911"/>
        <v>0</v>
      </c>
      <c r="AL891" s="561"/>
      <c r="AM891" s="1526"/>
      <c r="AN891" s="1526"/>
      <c r="AO891" s="1526"/>
      <c r="AP891" s="1526"/>
      <c r="AQ891" s="1526"/>
      <c r="AR891" s="1526"/>
      <c r="AS891" s="1526"/>
      <c r="AT891" s="1526"/>
      <c r="AU891" s="1526"/>
      <c r="AV891" s="1526"/>
      <c r="AW891" s="1526"/>
      <c r="AX891" s="1526"/>
      <c r="AY891" s="1526"/>
      <c r="AZ891" s="1526"/>
      <c r="BA891" s="1526"/>
      <c r="BB891" s="1526"/>
      <c r="BC891" s="1526"/>
      <c r="BD891" s="1526"/>
      <c r="BE891" s="1526"/>
      <c r="BF891" s="1526"/>
      <c r="BG891" s="1526"/>
      <c r="BH891" s="1526"/>
    </row>
    <row r="892" spans="1:60" s="1525" customFormat="1">
      <c r="A892" s="1375">
        <v>9</v>
      </c>
      <c r="B892" s="1536" t="s">
        <v>2537</v>
      </c>
      <c r="C892" s="1365"/>
      <c r="D892" s="1365"/>
      <c r="E892" s="1365"/>
      <c r="F892" s="1365"/>
      <c r="G892" s="1553">
        <f t="shared" si="918"/>
        <v>0</v>
      </c>
      <c r="H892" s="1365"/>
      <c r="I892" s="1553">
        <f t="shared" si="919"/>
        <v>0</v>
      </c>
      <c r="J892" s="1365"/>
      <c r="K892" s="1365"/>
      <c r="L892" s="1365"/>
      <c r="M892" s="1365"/>
      <c r="N892" s="1365"/>
      <c r="O892" s="1365"/>
      <c r="P892" s="1365"/>
      <c r="Q892" s="1365"/>
      <c r="R892" s="1365"/>
      <c r="S892" s="1365"/>
      <c r="T892" s="1555">
        <f t="shared" si="916"/>
        <v>0</v>
      </c>
      <c r="U892" s="1554">
        <f t="shared" si="907"/>
        <v>0</v>
      </c>
      <c r="V892" s="1554">
        <f t="shared" si="912"/>
        <v>0</v>
      </c>
      <c r="W892" s="1554">
        <f t="shared" si="908"/>
        <v>0</v>
      </c>
      <c r="X892" s="1554">
        <f t="shared" si="913"/>
        <v>0</v>
      </c>
      <c r="Y892" s="1554">
        <f t="shared" si="913"/>
        <v>0</v>
      </c>
      <c r="Z892" s="1554">
        <f t="shared" si="913"/>
        <v>0</v>
      </c>
      <c r="AA892" s="1554">
        <f t="shared" si="913"/>
        <v>0</v>
      </c>
      <c r="AB892" s="1554">
        <f t="shared" si="909"/>
        <v>0</v>
      </c>
      <c r="AC892" s="1554">
        <f t="shared" si="909"/>
        <v>0</v>
      </c>
      <c r="AD892" s="1554">
        <f t="shared" si="909"/>
        <v>0</v>
      </c>
      <c r="AE892" s="1554">
        <f t="shared" si="909"/>
        <v>0</v>
      </c>
      <c r="AF892" s="1554">
        <f t="shared" si="909"/>
        <v>0</v>
      </c>
      <c r="AG892" s="1554">
        <f t="shared" si="909"/>
        <v>0</v>
      </c>
      <c r="AH892" s="1554">
        <f t="shared" si="914"/>
        <v>0</v>
      </c>
      <c r="AI892" s="1556">
        <f t="shared" si="910"/>
        <v>0</v>
      </c>
      <c r="AJ892" s="1556">
        <f t="shared" si="911"/>
        <v>0</v>
      </c>
      <c r="AL892" s="561"/>
      <c r="AM892" s="1526"/>
      <c r="AN892" s="1526"/>
      <c r="AO892" s="1526"/>
      <c r="AP892" s="1526"/>
      <c r="AQ892" s="1526"/>
      <c r="AR892" s="1526"/>
      <c r="AS892" s="1526"/>
      <c r="AT892" s="1526"/>
      <c r="AU892" s="1526"/>
      <c r="AV892" s="1526"/>
      <c r="AW892" s="1526"/>
      <c r="AX892" s="1526"/>
      <c r="AY892" s="1526"/>
      <c r="AZ892" s="1526"/>
      <c r="BA892" s="1526"/>
      <c r="BB892" s="1526"/>
      <c r="BC892" s="1526"/>
      <c r="BD892" s="1526"/>
      <c r="BE892" s="1526"/>
      <c r="BF892" s="1526"/>
      <c r="BG892" s="1526"/>
      <c r="BH892" s="1526"/>
    </row>
    <row r="893" spans="1:60" s="1525" customFormat="1">
      <c r="A893" s="1375">
        <v>10</v>
      </c>
      <c r="B893" s="1534" t="s">
        <v>2492</v>
      </c>
      <c r="C893" s="1555">
        <f>SUM(C894:C896)</f>
        <v>0</v>
      </c>
      <c r="D893" s="1555"/>
      <c r="E893" s="1555"/>
      <c r="F893" s="1555">
        <f t="shared" ref="F893:R893" si="920">SUM(F894:F896)</f>
        <v>0</v>
      </c>
      <c r="G893" s="1555">
        <f t="shared" si="920"/>
        <v>0</v>
      </c>
      <c r="H893" s="1555">
        <f t="shared" si="920"/>
        <v>0</v>
      </c>
      <c r="I893" s="1555">
        <f t="shared" si="920"/>
        <v>0</v>
      </c>
      <c r="J893" s="1555">
        <f t="shared" si="920"/>
        <v>0</v>
      </c>
      <c r="K893" s="1555">
        <f t="shared" si="920"/>
        <v>0</v>
      </c>
      <c r="L893" s="1555">
        <f t="shared" si="920"/>
        <v>0</v>
      </c>
      <c r="M893" s="1555">
        <f t="shared" si="920"/>
        <v>0</v>
      </c>
      <c r="N893" s="1555">
        <f t="shared" si="920"/>
        <v>0</v>
      </c>
      <c r="O893" s="1555">
        <f t="shared" si="920"/>
        <v>0</v>
      </c>
      <c r="P893" s="1555">
        <f t="shared" si="920"/>
        <v>0</v>
      </c>
      <c r="Q893" s="1555">
        <f t="shared" si="920"/>
        <v>0</v>
      </c>
      <c r="R893" s="1555">
        <f t="shared" si="920"/>
        <v>0</v>
      </c>
      <c r="S893" s="1555">
        <f>SUM(S894:S896)</f>
        <v>0</v>
      </c>
      <c r="T893" s="1555">
        <f>SUM(T894:T896)</f>
        <v>0</v>
      </c>
      <c r="U893" s="1556">
        <f t="shared" ref="U893" si="921">SUM(U894:U896)</f>
        <v>0</v>
      </c>
      <c r="V893" s="1554">
        <f t="shared" si="912"/>
        <v>0</v>
      </c>
      <c r="W893" s="1554">
        <f t="shared" si="908"/>
        <v>0</v>
      </c>
      <c r="X893" s="1554">
        <f t="shared" si="913"/>
        <v>0</v>
      </c>
      <c r="Y893" s="1554">
        <f t="shared" si="913"/>
        <v>0</v>
      </c>
      <c r="Z893" s="1554">
        <f t="shared" si="913"/>
        <v>0</v>
      </c>
      <c r="AA893" s="1554">
        <f t="shared" si="913"/>
        <v>0</v>
      </c>
      <c r="AB893" s="1554">
        <f t="shared" si="909"/>
        <v>0</v>
      </c>
      <c r="AC893" s="1554">
        <f t="shared" si="909"/>
        <v>0</v>
      </c>
      <c r="AD893" s="1554">
        <f t="shared" si="909"/>
        <v>0</v>
      </c>
      <c r="AE893" s="1554">
        <f t="shared" si="909"/>
        <v>0</v>
      </c>
      <c r="AF893" s="1554">
        <f t="shared" si="909"/>
        <v>0</v>
      </c>
      <c r="AG893" s="1554">
        <f t="shared" si="909"/>
        <v>0</v>
      </c>
      <c r="AH893" s="1556">
        <f t="shared" ref="AH893:AJ893" si="922">SUM(AH894:AH896)</f>
        <v>0</v>
      </c>
      <c r="AI893" s="1556">
        <f t="shared" si="922"/>
        <v>0</v>
      </c>
      <c r="AJ893" s="1556">
        <f t="shared" si="922"/>
        <v>0</v>
      </c>
      <c r="AL893" s="561"/>
      <c r="AM893" s="1526"/>
      <c r="AN893" s="1526"/>
      <c r="AO893" s="1526"/>
      <c r="AP893" s="1526"/>
      <c r="AQ893" s="1526"/>
      <c r="AR893" s="1526"/>
      <c r="AS893" s="1526"/>
      <c r="AT893" s="1526"/>
      <c r="AU893" s="1526"/>
      <c r="AV893" s="1526"/>
      <c r="AW893" s="1526"/>
      <c r="AX893" s="1526"/>
      <c r="AY893" s="1526"/>
      <c r="AZ893" s="1526"/>
      <c r="BA893" s="1526"/>
      <c r="BB893" s="1526"/>
      <c r="BC893" s="1526"/>
      <c r="BD893" s="1526"/>
      <c r="BE893" s="1526"/>
      <c r="BF893" s="1526"/>
      <c r="BG893" s="1526"/>
      <c r="BH893" s="1526"/>
    </row>
    <row r="894" spans="1:60" s="1525" customFormat="1">
      <c r="A894" s="1499"/>
      <c r="B894" s="1535" t="s">
        <v>2538</v>
      </c>
      <c r="C894" s="1368"/>
      <c r="D894" s="1368"/>
      <c r="E894" s="1368"/>
      <c r="F894" s="1368"/>
      <c r="G894" s="1557">
        <f t="shared" ref="G894:G897" si="923">H894+I894+T894</f>
        <v>0</v>
      </c>
      <c r="H894" s="1368"/>
      <c r="I894" s="1557">
        <f t="shared" ref="I894:I896" si="924">SUM(J894:S894)</f>
        <v>0</v>
      </c>
      <c r="J894" s="1368"/>
      <c r="K894" s="1368"/>
      <c r="L894" s="1368"/>
      <c r="M894" s="1368"/>
      <c r="N894" s="1368"/>
      <c r="O894" s="1368"/>
      <c r="P894" s="1368"/>
      <c r="Q894" s="1368"/>
      <c r="R894" s="1368"/>
      <c r="S894" s="1368"/>
      <c r="T894" s="1558">
        <f>(H894+K894+L894+R894)*22.5%</f>
        <v>0</v>
      </c>
      <c r="U894" s="1559">
        <f t="shared" ref="U894:U897" si="925">V894+W894+AH894</f>
        <v>0</v>
      </c>
      <c r="V894" s="1554">
        <f t="shared" si="912"/>
        <v>0</v>
      </c>
      <c r="W894" s="1554">
        <f t="shared" si="908"/>
        <v>0</v>
      </c>
      <c r="X894" s="1554">
        <f t="shared" si="913"/>
        <v>0</v>
      </c>
      <c r="Y894" s="1554">
        <f t="shared" si="913"/>
        <v>0</v>
      </c>
      <c r="Z894" s="1554">
        <f t="shared" si="913"/>
        <v>0</v>
      </c>
      <c r="AA894" s="1554">
        <f t="shared" si="913"/>
        <v>0</v>
      </c>
      <c r="AB894" s="1554">
        <f t="shared" si="909"/>
        <v>0</v>
      </c>
      <c r="AC894" s="1554">
        <f t="shared" si="909"/>
        <v>0</v>
      </c>
      <c r="AD894" s="1554">
        <f t="shared" si="909"/>
        <v>0</v>
      </c>
      <c r="AE894" s="1554">
        <f t="shared" si="909"/>
        <v>0</v>
      </c>
      <c r="AF894" s="1554">
        <f t="shared" si="909"/>
        <v>0</v>
      </c>
      <c r="AG894" s="1554">
        <f t="shared" si="909"/>
        <v>0</v>
      </c>
      <c r="AH894" s="1560">
        <f>(V894+Y894+Z894+AF894)*22.5%</f>
        <v>0</v>
      </c>
      <c r="AI894" s="1561">
        <f t="shared" ref="AI894:AI896" si="926">U894-G894</f>
        <v>0</v>
      </c>
      <c r="AJ894" s="1561">
        <f t="shared" ref="AJ894:AJ896" si="927">AI894*6</f>
        <v>0</v>
      </c>
      <c r="AL894" s="561"/>
      <c r="AM894" s="1526"/>
      <c r="AN894" s="1526"/>
      <c r="AO894" s="1526"/>
      <c r="AP894" s="1526"/>
      <c r="AQ894" s="1526"/>
      <c r="AR894" s="1526"/>
      <c r="AS894" s="1526"/>
      <c r="AT894" s="1526"/>
      <c r="AU894" s="1526"/>
      <c r="AV894" s="1526"/>
      <c r="AW894" s="1526"/>
      <c r="AX894" s="1526"/>
      <c r="AY894" s="1526"/>
      <c r="AZ894" s="1526"/>
      <c r="BA894" s="1526"/>
      <c r="BB894" s="1526"/>
      <c r="BC894" s="1526"/>
      <c r="BD894" s="1526"/>
      <c r="BE894" s="1526"/>
      <c r="BF894" s="1526"/>
      <c r="BG894" s="1526"/>
      <c r="BH894" s="1526"/>
    </row>
    <row r="895" spans="1:60" s="1525" customFormat="1">
      <c r="A895" s="1499"/>
      <c r="B895" s="1535" t="s">
        <v>2539</v>
      </c>
      <c r="C895" s="1368"/>
      <c r="D895" s="1368"/>
      <c r="E895" s="1368"/>
      <c r="F895" s="1368"/>
      <c r="G895" s="1557">
        <f t="shared" si="923"/>
        <v>0</v>
      </c>
      <c r="H895" s="1368"/>
      <c r="I895" s="1557">
        <f t="shared" si="924"/>
        <v>0</v>
      </c>
      <c r="J895" s="1368"/>
      <c r="K895" s="1368"/>
      <c r="L895" s="1368"/>
      <c r="M895" s="1368"/>
      <c r="N895" s="1368"/>
      <c r="O895" s="1368"/>
      <c r="P895" s="1368"/>
      <c r="Q895" s="1368"/>
      <c r="R895" s="1368"/>
      <c r="S895" s="1368"/>
      <c r="T895" s="1558">
        <f>(H895+K895+L895+R895)*22.5%</f>
        <v>0</v>
      </c>
      <c r="U895" s="1559">
        <f t="shared" si="925"/>
        <v>0</v>
      </c>
      <c r="V895" s="1554">
        <f t="shared" si="912"/>
        <v>0</v>
      </c>
      <c r="W895" s="1554">
        <f t="shared" si="908"/>
        <v>0</v>
      </c>
      <c r="X895" s="1554">
        <f t="shared" si="913"/>
        <v>0</v>
      </c>
      <c r="Y895" s="1554">
        <f t="shared" si="913"/>
        <v>0</v>
      </c>
      <c r="Z895" s="1554">
        <f t="shared" si="913"/>
        <v>0</v>
      </c>
      <c r="AA895" s="1554">
        <f t="shared" si="913"/>
        <v>0</v>
      </c>
      <c r="AB895" s="1554">
        <f t="shared" si="909"/>
        <v>0</v>
      </c>
      <c r="AC895" s="1554">
        <f t="shared" si="909"/>
        <v>0</v>
      </c>
      <c r="AD895" s="1554">
        <f t="shared" si="909"/>
        <v>0</v>
      </c>
      <c r="AE895" s="1554">
        <f t="shared" si="909"/>
        <v>0</v>
      </c>
      <c r="AF895" s="1554">
        <f t="shared" si="909"/>
        <v>0</v>
      </c>
      <c r="AG895" s="1554">
        <f t="shared" si="909"/>
        <v>0</v>
      </c>
      <c r="AH895" s="1560">
        <f>(V895+Y895+Z895+AF895)*22.5%</f>
        <v>0</v>
      </c>
      <c r="AI895" s="1561">
        <f t="shared" si="926"/>
        <v>0</v>
      </c>
      <c r="AJ895" s="1561">
        <f t="shared" si="927"/>
        <v>0</v>
      </c>
      <c r="AL895" s="561"/>
      <c r="AM895" s="1526"/>
      <c r="AN895" s="1526"/>
      <c r="AO895" s="1526"/>
      <c r="AP895" s="1526"/>
      <c r="AQ895" s="1526"/>
      <c r="AR895" s="1526"/>
      <c r="AS895" s="1526"/>
      <c r="AT895" s="1526"/>
      <c r="AU895" s="1526"/>
      <c r="AV895" s="1526"/>
      <c r="AW895" s="1526"/>
      <c r="AX895" s="1526"/>
      <c r="AY895" s="1526"/>
      <c r="AZ895" s="1526"/>
      <c r="BA895" s="1526"/>
      <c r="BB895" s="1526"/>
      <c r="BC895" s="1526"/>
      <c r="BD895" s="1526"/>
      <c r="BE895" s="1526"/>
      <c r="BF895" s="1526"/>
      <c r="BG895" s="1526"/>
      <c r="BH895" s="1526"/>
    </row>
    <row r="896" spans="1:60" s="1525" customFormat="1">
      <c r="A896" s="1499"/>
      <c r="B896" s="1535" t="s">
        <v>2540</v>
      </c>
      <c r="C896" s="1368"/>
      <c r="D896" s="1368"/>
      <c r="E896" s="1368"/>
      <c r="F896" s="1368"/>
      <c r="G896" s="1557">
        <f t="shared" si="923"/>
        <v>0</v>
      </c>
      <c r="H896" s="1368"/>
      <c r="I896" s="1557">
        <f t="shared" si="924"/>
        <v>0</v>
      </c>
      <c r="J896" s="1368"/>
      <c r="K896" s="1368"/>
      <c r="L896" s="1368"/>
      <c r="M896" s="1368"/>
      <c r="N896" s="1368"/>
      <c r="O896" s="1368"/>
      <c r="P896" s="1368"/>
      <c r="Q896" s="1368"/>
      <c r="R896" s="1368"/>
      <c r="S896" s="1368"/>
      <c r="T896" s="1558">
        <f>(H896+K896+L896+R896)*22.5%</f>
        <v>0</v>
      </c>
      <c r="U896" s="1559">
        <f t="shared" si="925"/>
        <v>0</v>
      </c>
      <c r="V896" s="1554">
        <f t="shared" si="912"/>
        <v>0</v>
      </c>
      <c r="W896" s="1554">
        <f t="shared" si="908"/>
        <v>0</v>
      </c>
      <c r="X896" s="1554">
        <f t="shared" si="913"/>
        <v>0</v>
      </c>
      <c r="Y896" s="1554">
        <f t="shared" si="913"/>
        <v>0</v>
      </c>
      <c r="Z896" s="1554">
        <f t="shared" si="913"/>
        <v>0</v>
      </c>
      <c r="AA896" s="1554">
        <f t="shared" si="913"/>
        <v>0</v>
      </c>
      <c r="AB896" s="1554">
        <f t="shared" si="909"/>
        <v>0</v>
      </c>
      <c r="AC896" s="1554">
        <f t="shared" si="909"/>
        <v>0</v>
      </c>
      <c r="AD896" s="1554">
        <f t="shared" si="909"/>
        <v>0</v>
      </c>
      <c r="AE896" s="1554">
        <f t="shared" si="909"/>
        <v>0</v>
      </c>
      <c r="AF896" s="1554">
        <f t="shared" si="909"/>
        <v>0</v>
      </c>
      <c r="AG896" s="1554">
        <f t="shared" si="909"/>
        <v>0</v>
      </c>
      <c r="AH896" s="1560">
        <f>(V896+Y896+Z896+AF896)*22.5%</f>
        <v>0</v>
      </c>
      <c r="AI896" s="1561">
        <f t="shared" si="926"/>
        <v>0</v>
      </c>
      <c r="AJ896" s="1561">
        <f t="shared" si="927"/>
        <v>0</v>
      </c>
      <c r="AL896" s="561"/>
      <c r="AM896" s="1526"/>
      <c r="AN896" s="1526"/>
      <c r="AO896" s="1526"/>
      <c r="AP896" s="1526"/>
      <c r="AQ896" s="1526"/>
      <c r="AR896" s="1526"/>
      <c r="AS896" s="1526"/>
      <c r="AT896" s="1526"/>
      <c r="AU896" s="1526"/>
      <c r="AV896" s="1526"/>
      <c r="AW896" s="1526"/>
      <c r="AX896" s="1526"/>
      <c r="AY896" s="1526"/>
      <c r="AZ896" s="1526"/>
      <c r="BA896" s="1526"/>
      <c r="BB896" s="1526"/>
      <c r="BC896" s="1526"/>
      <c r="BD896" s="1526"/>
      <c r="BE896" s="1526"/>
      <c r="BF896" s="1526"/>
      <c r="BG896" s="1526"/>
      <c r="BH896" s="1526"/>
    </row>
    <row r="897" spans="1:60" s="1525" customFormat="1" ht="31.5">
      <c r="A897" s="1516" t="s">
        <v>65</v>
      </c>
      <c r="B897" s="1538" t="s">
        <v>2541</v>
      </c>
      <c r="C897" s="1370"/>
      <c r="D897" s="1370"/>
      <c r="E897" s="1370"/>
      <c r="F897" s="1370"/>
      <c r="G897" s="1438">
        <f t="shared" si="923"/>
        <v>0</v>
      </c>
      <c r="H897" s="1370"/>
      <c r="I897" s="1438">
        <f t="shared" ref="I897" si="928">SUM(J897:S897)</f>
        <v>0</v>
      </c>
      <c r="J897" s="1370"/>
      <c r="K897" s="1370"/>
      <c r="L897" s="1370"/>
      <c r="M897" s="1370"/>
      <c r="N897" s="1370"/>
      <c r="O897" s="1370"/>
      <c r="P897" s="1370"/>
      <c r="Q897" s="1370"/>
      <c r="R897" s="1370"/>
      <c r="S897" s="1370"/>
      <c r="T897" s="1558">
        <f>(H897+K897+L897+R897)*22.5%</f>
        <v>0</v>
      </c>
      <c r="U897" s="1562">
        <f t="shared" si="925"/>
        <v>0</v>
      </c>
      <c r="V897" s="1554">
        <f>(H897/1.39)*1.49</f>
        <v>0</v>
      </c>
      <c r="W897" s="1562">
        <f t="shared" si="908"/>
        <v>0</v>
      </c>
      <c r="X897" s="1554">
        <f>(J897/1.39)*1.49</f>
        <v>0</v>
      </c>
      <c r="Y897" s="1554">
        <f t="shared" ref="Y897:AA897" si="929">(K897/1.39)*1.49</f>
        <v>0</v>
      </c>
      <c r="Z897" s="1554">
        <f t="shared" si="929"/>
        <v>0</v>
      </c>
      <c r="AA897" s="1554">
        <f t="shared" si="929"/>
        <v>0</v>
      </c>
      <c r="AB897" s="1554">
        <f t="shared" si="909"/>
        <v>0</v>
      </c>
      <c r="AC897" s="1554">
        <f t="shared" si="909"/>
        <v>0</v>
      </c>
      <c r="AD897" s="1554">
        <f t="shared" si="909"/>
        <v>0</v>
      </c>
      <c r="AE897" s="1554">
        <f t="shared" si="909"/>
        <v>0</v>
      </c>
      <c r="AF897" s="1554">
        <f t="shared" si="909"/>
        <v>0</v>
      </c>
      <c r="AG897" s="1554">
        <f t="shared" si="909"/>
        <v>0</v>
      </c>
      <c r="AH897" s="1560">
        <f>(V897+Y897+Z897+AF897)*22.5%</f>
        <v>0</v>
      </c>
      <c r="AI897" s="1563">
        <f>U897-G897</f>
        <v>0</v>
      </c>
      <c r="AJ897" s="1563">
        <f>AI897*6</f>
        <v>0</v>
      </c>
      <c r="AL897" s="561"/>
      <c r="AM897" s="1526"/>
      <c r="AN897" s="1526"/>
      <c r="AO897" s="1526"/>
      <c r="AP897" s="1526"/>
      <c r="AQ897" s="1526"/>
      <c r="AR897" s="1526"/>
      <c r="AS897" s="1526"/>
      <c r="AT897" s="1526"/>
      <c r="AU897" s="1526"/>
      <c r="AV897" s="1526"/>
      <c r="AW897" s="1526"/>
      <c r="AX897" s="1526"/>
      <c r="AY897" s="1526"/>
      <c r="AZ897" s="1526"/>
      <c r="BA897" s="1526"/>
      <c r="BB897" s="1526"/>
      <c r="BC897" s="1526"/>
      <c r="BD897" s="1526"/>
      <c r="BE897" s="1526"/>
      <c r="BF897" s="1526"/>
      <c r="BG897" s="1526"/>
      <c r="BH897" s="1526"/>
    </row>
    <row r="898" spans="1:60" s="1525" customFormat="1" ht="31.5">
      <c r="A898" s="1516" t="s">
        <v>14</v>
      </c>
      <c r="B898" s="1538" t="s">
        <v>2542</v>
      </c>
      <c r="C898" s="1564">
        <f>SUM(C899:C901)</f>
        <v>0</v>
      </c>
      <c r="D898" s="1564"/>
      <c r="E898" s="1564"/>
      <c r="F898" s="1564">
        <f t="shared" ref="F898:R898" si="930">SUM(F899:F901)</f>
        <v>0</v>
      </c>
      <c r="G898" s="1564">
        <f t="shared" si="930"/>
        <v>0</v>
      </c>
      <c r="H898" s="1564">
        <f t="shared" si="930"/>
        <v>0</v>
      </c>
      <c r="I898" s="1564">
        <f t="shared" si="930"/>
        <v>0</v>
      </c>
      <c r="J898" s="1564">
        <f t="shared" si="930"/>
        <v>0</v>
      </c>
      <c r="K898" s="1564">
        <f t="shared" si="930"/>
        <v>0</v>
      </c>
      <c r="L898" s="1564">
        <f t="shared" si="930"/>
        <v>0</v>
      </c>
      <c r="M898" s="1564">
        <f t="shared" si="930"/>
        <v>0</v>
      </c>
      <c r="N898" s="1564">
        <f t="shared" si="930"/>
        <v>0</v>
      </c>
      <c r="O898" s="1564">
        <f t="shared" si="930"/>
        <v>0</v>
      </c>
      <c r="P898" s="1564">
        <f t="shared" si="930"/>
        <v>0</v>
      </c>
      <c r="Q898" s="1564">
        <f t="shared" si="930"/>
        <v>0</v>
      </c>
      <c r="R898" s="1564">
        <f t="shared" si="930"/>
        <v>0</v>
      </c>
      <c r="S898" s="1564">
        <f>SUM(S899:S901)</f>
        <v>0</v>
      </c>
      <c r="T898" s="1564">
        <f t="shared" ref="T898:AJ898" si="931">SUM(T899:T901)</f>
        <v>0</v>
      </c>
      <c r="U898" s="1563">
        <f t="shared" si="931"/>
        <v>0</v>
      </c>
      <c r="V898" s="1563">
        <f t="shared" si="931"/>
        <v>0</v>
      </c>
      <c r="W898" s="1563">
        <f t="shared" si="931"/>
        <v>0</v>
      </c>
      <c r="X898" s="1563">
        <f t="shared" si="931"/>
        <v>0</v>
      </c>
      <c r="Y898" s="1563">
        <f t="shared" si="931"/>
        <v>0</v>
      </c>
      <c r="Z898" s="1563">
        <f t="shared" si="931"/>
        <v>0</v>
      </c>
      <c r="AA898" s="1563">
        <f t="shared" si="931"/>
        <v>0</v>
      </c>
      <c r="AB898" s="1563">
        <f t="shared" si="931"/>
        <v>0</v>
      </c>
      <c r="AC898" s="1563">
        <f t="shared" si="931"/>
        <v>0</v>
      </c>
      <c r="AD898" s="1563">
        <f t="shared" si="931"/>
        <v>0</v>
      </c>
      <c r="AE898" s="1563">
        <f t="shared" si="931"/>
        <v>0</v>
      </c>
      <c r="AF898" s="1563">
        <f t="shared" si="931"/>
        <v>0</v>
      </c>
      <c r="AG898" s="1563">
        <f t="shared" si="931"/>
        <v>0</v>
      </c>
      <c r="AH898" s="1563">
        <f t="shared" si="931"/>
        <v>0</v>
      </c>
      <c r="AI898" s="1563">
        <f t="shared" si="931"/>
        <v>0</v>
      </c>
      <c r="AJ898" s="1563">
        <f t="shared" si="931"/>
        <v>0</v>
      </c>
      <c r="AL898" s="561"/>
      <c r="AM898" s="1526"/>
      <c r="AN898" s="1526"/>
      <c r="AO898" s="1526"/>
      <c r="AP898" s="1526"/>
      <c r="AQ898" s="1526"/>
      <c r="AR898" s="1526"/>
      <c r="AS898" s="1526"/>
      <c r="AT898" s="1526"/>
      <c r="AU898" s="1526"/>
      <c r="AV898" s="1526"/>
      <c r="AW898" s="1526"/>
      <c r="AX898" s="1526"/>
      <c r="AY898" s="1526"/>
      <c r="AZ898" s="1526"/>
      <c r="BA898" s="1526"/>
      <c r="BB898" s="1526"/>
      <c r="BC898" s="1526"/>
      <c r="BD898" s="1526"/>
      <c r="BE898" s="1526"/>
      <c r="BF898" s="1526"/>
      <c r="BG898" s="1526"/>
      <c r="BH898" s="1526"/>
    </row>
    <row r="899" spans="1:60" s="1525" customFormat="1">
      <c r="A899" s="1499"/>
      <c r="B899" s="1535" t="s">
        <v>2543</v>
      </c>
      <c r="C899" s="1368"/>
      <c r="D899" s="1368"/>
      <c r="E899" s="1368"/>
      <c r="F899" s="1368"/>
      <c r="G899" s="1557">
        <f t="shared" ref="G899:G901" si="932">H899+I899+T899</f>
        <v>0</v>
      </c>
      <c r="H899" s="577"/>
      <c r="I899" s="1557">
        <f t="shared" ref="I899:I901" si="933">SUM(J899:S899)</f>
        <v>0</v>
      </c>
      <c r="J899" s="577"/>
      <c r="K899" s="577"/>
      <c r="L899" s="577"/>
      <c r="M899" s="577"/>
      <c r="N899" s="577"/>
      <c r="O899" s="577"/>
      <c r="P899" s="577"/>
      <c r="Q899" s="577"/>
      <c r="R899" s="577"/>
      <c r="S899" s="578">
        <f>F899*0.5*1.39</f>
        <v>0</v>
      </c>
      <c r="T899" s="1565"/>
      <c r="U899" s="1559">
        <f t="shared" ref="U899:U901" si="934">V899+W899+AH899</f>
        <v>0</v>
      </c>
      <c r="V899" s="1566"/>
      <c r="W899" s="1559">
        <f t="shared" ref="W899:W901" si="935">SUM(X899:AG899)</f>
        <v>0</v>
      </c>
      <c r="X899" s="1566"/>
      <c r="Y899" s="1566"/>
      <c r="Z899" s="1566"/>
      <c r="AA899" s="1566"/>
      <c r="AB899" s="1566"/>
      <c r="AC899" s="1566"/>
      <c r="AD899" s="1566"/>
      <c r="AE899" s="1566"/>
      <c r="AF899" s="1566"/>
      <c r="AG899" s="1554">
        <f t="shared" ref="AG899:AG901" si="936">(S899/1.39)*1.49</f>
        <v>0</v>
      </c>
      <c r="AH899" s="1566"/>
      <c r="AI899" s="1561">
        <f t="shared" ref="AI899:AI901" si="937">U899-G899</f>
        <v>0</v>
      </c>
      <c r="AJ899" s="1561">
        <f t="shared" ref="AJ899:AJ901" si="938">AI899*6</f>
        <v>0</v>
      </c>
      <c r="AL899" s="561"/>
      <c r="AM899" s="1526"/>
      <c r="AN899" s="1526"/>
      <c r="AO899" s="1526"/>
      <c r="AP899" s="1526"/>
      <c r="AQ899" s="1526"/>
      <c r="AR899" s="1526"/>
      <c r="AS899" s="1526"/>
      <c r="AT899" s="1526"/>
      <c r="AU899" s="1526"/>
      <c r="AV899" s="1526"/>
      <c r="AW899" s="1526"/>
      <c r="AX899" s="1526"/>
      <c r="AY899" s="1526"/>
      <c r="AZ899" s="1526"/>
      <c r="BA899" s="1526"/>
      <c r="BB899" s="1526"/>
      <c r="BC899" s="1526"/>
      <c r="BD899" s="1526"/>
      <c r="BE899" s="1526"/>
      <c r="BF899" s="1526"/>
      <c r="BG899" s="1526"/>
      <c r="BH899" s="1526"/>
    </row>
    <row r="900" spans="1:60" s="1525" customFormat="1">
      <c r="A900" s="1499"/>
      <c r="B900" s="1535" t="s">
        <v>2544</v>
      </c>
      <c r="C900" s="1368"/>
      <c r="D900" s="1368"/>
      <c r="E900" s="1368"/>
      <c r="F900" s="1368"/>
      <c r="G900" s="1557">
        <f t="shared" si="932"/>
        <v>0</v>
      </c>
      <c r="H900" s="577"/>
      <c r="I900" s="1557">
        <f t="shared" si="933"/>
        <v>0</v>
      </c>
      <c r="J900" s="577"/>
      <c r="K900" s="577"/>
      <c r="L900" s="577"/>
      <c r="M900" s="577"/>
      <c r="N900" s="577"/>
      <c r="O900" s="577"/>
      <c r="P900" s="577"/>
      <c r="Q900" s="577"/>
      <c r="R900" s="577"/>
      <c r="S900" s="1368">
        <f>F900*0.4*1.39</f>
        <v>0</v>
      </c>
      <c r="T900" s="1565"/>
      <c r="U900" s="1559">
        <f t="shared" si="934"/>
        <v>0</v>
      </c>
      <c r="V900" s="1566"/>
      <c r="W900" s="1559">
        <f t="shared" si="935"/>
        <v>0</v>
      </c>
      <c r="X900" s="1566"/>
      <c r="Y900" s="1566"/>
      <c r="Z900" s="1566"/>
      <c r="AA900" s="1566"/>
      <c r="AB900" s="1566"/>
      <c r="AC900" s="1566"/>
      <c r="AD900" s="1566"/>
      <c r="AE900" s="1566"/>
      <c r="AF900" s="1566"/>
      <c r="AG900" s="1554">
        <f t="shared" si="936"/>
        <v>0</v>
      </c>
      <c r="AH900" s="1566"/>
      <c r="AI900" s="1561">
        <f t="shared" si="937"/>
        <v>0</v>
      </c>
      <c r="AJ900" s="1561">
        <f t="shared" si="938"/>
        <v>0</v>
      </c>
      <c r="AL900" s="561"/>
      <c r="AM900" s="1526"/>
      <c r="AN900" s="1526"/>
      <c r="AO900" s="1526"/>
      <c r="AP900" s="1526"/>
      <c r="AQ900" s="1526"/>
      <c r="AR900" s="1526"/>
      <c r="AS900" s="1526"/>
      <c r="AT900" s="1526"/>
      <c r="AU900" s="1526"/>
      <c r="AV900" s="1526"/>
      <c r="AW900" s="1526"/>
      <c r="AX900" s="1526"/>
      <c r="AY900" s="1526"/>
      <c r="AZ900" s="1526"/>
      <c r="BA900" s="1526"/>
      <c r="BB900" s="1526"/>
      <c r="BC900" s="1526"/>
      <c r="BD900" s="1526"/>
      <c r="BE900" s="1526"/>
      <c r="BF900" s="1526"/>
      <c r="BG900" s="1526"/>
      <c r="BH900" s="1526"/>
    </row>
    <row r="901" spans="1:60" s="1525" customFormat="1">
      <c r="A901" s="1499"/>
      <c r="B901" s="1535" t="s">
        <v>2545</v>
      </c>
      <c r="C901" s="1368"/>
      <c r="D901" s="1368"/>
      <c r="E901" s="1368"/>
      <c r="F901" s="1368"/>
      <c r="G901" s="1557">
        <f t="shared" si="932"/>
        <v>0</v>
      </c>
      <c r="H901" s="577"/>
      <c r="I901" s="1557">
        <f t="shared" si="933"/>
        <v>0</v>
      </c>
      <c r="J901" s="577"/>
      <c r="K901" s="577"/>
      <c r="L901" s="577"/>
      <c r="M901" s="577"/>
      <c r="N901" s="577"/>
      <c r="O901" s="577"/>
      <c r="P901" s="577"/>
      <c r="Q901" s="577"/>
      <c r="R901" s="577"/>
      <c r="S901" s="1368">
        <f>F901*0.3*1.39</f>
        <v>0</v>
      </c>
      <c r="T901" s="1565"/>
      <c r="U901" s="1559">
        <f t="shared" si="934"/>
        <v>0</v>
      </c>
      <c r="V901" s="1566"/>
      <c r="W901" s="1559">
        <f t="shared" si="935"/>
        <v>0</v>
      </c>
      <c r="X901" s="1566"/>
      <c r="Y901" s="1566"/>
      <c r="Z901" s="1566"/>
      <c r="AA901" s="1566"/>
      <c r="AB901" s="1566"/>
      <c r="AC901" s="1566"/>
      <c r="AD901" s="1566"/>
      <c r="AE901" s="1566"/>
      <c r="AF901" s="1566"/>
      <c r="AG901" s="1554">
        <f t="shared" si="936"/>
        <v>0</v>
      </c>
      <c r="AH901" s="1566"/>
      <c r="AI901" s="1561">
        <f t="shared" si="937"/>
        <v>0</v>
      </c>
      <c r="AJ901" s="1561">
        <f t="shared" si="938"/>
        <v>0</v>
      </c>
      <c r="AL901" s="561"/>
      <c r="AM901" s="1526"/>
      <c r="AN901" s="1526"/>
      <c r="AO901" s="1526"/>
      <c r="AP901" s="1526"/>
      <c r="AQ901" s="1526"/>
      <c r="AR901" s="1526"/>
      <c r="AS901" s="1526"/>
      <c r="AT901" s="1526"/>
      <c r="AU901" s="1526"/>
      <c r="AV901" s="1526"/>
      <c r="AW901" s="1526"/>
      <c r="AX901" s="1526"/>
      <c r="AY901" s="1526"/>
      <c r="AZ901" s="1526"/>
      <c r="BA901" s="1526"/>
      <c r="BB901" s="1526"/>
      <c r="BC901" s="1526"/>
      <c r="BD901" s="1526"/>
      <c r="BE901" s="1526"/>
      <c r="BF901" s="1526"/>
      <c r="BG901" s="1526"/>
      <c r="BH901" s="1526"/>
    </row>
    <row r="902" spans="1:60" s="1525" customFormat="1">
      <c r="A902" s="1516" t="s">
        <v>18</v>
      </c>
      <c r="B902" s="1538" t="s">
        <v>2546</v>
      </c>
      <c r="C902" s="1564">
        <f>SUM(C903:C905)</f>
        <v>0</v>
      </c>
      <c r="D902" s="1564"/>
      <c r="E902" s="1564"/>
      <c r="F902" s="1564">
        <f t="shared" ref="F902:AJ902" si="939">SUM(F903:F905)</f>
        <v>0</v>
      </c>
      <c r="G902" s="1564">
        <f t="shared" si="939"/>
        <v>0</v>
      </c>
      <c r="H902" s="1564">
        <f t="shared" si="939"/>
        <v>0</v>
      </c>
      <c r="I902" s="1564">
        <f t="shared" si="939"/>
        <v>0</v>
      </c>
      <c r="J902" s="1564">
        <f t="shared" si="939"/>
        <v>0</v>
      </c>
      <c r="K902" s="1564">
        <f t="shared" si="939"/>
        <v>0</v>
      </c>
      <c r="L902" s="1564">
        <f t="shared" si="939"/>
        <v>0</v>
      </c>
      <c r="M902" s="1564">
        <f t="shared" si="939"/>
        <v>0</v>
      </c>
      <c r="N902" s="1564">
        <f t="shared" si="939"/>
        <v>0</v>
      </c>
      <c r="O902" s="1564">
        <f t="shared" si="939"/>
        <v>0</v>
      </c>
      <c r="P902" s="1564">
        <f t="shared" si="939"/>
        <v>0</v>
      </c>
      <c r="Q902" s="1564">
        <f t="shared" si="939"/>
        <v>0</v>
      </c>
      <c r="R902" s="1564">
        <f t="shared" si="939"/>
        <v>0</v>
      </c>
      <c r="S902" s="1564">
        <f t="shared" si="939"/>
        <v>0</v>
      </c>
      <c r="T902" s="1564">
        <f t="shared" si="939"/>
        <v>0</v>
      </c>
      <c r="U902" s="1563">
        <f t="shared" si="939"/>
        <v>0</v>
      </c>
      <c r="V902" s="1563">
        <f t="shared" si="939"/>
        <v>0</v>
      </c>
      <c r="W902" s="1563">
        <f t="shared" si="939"/>
        <v>0</v>
      </c>
      <c r="X902" s="1563">
        <f t="shared" si="939"/>
        <v>0</v>
      </c>
      <c r="Y902" s="1563">
        <f t="shared" si="939"/>
        <v>0</v>
      </c>
      <c r="Z902" s="1563">
        <f t="shared" si="939"/>
        <v>0</v>
      </c>
      <c r="AA902" s="1563">
        <f t="shared" si="939"/>
        <v>0</v>
      </c>
      <c r="AB902" s="1563">
        <f t="shared" si="939"/>
        <v>0</v>
      </c>
      <c r="AC902" s="1563">
        <f t="shared" si="939"/>
        <v>0</v>
      </c>
      <c r="AD902" s="1563">
        <f t="shared" si="939"/>
        <v>0</v>
      </c>
      <c r="AE902" s="1563">
        <f t="shared" si="939"/>
        <v>0</v>
      </c>
      <c r="AF902" s="1563">
        <f t="shared" si="939"/>
        <v>0</v>
      </c>
      <c r="AG902" s="1563">
        <f t="shared" si="939"/>
        <v>0</v>
      </c>
      <c r="AH902" s="1563">
        <f t="shared" si="939"/>
        <v>0</v>
      </c>
      <c r="AI902" s="1563">
        <f t="shared" si="939"/>
        <v>0</v>
      </c>
      <c r="AJ902" s="1563">
        <f t="shared" si="939"/>
        <v>0</v>
      </c>
      <c r="AL902" s="561"/>
      <c r="AM902" s="1526"/>
      <c r="AN902" s="1526"/>
      <c r="AO902" s="1526"/>
      <c r="AP902" s="1526"/>
      <c r="AQ902" s="1526"/>
      <c r="AR902" s="1526"/>
      <c r="AS902" s="1526"/>
      <c r="AT902" s="1526"/>
      <c r="AU902" s="1526"/>
      <c r="AV902" s="1526"/>
      <c r="AW902" s="1526"/>
      <c r="AX902" s="1526"/>
      <c r="AY902" s="1526"/>
      <c r="AZ902" s="1526"/>
      <c r="BA902" s="1526"/>
      <c r="BB902" s="1526"/>
      <c r="BC902" s="1526"/>
      <c r="BD902" s="1526"/>
      <c r="BE902" s="1526"/>
      <c r="BF902" s="1526"/>
      <c r="BG902" s="1526"/>
      <c r="BH902" s="1526"/>
    </row>
    <row r="903" spans="1:60" s="1525" customFormat="1">
      <c r="A903" s="1499"/>
      <c r="B903" s="1535" t="s">
        <v>2547</v>
      </c>
      <c r="C903" s="1368"/>
      <c r="D903" s="1368"/>
      <c r="E903" s="1368"/>
      <c r="F903" s="1368"/>
      <c r="G903" s="1557">
        <f t="shared" ref="G903:G905" si="940">H903+I903+T903</f>
        <v>0</v>
      </c>
      <c r="H903" s="577"/>
      <c r="I903" s="1557">
        <f t="shared" ref="I903:I905" si="941">SUM(J903:S903)</f>
        <v>0</v>
      </c>
      <c r="J903" s="577"/>
      <c r="K903" s="577"/>
      <c r="L903" s="577"/>
      <c r="M903" s="577"/>
      <c r="N903" s="577"/>
      <c r="O903" s="577"/>
      <c r="P903" s="577"/>
      <c r="Q903" s="577"/>
      <c r="R903" s="577"/>
      <c r="S903" s="1368">
        <f>F903*0.5*1.39</f>
        <v>0</v>
      </c>
      <c r="T903" s="1565"/>
      <c r="U903" s="1559">
        <f t="shared" ref="U903:U905" si="942">V903+W903+AH903</f>
        <v>0</v>
      </c>
      <c r="V903" s="1566"/>
      <c r="W903" s="1559">
        <f t="shared" ref="W903:W905" si="943">SUM(X903:AG903)</f>
        <v>0</v>
      </c>
      <c r="X903" s="1566"/>
      <c r="Y903" s="1566"/>
      <c r="Z903" s="1566"/>
      <c r="AA903" s="1566"/>
      <c r="AB903" s="1566"/>
      <c r="AC903" s="1566"/>
      <c r="AD903" s="1566"/>
      <c r="AE903" s="1566"/>
      <c r="AF903" s="1566"/>
      <c r="AG903" s="1554">
        <f t="shared" ref="AG903:AG905" si="944">(S903/1.39)*1.49</f>
        <v>0</v>
      </c>
      <c r="AH903" s="1566"/>
      <c r="AI903" s="1561">
        <f t="shared" ref="AI903:AI905" si="945">U903-G903</f>
        <v>0</v>
      </c>
      <c r="AJ903" s="1561">
        <f t="shared" ref="AJ903:AJ905" si="946">AI903*6</f>
        <v>0</v>
      </c>
      <c r="AL903" s="561"/>
      <c r="AM903" s="1526"/>
      <c r="AN903" s="1526"/>
      <c r="AO903" s="1526"/>
      <c r="AP903" s="1526"/>
      <c r="AQ903" s="1526"/>
      <c r="AR903" s="1526"/>
      <c r="AS903" s="1526"/>
      <c r="AT903" s="1526"/>
      <c r="AU903" s="1526"/>
      <c r="AV903" s="1526"/>
      <c r="AW903" s="1526"/>
      <c r="AX903" s="1526"/>
      <c r="AY903" s="1526"/>
      <c r="AZ903" s="1526"/>
      <c r="BA903" s="1526"/>
      <c r="BB903" s="1526"/>
      <c r="BC903" s="1526"/>
      <c r="BD903" s="1526"/>
      <c r="BE903" s="1526"/>
      <c r="BF903" s="1526"/>
      <c r="BG903" s="1526"/>
      <c r="BH903" s="1526"/>
    </row>
    <row r="904" spans="1:60" s="1525" customFormat="1">
      <c r="A904" s="1499"/>
      <c r="B904" s="1535" t="s">
        <v>2548</v>
      </c>
      <c r="C904" s="1368"/>
      <c r="D904" s="1368"/>
      <c r="E904" s="1368"/>
      <c r="F904" s="1368"/>
      <c r="G904" s="1557">
        <f t="shared" si="940"/>
        <v>0</v>
      </c>
      <c r="H904" s="577"/>
      <c r="I904" s="1557">
        <f t="shared" si="941"/>
        <v>0</v>
      </c>
      <c r="J904" s="577"/>
      <c r="K904" s="577"/>
      <c r="L904" s="577"/>
      <c r="M904" s="577"/>
      <c r="N904" s="577"/>
      <c r="O904" s="577"/>
      <c r="P904" s="577"/>
      <c r="Q904" s="577"/>
      <c r="R904" s="577"/>
      <c r="S904" s="1368">
        <f>F904*0.4*1.39</f>
        <v>0</v>
      </c>
      <c r="T904" s="1565"/>
      <c r="U904" s="1559">
        <f t="shared" si="942"/>
        <v>0</v>
      </c>
      <c r="V904" s="1566"/>
      <c r="W904" s="1559">
        <f t="shared" si="943"/>
        <v>0</v>
      </c>
      <c r="X904" s="1566"/>
      <c r="Y904" s="1566"/>
      <c r="Z904" s="1566"/>
      <c r="AA904" s="1566"/>
      <c r="AB904" s="1566"/>
      <c r="AC904" s="1566"/>
      <c r="AD904" s="1566"/>
      <c r="AE904" s="1566"/>
      <c r="AF904" s="1566"/>
      <c r="AG904" s="1554">
        <f t="shared" si="944"/>
        <v>0</v>
      </c>
      <c r="AH904" s="1566"/>
      <c r="AI904" s="1561">
        <f t="shared" si="945"/>
        <v>0</v>
      </c>
      <c r="AJ904" s="1561">
        <f t="shared" si="946"/>
        <v>0</v>
      </c>
      <c r="AL904" s="561"/>
      <c r="AM904" s="1526"/>
      <c r="AN904" s="1526"/>
      <c r="AO904" s="1526"/>
      <c r="AP904" s="1526"/>
      <c r="AQ904" s="1526"/>
      <c r="AR904" s="1526"/>
      <c r="AS904" s="1526"/>
      <c r="AT904" s="1526"/>
      <c r="AU904" s="1526"/>
      <c r="AV904" s="1526"/>
      <c r="AW904" s="1526"/>
      <c r="AX904" s="1526"/>
      <c r="AY904" s="1526"/>
      <c r="AZ904" s="1526"/>
      <c r="BA904" s="1526"/>
      <c r="BB904" s="1526"/>
      <c r="BC904" s="1526"/>
      <c r="BD904" s="1526"/>
      <c r="BE904" s="1526"/>
      <c r="BF904" s="1526"/>
      <c r="BG904" s="1526"/>
      <c r="BH904" s="1526"/>
    </row>
    <row r="905" spans="1:60" s="1525" customFormat="1">
      <c r="A905" s="1499"/>
      <c r="B905" s="1535" t="s">
        <v>2549</v>
      </c>
      <c r="C905" s="1368"/>
      <c r="D905" s="1368"/>
      <c r="E905" s="1368"/>
      <c r="F905" s="1368"/>
      <c r="G905" s="1607">
        <f t="shared" si="940"/>
        <v>0</v>
      </c>
      <c r="H905" s="577"/>
      <c r="I905" s="1557">
        <f t="shared" si="941"/>
        <v>0</v>
      </c>
      <c r="J905" s="577"/>
      <c r="K905" s="577"/>
      <c r="L905" s="577"/>
      <c r="M905" s="577"/>
      <c r="N905" s="577"/>
      <c r="O905" s="577"/>
      <c r="P905" s="577"/>
      <c r="Q905" s="577"/>
      <c r="R905" s="577"/>
      <c r="S905" s="1368">
        <f>F905*0.3*1.39</f>
        <v>0</v>
      </c>
      <c r="T905" s="1565"/>
      <c r="U905" s="1559">
        <f t="shared" si="942"/>
        <v>0</v>
      </c>
      <c r="V905" s="1566"/>
      <c r="W905" s="1559">
        <f t="shared" si="943"/>
        <v>0</v>
      </c>
      <c r="X905" s="1566"/>
      <c r="Y905" s="1566"/>
      <c r="Z905" s="1566"/>
      <c r="AA905" s="1566"/>
      <c r="AB905" s="1566"/>
      <c r="AC905" s="1566"/>
      <c r="AD905" s="1566"/>
      <c r="AE905" s="1566"/>
      <c r="AF905" s="1566"/>
      <c r="AG905" s="1554">
        <f t="shared" si="944"/>
        <v>0</v>
      </c>
      <c r="AH905" s="1566"/>
      <c r="AI905" s="1561">
        <f t="shared" si="945"/>
        <v>0</v>
      </c>
      <c r="AJ905" s="1561">
        <f t="shared" si="946"/>
        <v>0</v>
      </c>
      <c r="AL905" s="561"/>
      <c r="AM905" s="1526"/>
      <c r="AN905" s="1526"/>
      <c r="AO905" s="1526"/>
      <c r="AP905" s="1526"/>
      <c r="AQ905" s="1526"/>
      <c r="AR905" s="1526"/>
      <c r="AS905" s="1526"/>
      <c r="AT905" s="1526"/>
      <c r="AU905" s="1526"/>
      <c r="AV905" s="1526"/>
      <c r="AW905" s="1526"/>
      <c r="AX905" s="1526"/>
      <c r="AY905" s="1526"/>
      <c r="AZ905" s="1526"/>
      <c r="BA905" s="1526"/>
      <c r="BB905" s="1526"/>
      <c r="BC905" s="1526"/>
      <c r="BD905" s="1526"/>
      <c r="BE905" s="1526"/>
      <c r="BF905" s="1526"/>
      <c r="BG905" s="1526"/>
      <c r="BH905" s="1526"/>
    </row>
    <row r="906" spans="1:60" s="1525" customFormat="1">
      <c r="A906" s="1377"/>
      <c r="B906" s="1608"/>
      <c r="C906" s="1609"/>
      <c r="D906" s="1609"/>
      <c r="E906" s="1609"/>
      <c r="F906" s="1609"/>
      <c r="G906" s="1609"/>
      <c r="H906" s="1609"/>
      <c r="I906" s="1609"/>
      <c r="J906" s="1609"/>
      <c r="K906" s="1609"/>
      <c r="L906" s="1609"/>
      <c r="M906" s="1609"/>
      <c r="N906" s="1609"/>
      <c r="O906" s="1609"/>
      <c r="P906" s="1609"/>
      <c r="Q906" s="1609"/>
      <c r="R906" s="1609"/>
      <c r="S906" s="1609"/>
      <c r="T906" s="1609"/>
      <c r="U906" s="1609"/>
      <c r="V906" s="1609"/>
      <c r="W906" s="1609"/>
      <c r="X906" s="1609"/>
      <c r="Y906" s="1609"/>
      <c r="Z906" s="1609"/>
      <c r="AA906" s="1609"/>
      <c r="AB906" s="1609"/>
      <c r="AC906" s="1609"/>
      <c r="AD906" s="1609"/>
      <c r="AE906" s="1609"/>
      <c r="AF906" s="1609"/>
      <c r="AG906" s="1609"/>
      <c r="AH906" s="1609"/>
      <c r="AI906" s="1609"/>
      <c r="AJ906" s="1609"/>
      <c r="AL906" s="561"/>
      <c r="AM906" s="1526"/>
      <c r="AN906" s="1526"/>
      <c r="AO906" s="1526"/>
      <c r="AP906" s="1526"/>
      <c r="AQ906" s="1526"/>
      <c r="AR906" s="1526"/>
      <c r="AS906" s="1526"/>
      <c r="AT906" s="1526"/>
      <c r="AU906" s="1526"/>
      <c r="AV906" s="1526"/>
      <c r="AW906" s="1526"/>
      <c r="AX906" s="1526"/>
      <c r="AY906" s="1526"/>
      <c r="AZ906" s="1526"/>
      <c r="BA906" s="1526"/>
      <c r="BB906" s="1526"/>
      <c r="BC906" s="1526"/>
      <c r="BD906" s="1526"/>
      <c r="BE906" s="1526"/>
      <c r="BF906" s="1526"/>
      <c r="BG906" s="1526"/>
      <c r="BH906" s="1526"/>
    </row>
    <row r="907" spans="1:60" s="1525" customFormat="1">
      <c r="A907" s="1610"/>
      <c r="B907" s="1611"/>
      <c r="C907" s="561"/>
      <c r="D907" s="561"/>
      <c r="E907" s="561"/>
      <c r="F907" s="561"/>
      <c r="G907" s="561"/>
      <c r="H907" s="561"/>
      <c r="I907" s="561"/>
      <c r="J907" s="561"/>
      <c r="K907" s="561"/>
      <c r="L907" s="561"/>
      <c r="M907" s="561"/>
      <c r="N907" s="561"/>
      <c r="O907" s="561"/>
      <c r="P907" s="561"/>
      <c r="Q907" s="561"/>
      <c r="R907" s="561"/>
      <c r="S907" s="561"/>
      <c r="T907" s="561"/>
      <c r="U907" s="561"/>
      <c r="V907" s="561"/>
      <c r="W907" s="561"/>
      <c r="X907" s="561"/>
      <c r="Y907" s="561"/>
      <c r="Z907" s="561"/>
      <c r="AA907" s="561"/>
      <c r="AB907" s="561"/>
      <c r="AC907" s="561"/>
      <c r="AD907" s="561"/>
      <c r="AE907" s="561"/>
      <c r="AF907" s="1890" t="s">
        <v>2502</v>
      </c>
      <c r="AG907" s="1890"/>
      <c r="AH907" s="1890"/>
      <c r="AI907" s="1890"/>
      <c r="AJ907" s="1890"/>
      <c r="AL907" s="561"/>
      <c r="AM907" s="1526"/>
      <c r="AN907" s="1526"/>
      <c r="AO907" s="1526"/>
      <c r="AP907" s="1526"/>
      <c r="AQ907" s="1526"/>
      <c r="AR907" s="1526"/>
      <c r="AS907" s="1526"/>
      <c r="AT907" s="1526"/>
      <c r="AU907" s="1526"/>
      <c r="AV907" s="1526"/>
      <c r="AW907" s="1526"/>
      <c r="AX907" s="1526"/>
      <c r="AY907" s="1526"/>
      <c r="AZ907" s="1526"/>
      <c r="BA907" s="1526"/>
      <c r="BB907" s="1526"/>
      <c r="BC907" s="1526"/>
      <c r="BD907" s="1526"/>
      <c r="BE907" s="1526"/>
      <c r="BF907" s="1526"/>
      <c r="BG907" s="1526"/>
      <c r="BH907" s="1526"/>
    </row>
    <row r="908" spans="1:60" s="1525" customFormat="1">
      <c r="A908" s="1610"/>
      <c r="B908" s="1611"/>
      <c r="C908" s="561"/>
      <c r="D908" s="561"/>
      <c r="E908" s="561"/>
      <c r="F908" s="561"/>
      <c r="G908" s="561"/>
      <c r="H908" s="561"/>
      <c r="I908" s="561"/>
      <c r="J908" s="561"/>
      <c r="K908" s="561"/>
      <c r="L908" s="561"/>
      <c r="M908" s="561"/>
      <c r="N908" s="561"/>
      <c r="O908" s="561"/>
      <c r="P908" s="561"/>
      <c r="Q908" s="561"/>
      <c r="R908" s="561"/>
      <c r="S908" s="561"/>
      <c r="T908" s="561"/>
      <c r="U908" s="561"/>
      <c r="V908" s="561"/>
      <c r="W908" s="561"/>
      <c r="X908" s="561"/>
      <c r="Y908" s="561"/>
      <c r="Z908" s="561"/>
      <c r="AA908" s="561"/>
      <c r="AB908" s="561"/>
      <c r="AC908" s="561"/>
      <c r="AD908" s="561"/>
      <c r="AE908" s="561"/>
      <c r="AF908" s="1891" t="s">
        <v>23</v>
      </c>
      <c r="AG908" s="1891"/>
      <c r="AH908" s="1891"/>
      <c r="AI908" s="1891"/>
      <c r="AJ908" s="1891"/>
      <c r="AL908" s="561"/>
      <c r="AM908" s="1526"/>
      <c r="AN908" s="1526"/>
      <c r="AO908" s="1526"/>
      <c r="AP908" s="1526"/>
      <c r="AQ908" s="1526"/>
      <c r="AR908" s="1526"/>
      <c r="AS908" s="1526"/>
      <c r="AT908" s="1526"/>
      <c r="AU908" s="1526"/>
      <c r="AV908" s="1526"/>
      <c r="AW908" s="1526"/>
      <c r="AX908" s="1526"/>
      <c r="AY908" s="1526"/>
      <c r="AZ908" s="1526"/>
      <c r="BA908" s="1526"/>
      <c r="BB908" s="1526"/>
      <c r="BC908" s="1526"/>
      <c r="BD908" s="1526"/>
      <c r="BE908" s="1526"/>
      <c r="BF908" s="1526"/>
      <c r="BG908" s="1526"/>
      <c r="BH908" s="1526"/>
    </row>
    <row r="909" spans="1:60" s="1525" customFormat="1">
      <c r="A909" s="1610"/>
      <c r="B909" s="1611"/>
      <c r="C909" s="561"/>
      <c r="D909" s="561"/>
      <c r="E909" s="561"/>
      <c r="F909" s="561"/>
      <c r="G909" s="561"/>
      <c r="H909" s="561"/>
      <c r="I909" s="561"/>
      <c r="J909" s="561"/>
      <c r="K909" s="561"/>
      <c r="L909" s="561"/>
      <c r="M909" s="561"/>
      <c r="N909" s="561"/>
      <c r="O909" s="561"/>
      <c r="P909" s="561"/>
      <c r="Q909" s="561"/>
      <c r="R909" s="561"/>
      <c r="S909" s="561"/>
      <c r="T909" s="561"/>
      <c r="U909" s="561"/>
      <c r="V909" s="561"/>
      <c r="W909" s="561"/>
      <c r="X909" s="561"/>
      <c r="Y909" s="561"/>
      <c r="Z909" s="561"/>
      <c r="AA909" s="561"/>
      <c r="AB909" s="561"/>
      <c r="AC909" s="561"/>
      <c r="AD909" s="561"/>
      <c r="AE909" s="561"/>
      <c r="AF909" s="561"/>
      <c r="AG909" s="561"/>
      <c r="AH909" s="561"/>
      <c r="AI909" s="561"/>
      <c r="AJ909" s="561"/>
      <c r="AL909" s="561"/>
      <c r="AM909" s="1526"/>
      <c r="AN909" s="1526"/>
      <c r="AO909" s="1526"/>
      <c r="AP909" s="1526"/>
      <c r="AQ909" s="1526"/>
      <c r="AR909" s="1526"/>
      <c r="AS909" s="1526"/>
      <c r="AT909" s="1526"/>
      <c r="AU909" s="1526"/>
      <c r="AV909" s="1526"/>
      <c r="AW909" s="1526"/>
      <c r="AX909" s="1526"/>
      <c r="AY909" s="1526"/>
      <c r="AZ909" s="1526"/>
      <c r="BA909" s="1526"/>
      <c r="BB909" s="1526"/>
      <c r="BC909" s="1526"/>
      <c r="BD909" s="1526"/>
      <c r="BE909" s="1526"/>
      <c r="BF909" s="1526"/>
      <c r="BG909" s="1526"/>
      <c r="BH909" s="1526"/>
    </row>
    <row r="910" spans="1:60" s="1525" customFormat="1">
      <c r="A910" s="1610"/>
      <c r="B910" s="1611"/>
      <c r="C910" s="561"/>
      <c r="D910" s="561"/>
      <c r="E910" s="561"/>
      <c r="F910" s="561"/>
      <c r="G910" s="561"/>
      <c r="H910" s="561"/>
      <c r="I910" s="561"/>
      <c r="J910" s="561"/>
      <c r="K910" s="561"/>
      <c r="L910" s="561"/>
      <c r="M910" s="561"/>
      <c r="N910" s="561"/>
      <c r="O910" s="561"/>
      <c r="P910" s="561"/>
      <c r="Q910" s="561"/>
      <c r="R910" s="561"/>
      <c r="S910" s="561"/>
      <c r="T910" s="561"/>
      <c r="U910" s="561"/>
      <c r="V910" s="561"/>
      <c r="W910" s="561"/>
      <c r="X910" s="561"/>
      <c r="Y910" s="561"/>
      <c r="Z910" s="561"/>
      <c r="AA910" s="561"/>
      <c r="AB910" s="561"/>
      <c r="AC910" s="561"/>
      <c r="AD910" s="561"/>
      <c r="AE910" s="561"/>
      <c r="AF910" s="561"/>
      <c r="AG910" s="561"/>
      <c r="AH910" s="561"/>
      <c r="AI910" s="561"/>
      <c r="AJ910" s="561"/>
      <c r="AL910" s="561"/>
      <c r="AM910" s="1526"/>
      <c r="AN910" s="1526"/>
      <c r="AO910" s="1526"/>
      <c r="AP910" s="1526"/>
      <c r="AQ910" s="1526"/>
      <c r="AR910" s="1526"/>
      <c r="AS910" s="1526"/>
      <c r="AT910" s="1526"/>
      <c r="AU910" s="1526"/>
      <c r="AV910" s="1526"/>
      <c r="AW910" s="1526"/>
      <c r="AX910" s="1526"/>
      <c r="AY910" s="1526"/>
      <c r="AZ910" s="1526"/>
      <c r="BA910" s="1526"/>
      <c r="BB910" s="1526"/>
      <c r="BC910" s="1526"/>
      <c r="BD910" s="1526"/>
      <c r="BE910" s="1526"/>
      <c r="BF910" s="1526"/>
      <c r="BG910" s="1526"/>
      <c r="BH910" s="1526"/>
    </row>
    <row r="911" spans="1:60" s="1525" customFormat="1">
      <c r="A911" s="1610"/>
      <c r="B911" s="1611"/>
      <c r="C911" s="561"/>
      <c r="D911" s="561"/>
      <c r="E911" s="561"/>
      <c r="F911" s="561"/>
      <c r="G911" s="561"/>
      <c r="H911" s="561"/>
      <c r="I911" s="561"/>
      <c r="J911" s="561"/>
      <c r="K911" s="561"/>
      <c r="L911" s="561"/>
      <c r="M911" s="561"/>
      <c r="N911" s="561"/>
      <c r="O911" s="561"/>
      <c r="P911" s="561"/>
      <c r="Q911" s="561"/>
      <c r="R911" s="561"/>
      <c r="S911" s="561"/>
      <c r="T911" s="561"/>
      <c r="U911" s="561"/>
      <c r="V911" s="561"/>
      <c r="W911" s="561"/>
      <c r="X911" s="561"/>
      <c r="Y911" s="561"/>
      <c r="Z911" s="561"/>
      <c r="AA911" s="561"/>
      <c r="AB911" s="561"/>
      <c r="AC911" s="561"/>
      <c r="AD911" s="561"/>
      <c r="AE911" s="561"/>
      <c r="AF911" s="561"/>
      <c r="AG911" s="561"/>
      <c r="AH911" s="561"/>
      <c r="AI911" s="561"/>
      <c r="AJ911" s="561"/>
      <c r="AL911" s="561"/>
      <c r="AM911" s="1526"/>
      <c r="AN911" s="1526"/>
      <c r="AO911" s="1526"/>
      <c r="AP911" s="1526"/>
      <c r="AQ911" s="1526"/>
      <c r="AR911" s="1526"/>
      <c r="AS911" s="1526"/>
      <c r="AT911" s="1526"/>
      <c r="AU911" s="1526"/>
      <c r="AV911" s="1526"/>
      <c r="AW911" s="1526"/>
      <c r="AX911" s="1526"/>
      <c r="AY911" s="1526"/>
      <c r="AZ911" s="1526"/>
      <c r="BA911" s="1526"/>
      <c r="BB911" s="1526"/>
      <c r="BC911" s="1526"/>
      <c r="BD911" s="1526"/>
      <c r="BE911" s="1526"/>
      <c r="BF911" s="1526"/>
      <c r="BG911" s="1526"/>
      <c r="BH911" s="1526"/>
    </row>
    <row r="912" spans="1:60" s="1525" customFormat="1">
      <c r="A912" s="1610"/>
      <c r="B912" s="1611"/>
      <c r="C912" s="561"/>
      <c r="D912" s="561"/>
      <c r="E912" s="561"/>
      <c r="F912" s="561"/>
      <c r="G912" s="561"/>
      <c r="H912" s="561"/>
      <c r="I912" s="561"/>
      <c r="J912" s="561"/>
      <c r="K912" s="561"/>
      <c r="L912" s="561"/>
      <c r="M912" s="561"/>
      <c r="N912" s="561"/>
      <c r="O912" s="561"/>
      <c r="P912" s="561"/>
      <c r="Q912" s="561"/>
      <c r="R912" s="561"/>
      <c r="S912" s="561"/>
      <c r="T912" s="561"/>
      <c r="U912" s="561"/>
      <c r="V912" s="561"/>
      <c r="W912" s="561"/>
      <c r="X912" s="561"/>
      <c r="Y912" s="561"/>
      <c r="Z912" s="561"/>
      <c r="AA912" s="561"/>
      <c r="AB912" s="561"/>
      <c r="AC912" s="561"/>
      <c r="AD912" s="561"/>
      <c r="AE912" s="561"/>
      <c r="AF912" s="561"/>
      <c r="AG912" s="561"/>
      <c r="AH912" s="561"/>
      <c r="AI912" s="561"/>
      <c r="AJ912" s="561"/>
      <c r="AL912" s="561"/>
      <c r="AM912" s="1526"/>
      <c r="AN912" s="1526"/>
      <c r="AO912" s="1526"/>
      <c r="AP912" s="1526"/>
      <c r="AQ912" s="1526"/>
      <c r="AR912" s="1526"/>
      <c r="AS912" s="1526"/>
      <c r="AT912" s="1526"/>
      <c r="AU912" s="1526"/>
      <c r="AV912" s="1526"/>
      <c r="AW912" s="1526"/>
      <c r="AX912" s="1526"/>
      <c r="AY912" s="1526"/>
      <c r="AZ912" s="1526"/>
      <c r="BA912" s="1526"/>
      <c r="BB912" s="1526"/>
      <c r="BC912" s="1526"/>
      <c r="BD912" s="1526"/>
      <c r="BE912" s="1526"/>
      <c r="BF912" s="1526"/>
      <c r="BG912" s="1526"/>
      <c r="BH912" s="1526"/>
    </row>
    <row r="913" spans="1:60" s="1525" customFormat="1">
      <c r="A913" s="1610"/>
      <c r="B913" s="1611"/>
      <c r="C913" s="561"/>
      <c r="D913" s="561"/>
      <c r="E913" s="561"/>
      <c r="F913" s="561"/>
      <c r="G913" s="561"/>
      <c r="H913" s="561"/>
      <c r="I913" s="561"/>
      <c r="J913" s="561"/>
      <c r="K913" s="561"/>
      <c r="L913" s="561"/>
      <c r="M913" s="561"/>
      <c r="N913" s="561"/>
      <c r="O913" s="561"/>
      <c r="P913" s="561"/>
      <c r="Q913" s="561"/>
      <c r="R913" s="561"/>
      <c r="S913" s="561"/>
      <c r="T913" s="561"/>
      <c r="U913" s="561"/>
      <c r="V913" s="561"/>
      <c r="W913" s="561"/>
      <c r="X913" s="561"/>
      <c r="Y913" s="561"/>
      <c r="Z913" s="561"/>
      <c r="AA913" s="561"/>
      <c r="AB913" s="561"/>
      <c r="AC913" s="561"/>
      <c r="AD913" s="561"/>
      <c r="AE913" s="561"/>
      <c r="AF913" s="561"/>
      <c r="AG913" s="561"/>
      <c r="AH913" s="561"/>
      <c r="AI913" s="561"/>
      <c r="AJ913" s="561"/>
      <c r="AL913" s="561"/>
      <c r="AM913" s="1526"/>
      <c r="AN913" s="1526"/>
      <c r="AO913" s="1526"/>
      <c r="AP913" s="1526"/>
      <c r="AQ913" s="1526"/>
      <c r="AR913" s="1526"/>
      <c r="AS913" s="1526"/>
      <c r="AT913" s="1526"/>
      <c r="AU913" s="1526"/>
      <c r="AV913" s="1526"/>
      <c r="AW913" s="1526"/>
      <c r="AX913" s="1526"/>
      <c r="AY913" s="1526"/>
      <c r="AZ913" s="1526"/>
      <c r="BA913" s="1526"/>
      <c r="BB913" s="1526"/>
      <c r="BC913" s="1526"/>
      <c r="BD913" s="1526"/>
      <c r="BE913" s="1526"/>
      <c r="BF913" s="1526"/>
      <c r="BG913" s="1526"/>
      <c r="BH913" s="1526"/>
    </row>
    <row r="914" spans="1:60" s="1525" customFormat="1">
      <c r="A914" s="1610"/>
      <c r="B914" s="1611"/>
      <c r="C914" s="561"/>
      <c r="D914" s="561"/>
      <c r="E914" s="561"/>
      <c r="F914" s="561"/>
      <c r="G914" s="561"/>
      <c r="H914" s="561"/>
      <c r="I914" s="561"/>
      <c r="J914" s="561"/>
      <c r="K914" s="561"/>
      <c r="L914" s="561"/>
      <c r="M914" s="561"/>
      <c r="N914" s="561"/>
      <c r="O914" s="561"/>
      <c r="P914" s="561"/>
      <c r="Q914" s="561"/>
      <c r="R914" s="561"/>
      <c r="S914" s="561"/>
      <c r="T914" s="561"/>
      <c r="U914" s="561"/>
      <c r="V914" s="561"/>
      <c r="W914" s="561"/>
      <c r="X914" s="561"/>
      <c r="Y914" s="561"/>
      <c r="Z914" s="561"/>
      <c r="AA914" s="561"/>
      <c r="AB914" s="561"/>
      <c r="AC914" s="561"/>
      <c r="AD914" s="561"/>
      <c r="AE914" s="561"/>
      <c r="AF914" s="561"/>
      <c r="AG914" s="561"/>
      <c r="AH914" s="561"/>
      <c r="AI914" s="561"/>
      <c r="AJ914" s="561"/>
      <c r="AL914" s="561"/>
      <c r="AM914" s="1526"/>
      <c r="AN914" s="1526"/>
      <c r="AO914" s="1526"/>
      <c r="AP914" s="1526"/>
      <c r="AQ914" s="1526"/>
      <c r="AR914" s="1526"/>
      <c r="AS914" s="1526"/>
      <c r="AT914" s="1526"/>
      <c r="AU914" s="1526"/>
      <c r="AV914" s="1526"/>
      <c r="AW914" s="1526"/>
      <c r="AX914" s="1526"/>
      <c r="AY914" s="1526"/>
      <c r="AZ914" s="1526"/>
      <c r="BA914" s="1526"/>
      <c r="BB914" s="1526"/>
      <c r="BC914" s="1526"/>
      <c r="BD914" s="1526"/>
      <c r="BE914" s="1526"/>
      <c r="BF914" s="1526"/>
      <c r="BG914" s="1526"/>
      <c r="BH914" s="1526"/>
    </row>
  </sheetData>
  <sheetProtection insertColumns="0" insertRows="0" selectLockedCells="1" selectUnlockedCells="1"/>
  <mergeCells count="46">
    <mergeCell ref="AF907:AJ907"/>
    <mergeCell ref="AF908:AJ908"/>
    <mergeCell ref="Z8:Z10"/>
    <mergeCell ref="AA8:AA10"/>
    <mergeCell ref="AB8:AB10"/>
    <mergeCell ref="AC8:AC10"/>
    <mergeCell ref="AD8:AD10"/>
    <mergeCell ref="AE8:AE10"/>
    <mergeCell ref="Y8:Y10"/>
    <mergeCell ref="V7:V10"/>
    <mergeCell ref="W7:W10"/>
    <mergeCell ref="X7:AG7"/>
    <mergeCell ref="AH7:AH10"/>
    <mergeCell ref="X8:X10"/>
    <mergeCell ref="AF8:AF10"/>
    <mergeCell ref="AG8:AG10"/>
    <mergeCell ref="H7:H10"/>
    <mergeCell ref="I7:I10"/>
    <mergeCell ref="J7:S7"/>
    <mergeCell ref="T7:T10"/>
    <mergeCell ref="U7:U10"/>
    <mergeCell ref="J8:J10"/>
    <mergeCell ref="K8:K10"/>
    <mergeCell ref="L8:L10"/>
    <mergeCell ref="M8:M10"/>
    <mergeCell ref="N8:N10"/>
    <mergeCell ref="P8:P10"/>
    <mergeCell ref="Q8:Q10"/>
    <mergeCell ref="R8:R10"/>
    <mergeCell ref="S8:S10"/>
    <mergeCell ref="A1:B1"/>
    <mergeCell ref="A2:B2"/>
    <mergeCell ref="A3:AJ3"/>
    <mergeCell ref="A4:AJ4"/>
    <mergeCell ref="A6:A10"/>
    <mergeCell ref="B6:B10"/>
    <mergeCell ref="C6:C10"/>
    <mergeCell ref="D6:D10"/>
    <mergeCell ref="E6:E10"/>
    <mergeCell ref="F6:F10"/>
    <mergeCell ref="O8:O10"/>
    <mergeCell ref="G6:T6"/>
    <mergeCell ref="U6:AH6"/>
    <mergeCell ref="AI6:AI10"/>
    <mergeCell ref="AJ6:AJ10"/>
    <mergeCell ref="G7:G10"/>
  </mergeCells>
  <pageMargins left="0.17" right="0.17" top="0.37" bottom="0.23" header="0.3" footer="0.16"/>
  <pageSetup paperSize="9" scale="35" orientation="landscape" blackAndWhite="1"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8" tint="0.79998168889431442"/>
  </sheetPr>
  <dimension ref="A1:AQ52"/>
  <sheetViews>
    <sheetView showZeros="0" topLeftCell="A19" zoomScale="85" zoomScaleNormal="85" workbookViewId="0">
      <selection activeCell="B37" sqref="B37:B39"/>
    </sheetView>
  </sheetViews>
  <sheetFormatPr defaultColWidth="9.140625" defaultRowHeight="15.75"/>
  <cols>
    <col min="1" max="1" width="5.7109375" style="285" customWidth="1"/>
    <col min="2" max="2" width="54" style="563" customWidth="1"/>
    <col min="3" max="3" width="11.140625" style="277" customWidth="1"/>
    <col min="4" max="5" width="11.140625" style="277" hidden="1" customWidth="1"/>
    <col min="6" max="6" width="13.85546875" style="562" customWidth="1"/>
    <col min="7" max="7" width="11.5703125" style="562" customWidth="1"/>
    <col min="8" max="9" width="10.85546875" style="562" customWidth="1"/>
    <col min="10" max="10" width="9.140625" style="562" customWidth="1"/>
    <col min="11" max="11" width="10.42578125" style="562" customWidth="1"/>
    <col min="12" max="12" width="9.140625" style="562" customWidth="1"/>
    <col min="13" max="13" width="11" style="562" customWidth="1"/>
    <col min="14" max="17" width="9.140625" style="562" customWidth="1"/>
    <col min="18" max="18" width="10.85546875" style="562" customWidth="1"/>
    <col min="19" max="19" width="10.7109375" style="562" customWidth="1"/>
    <col min="20" max="20" width="11.85546875" style="277" customWidth="1"/>
    <col min="21" max="21" width="19.42578125" style="277" customWidth="1"/>
    <col min="22" max="22" width="16.7109375" style="277" customWidth="1"/>
    <col min="23" max="23" width="12.5703125" style="277" customWidth="1"/>
    <col min="24" max="16384" width="9.140625" style="277"/>
  </cols>
  <sheetData>
    <row r="1" spans="1:43" ht="18.75">
      <c r="A1" s="1905" t="s">
        <v>0</v>
      </c>
      <c r="B1" s="1905"/>
      <c r="S1" s="2028"/>
      <c r="T1" s="2028"/>
      <c r="V1" s="2049" t="s">
        <v>2504</v>
      </c>
    </row>
    <row r="2" spans="1:43">
      <c r="A2" s="1905" t="s">
        <v>85</v>
      </c>
      <c r="B2" s="1905"/>
    </row>
    <row r="3" spans="1:43">
      <c r="A3" s="1895" t="s">
        <v>3478</v>
      </c>
      <c r="B3" s="1895"/>
      <c r="C3" s="1895"/>
      <c r="D3" s="1895"/>
      <c r="E3" s="1895"/>
      <c r="F3" s="1895"/>
      <c r="G3" s="1895"/>
      <c r="H3" s="1895"/>
      <c r="I3" s="1895"/>
      <c r="J3" s="1895"/>
      <c r="K3" s="1895"/>
      <c r="L3" s="1895"/>
      <c r="M3" s="1895"/>
      <c r="N3" s="1895"/>
      <c r="O3" s="1895"/>
      <c r="P3" s="1895"/>
      <c r="Q3" s="1895"/>
      <c r="R3" s="1895"/>
      <c r="S3" s="1895"/>
      <c r="T3" s="1895"/>
    </row>
    <row r="4" spans="1:43">
      <c r="A4" s="1874"/>
      <c r="B4" s="1874"/>
      <c r="C4" s="1874"/>
      <c r="D4" s="1874"/>
      <c r="E4" s="1874"/>
      <c r="F4" s="1874"/>
      <c r="G4" s="1874"/>
      <c r="H4" s="1874"/>
      <c r="I4" s="1874"/>
      <c r="J4" s="1874"/>
      <c r="K4" s="1874"/>
      <c r="L4" s="1874"/>
      <c r="M4" s="1874"/>
      <c r="N4" s="1874"/>
      <c r="O4" s="1874"/>
      <c r="P4" s="1874"/>
      <c r="Q4" s="1874"/>
      <c r="R4" s="1874"/>
      <c r="S4" s="1874"/>
      <c r="T4" s="1874"/>
    </row>
    <row r="5" spans="1:43" ht="16.5" thickBot="1">
      <c r="B5" s="1138"/>
      <c r="F5" s="601"/>
      <c r="G5" s="601"/>
      <c r="H5" s="601"/>
      <c r="I5" s="601"/>
      <c r="S5" s="2048"/>
      <c r="T5" s="2048"/>
      <c r="V5" s="2051" t="s">
        <v>2220</v>
      </c>
      <c r="W5" s="2052"/>
    </row>
    <row r="6" spans="1:43" ht="37.5" customHeight="1">
      <c r="A6" s="1906" t="s">
        <v>3</v>
      </c>
      <c r="B6" s="1909" t="s">
        <v>28</v>
      </c>
      <c r="C6" s="1896" t="s">
        <v>3445</v>
      </c>
      <c r="D6" s="1903" t="s">
        <v>2506</v>
      </c>
      <c r="E6" s="1903" t="s">
        <v>2507</v>
      </c>
      <c r="F6" s="1896" t="s">
        <v>3479</v>
      </c>
      <c r="G6" s="2043" t="s">
        <v>3494</v>
      </c>
      <c r="H6" s="1899"/>
      <c r="I6" s="1899"/>
      <c r="J6" s="1899"/>
      <c r="K6" s="1899"/>
      <c r="L6" s="1899"/>
      <c r="M6" s="1899"/>
      <c r="N6" s="1899"/>
      <c r="O6" s="1899"/>
      <c r="P6" s="1899"/>
      <c r="Q6" s="1899"/>
      <c r="R6" s="1899"/>
      <c r="S6" s="1899"/>
      <c r="T6" s="1899"/>
      <c r="U6" s="2050" t="s">
        <v>3483</v>
      </c>
      <c r="V6" s="2050"/>
    </row>
    <row r="7" spans="1:43" ht="18.75" customHeight="1">
      <c r="A7" s="1907"/>
      <c r="B7" s="1910"/>
      <c r="C7" s="1893"/>
      <c r="D7" s="1904"/>
      <c r="E7" s="1904"/>
      <c r="F7" s="1893"/>
      <c r="G7" s="1892" t="s">
        <v>2509</v>
      </c>
      <c r="H7" s="1892" t="s">
        <v>2510</v>
      </c>
      <c r="I7" s="1892" t="s">
        <v>2511</v>
      </c>
      <c r="J7" s="1900" t="s">
        <v>2512</v>
      </c>
      <c r="K7" s="1901"/>
      <c r="L7" s="1901"/>
      <c r="M7" s="1901"/>
      <c r="N7" s="1901"/>
      <c r="O7" s="1901"/>
      <c r="P7" s="1901"/>
      <c r="Q7" s="1901"/>
      <c r="R7" s="1901"/>
      <c r="S7" s="1902"/>
      <c r="T7" s="1892" t="s">
        <v>3484</v>
      </c>
      <c r="U7" s="1984" t="s">
        <v>3482</v>
      </c>
      <c r="V7" s="1984" t="s">
        <v>3081</v>
      </c>
    </row>
    <row r="8" spans="1:43" ht="37.5" customHeight="1">
      <c r="A8" s="1907"/>
      <c r="B8" s="1910"/>
      <c r="C8" s="1893"/>
      <c r="D8" s="1904"/>
      <c r="E8" s="1904"/>
      <c r="F8" s="1893"/>
      <c r="G8" s="1893"/>
      <c r="H8" s="1897"/>
      <c r="I8" s="1897"/>
      <c r="J8" s="1892" t="s">
        <v>2514</v>
      </c>
      <c r="K8" s="1892" t="s">
        <v>2515</v>
      </c>
      <c r="L8" s="1892" t="s">
        <v>2516</v>
      </c>
      <c r="M8" s="1892" t="s">
        <v>2517</v>
      </c>
      <c r="N8" s="1892" t="s">
        <v>2518</v>
      </c>
      <c r="O8" s="1892" t="s">
        <v>2519</v>
      </c>
      <c r="P8" s="1892" t="s">
        <v>2520</v>
      </c>
      <c r="Q8" s="1892" t="s">
        <v>2521</v>
      </c>
      <c r="R8" s="1892" t="s">
        <v>2522</v>
      </c>
      <c r="S8" s="1892" t="s">
        <v>2523</v>
      </c>
      <c r="T8" s="1897"/>
      <c r="U8" s="1984"/>
      <c r="V8" s="1984"/>
    </row>
    <row r="9" spans="1:43" ht="37.5" customHeight="1">
      <c r="A9" s="1907"/>
      <c r="B9" s="1910"/>
      <c r="C9" s="1893"/>
      <c r="D9" s="1904"/>
      <c r="E9" s="1904"/>
      <c r="F9" s="1893"/>
      <c r="G9" s="1893"/>
      <c r="H9" s="1897"/>
      <c r="I9" s="1897"/>
      <c r="J9" s="1893"/>
      <c r="K9" s="1893" t="s">
        <v>2524</v>
      </c>
      <c r="L9" s="1893"/>
      <c r="M9" s="1897"/>
      <c r="N9" s="1897" t="s">
        <v>2525</v>
      </c>
      <c r="O9" s="1893"/>
      <c r="P9" s="1897"/>
      <c r="Q9" s="1893"/>
      <c r="R9" s="1897"/>
      <c r="S9" s="1893"/>
      <c r="T9" s="1897"/>
      <c r="U9" s="1984"/>
      <c r="V9" s="1984"/>
    </row>
    <row r="10" spans="1:43" ht="75.75" customHeight="1">
      <c r="A10" s="1908"/>
      <c r="B10" s="1911"/>
      <c r="C10" s="1894"/>
      <c r="D10" s="1904"/>
      <c r="E10" s="1904"/>
      <c r="F10" s="1894"/>
      <c r="G10" s="1894"/>
      <c r="H10" s="1898"/>
      <c r="I10" s="1898"/>
      <c r="J10" s="1894"/>
      <c r="K10" s="1894"/>
      <c r="L10" s="1894"/>
      <c r="M10" s="1898"/>
      <c r="N10" s="1898"/>
      <c r="O10" s="1894"/>
      <c r="P10" s="1898"/>
      <c r="Q10" s="1894"/>
      <c r="R10" s="1898"/>
      <c r="S10" s="1894"/>
      <c r="T10" s="1898"/>
      <c r="U10" s="1984"/>
      <c r="V10" s="1984"/>
    </row>
    <row r="11" spans="1:43" s="256" customFormat="1" ht="31.5">
      <c r="A11" s="564">
        <v>1</v>
      </c>
      <c r="B11" s="565" t="s">
        <v>140</v>
      </c>
      <c r="C11" s="544">
        <v>3</v>
      </c>
      <c r="D11" s="544"/>
      <c r="E11" s="544"/>
      <c r="F11" s="544">
        <v>4</v>
      </c>
      <c r="G11" s="544" t="s">
        <v>3481</v>
      </c>
      <c r="H11" s="544">
        <v>6</v>
      </c>
      <c r="I11" s="544" t="s">
        <v>3480</v>
      </c>
      <c r="J11" s="544">
        <v>8</v>
      </c>
      <c r="K11" s="544">
        <v>9</v>
      </c>
      <c r="L11" s="544">
        <v>10</v>
      </c>
      <c r="M11" s="544">
        <v>11</v>
      </c>
      <c r="N11" s="544">
        <v>12</v>
      </c>
      <c r="O11" s="544">
        <v>13</v>
      </c>
      <c r="P11" s="544">
        <v>14</v>
      </c>
      <c r="Q11" s="544">
        <v>15</v>
      </c>
      <c r="R11" s="544">
        <v>16</v>
      </c>
      <c r="S11" s="544">
        <v>17</v>
      </c>
      <c r="T11" s="544">
        <v>18</v>
      </c>
      <c r="U11" s="550" t="s">
        <v>3485</v>
      </c>
      <c r="V11" s="550" t="s">
        <v>3486</v>
      </c>
    </row>
    <row r="12" spans="1:43" s="260" customFormat="1" ht="21" customHeight="1">
      <c r="A12" s="566"/>
      <c r="B12" s="2035" t="s">
        <v>2527</v>
      </c>
      <c r="C12" s="543"/>
      <c r="D12" s="543"/>
      <c r="E12" s="543"/>
      <c r="F12" s="543"/>
      <c r="G12" s="543"/>
      <c r="H12" s="543"/>
      <c r="I12" s="543"/>
      <c r="J12" s="543"/>
      <c r="K12" s="543"/>
      <c r="L12" s="543"/>
      <c r="M12" s="543"/>
      <c r="N12" s="543"/>
      <c r="O12" s="543"/>
      <c r="P12" s="543"/>
      <c r="Q12" s="543"/>
      <c r="R12" s="543"/>
      <c r="S12" s="543"/>
      <c r="T12" s="543"/>
      <c r="U12" s="2029"/>
      <c r="V12" s="2029"/>
      <c r="W12" s="259"/>
      <c r="X12" s="259"/>
      <c r="Y12" s="259"/>
      <c r="Z12" s="259"/>
      <c r="AA12" s="259"/>
      <c r="AB12" s="259"/>
      <c r="AC12" s="259"/>
      <c r="AD12" s="259"/>
      <c r="AE12" s="259"/>
      <c r="AF12" s="259"/>
      <c r="AG12" s="259"/>
      <c r="AH12" s="259"/>
      <c r="AI12" s="259"/>
      <c r="AJ12" s="259"/>
      <c r="AK12" s="259"/>
      <c r="AL12" s="259"/>
      <c r="AM12" s="259"/>
      <c r="AN12" s="259"/>
      <c r="AO12" s="259"/>
      <c r="AP12" s="259"/>
      <c r="AQ12" s="259"/>
    </row>
    <row r="13" spans="1:43" s="260" customFormat="1" ht="21" customHeight="1">
      <c r="A13" s="566" t="s">
        <v>13</v>
      </c>
      <c r="B13" s="2035" t="s">
        <v>2528</v>
      </c>
      <c r="C13" s="543"/>
      <c r="D13" s="543"/>
      <c r="E13" s="543"/>
      <c r="F13" s="543"/>
      <c r="G13" s="543"/>
      <c r="H13" s="543"/>
      <c r="I13" s="543"/>
      <c r="J13" s="543"/>
      <c r="K13" s="543"/>
      <c r="L13" s="543"/>
      <c r="M13" s="543"/>
      <c r="N13" s="543"/>
      <c r="O13" s="543"/>
      <c r="P13" s="543"/>
      <c r="Q13" s="543"/>
      <c r="R13" s="543"/>
      <c r="S13" s="543"/>
      <c r="T13" s="543"/>
      <c r="U13" s="2029"/>
      <c r="V13" s="2029"/>
      <c r="W13" s="259"/>
      <c r="X13" s="259"/>
      <c r="Y13" s="259"/>
      <c r="Z13" s="259"/>
      <c r="AA13" s="259"/>
      <c r="AB13" s="259"/>
      <c r="AC13" s="259"/>
      <c r="AD13" s="259"/>
      <c r="AE13" s="259"/>
      <c r="AF13" s="259"/>
      <c r="AG13" s="259"/>
      <c r="AH13" s="259"/>
      <c r="AI13" s="259"/>
      <c r="AJ13" s="259"/>
      <c r="AK13" s="259"/>
      <c r="AL13" s="259"/>
      <c r="AM13" s="259"/>
      <c r="AN13" s="259"/>
      <c r="AO13" s="259"/>
      <c r="AP13" s="259"/>
      <c r="AQ13" s="259"/>
    </row>
    <row r="14" spans="1:43" s="256" customFormat="1" ht="21" customHeight="1">
      <c r="A14" s="567"/>
      <c r="B14" s="2036" t="s">
        <v>2512</v>
      </c>
      <c r="C14" s="545"/>
      <c r="D14" s="545"/>
      <c r="E14" s="545"/>
      <c r="F14" s="545"/>
      <c r="G14" s="546"/>
      <c r="H14" s="545"/>
      <c r="I14" s="546"/>
      <c r="J14" s="545"/>
      <c r="K14" s="545"/>
      <c r="L14" s="545"/>
      <c r="M14" s="545"/>
      <c r="N14" s="545"/>
      <c r="O14" s="545"/>
      <c r="P14" s="545"/>
      <c r="Q14" s="545"/>
      <c r="R14" s="545"/>
      <c r="S14" s="545"/>
      <c r="T14" s="546"/>
      <c r="U14" s="2030"/>
      <c r="V14" s="2030"/>
      <c r="W14" s="255"/>
      <c r="X14" s="255"/>
      <c r="Y14" s="255"/>
      <c r="Z14" s="255"/>
      <c r="AA14" s="255"/>
      <c r="AB14" s="255"/>
      <c r="AC14" s="255"/>
      <c r="AD14" s="255"/>
      <c r="AE14" s="255"/>
      <c r="AF14" s="255"/>
      <c r="AG14" s="255"/>
      <c r="AH14" s="255"/>
      <c r="AI14" s="255"/>
      <c r="AJ14" s="255"/>
      <c r="AK14" s="255"/>
      <c r="AL14" s="255"/>
      <c r="AM14" s="255"/>
      <c r="AN14" s="255"/>
      <c r="AO14" s="255"/>
      <c r="AP14" s="255"/>
      <c r="AQ14" s="255"/>
    </row>
    <row r="15" spans="1:43" s="570" customFormat="1" ht="21" customHeight="1">
      <c r="A15" s="568">
        <v>1</v>
      </c>
      <c r="B15" s="2037" t="s">
        <v>2489</v>
      </c>
      <c r="C15" s="549"/>
      <c r="D15" s="549"/>
      <c r="E15" s="549"/>
      <c r="F15" s="549"/>
      <c r="G15" s="547"/>
      <c r="H15" s="549"/>
      <c r="I15" s="547"/>
      <c r="J15" s="549"/>
      <c r="K15" s="549"/>
      <c r="L15" s="549"/>
      <c r="M15" s="549"/>
      <c r="N15" s="549"/>
      <c r="O15" s="549"/>
      <c r="P15" s="549"/>
      <c r="Q15" s="549"/>
      <c r="R15" s="549"/>
      <c r="S15" s="549"/>
      <c r="T15" s="547"/>
      <c r="U15" s="2030"/>
      <c r="V15" s="2030"/>
      <c r="W15" s="569"/>
      <c r="X15" s="569"/>
      <c r="Y15" s="569"/>
      <c r="Z15" s="569"/>
      <c r="AA15" s="569"/>
      <c r="AB15" s="569"/>
      <c r="AC15" s="569"/>
      <c r="AD15" s="569"/>
      <c r="AE15" s="569"/>
      <c r="AF15" s="569"/>
      <c r="AG15" s="569"/>
      <c r="AH15" s="569"/>
      <c r="AI15" s="569"/>
      <c r="AJ15" s="569"/>
      <c r="AK15" s="569"/>
      <c r="AL15" s="569"/>
      <c r="AM15" s="569"/>
      <c r="AN15" s="569"/>
      <c r="AO15" s="569"/>
      <c r="AP15" s="569"/>
      <c r="AQ15" s="569"/>
    </row>
    <row r="16" spans="1:43" s="570" customFormat="1" ht="21" customHeight="1">
      <c r="A16" s="568"/>
      <c r="B16" s="548" t="s">
        <v>2490</v>
      </c>
      <c r="C16" s="549"/>
      <c r="D16" s="549"/>
      <c r="E16" s="549"/>
      <c r="F16" s="549"/>
      <c r="G16" s="546"/>
      <c r="H16" s="549"/>
      <c r="I16" s="546"/>
      <c r="J16" s="549"/>
      <c r="K16" s="549"/>
      <c r="L16" s="549"/>
      <c r="M16" s="549"/>
      <c r="N16" s="549"/>
      <c r="O16" s="549"/>
      <c r="P16" s="549"/>
      <c r="Q16" s="549"/>
      <c r="R16" s="549"/>
      <c r="S16" s="549"/>
      <c r="T16" s="547"/>
      <c r="U16" s="542"/>
      <c r="V16" s="542"/>
    </row>
    <row r="17" spans="1:22" s="572" customFormat="1" ht="21" customHeight="1">
      <c r="A17" s="571"/>
      <c r="B17" s="551" t="s">
        <v>2529</v>
      </c>
      <c r="C17" s="549"/>
      <c r="D17" s="549"/>
      <c r="E17" s="549"/>
      <c r="F17" s="549"/>
      <c r="G17" s="546"/>
      <c r="H17" s="549"/>
      <c r="I17" s="546"/>
      <c r="J17" s="549"/>
      <c r="K17" s="549"/>
      <c r="L17" s="549"/>
      <c r="M17" s="549"/>
      <c r="N17" s="549"/>
      <c r="O17" s="549"/>
      <c r="P17" s="549"/>
      <c r="Q17" s="549"/>
      <c r="R17" s="549"/>
      <c r="S17" s="549"/>
      <c r="T17" s="547"/>
      <c r="U17" s="2031"/>
      <c r="V17" s="2032"/>
    </row>
    <row r="18" spans="1:22" s="572" customFormat="1" ht="21" customHeight="1">
      <c r="A18" s="571"/>
      <c r="B18" s="548" t="s">
        <v>2491</v>
      </c>
      <c r="C18" s="549"/>
      <c r="D18" s="549"/>
      <c r="E18" s="549"/>
      <c r="F18" s="549"/>
      <c r="G18" s="546"/>
      <c r="H18" s="549"/>
      <c r="I18" s="546"/>
      <c r="J18" s="549"/>
      <c r="K18" s="549"/>
      <c r="L18" s="549"/>
      <c r="M18" s="549"/>
      <c r="N18" s="549"/>
      <c r="O18" s="549"/>
      <c r="P18" s="549"/>
      <c r="Q18" s="549"/>
      <c r="R18" s="549"/>
      <c r="S18" s="549"/>
      <c r="T18" s="547"/>
      <c r="U18" s="2032"/>
      <c r="V18" s="2032"/>
    </row>
    <row r="19" spans="1:22" s="572" customFormat="1" ht="21" customHeight="1">
      <c r="A19" s="571"/>
      <c r="B19" s="551" t="s">
        <v>2529</v>
      </c>
      <c r="C19" s="549"/>
      <c r="D19" s="549"/>
      <c r="E19" s="549"/>
      <c r="F19" s="549"/>
      <c r="G19" s="546"/>
      <c r="H19" s="549"/>
      <c r="I19" s="546"/>
      <c r="J19" s="549"/>
      <c r="K19" s="549"/>
      <c r="L19" s="549"/>
      <c r="M19" s="549"/>
      <c r="N19" s="549"/>
      <c r="O19" s="549"/>
      <c r="P19" s="549"/>
      <c r="Q19" s="549"/>
      <c r="R19" s="549"/>
      <c r="S19" s="549"/>
      <c r="T19" s="547"/>
      <c r="U19" s="2032"/>
      <c r="V19" s="2032"/>
    </row>
    <row r="20" spans="1:22" s="570" customFormat="1" ht="21" customHeight="1">
      <c r="A20" s="568">
        <v>2</v>
      </c>
      <c r="B20" s="2037" t="s">
        <v>2237</v>
      </c>
      <c r="C20" s="549"/>
      <c r="D20" s="549"/>
      <c r="E20" s="549"/>
      <c r="F20" s="549"/>
      <c r="G20" s="546"/>
      <c r="H20" s="549"/>
      <c r="I20" s="546"/>
      <c r="J20" s="549"/>
      <c r="K20" s="549"/>
      <c r="L20" s="549"/>
      <c r="M20" s="549"/>
      <c r="N20" s="549"/>
      <c r="O20" s="549"/>
      <c r="P20" s="549"/>
      <c r="Q20" s="549"/>
      <c r="R20" s="549"/>
      <c r="S20" s="549"/>
      <c r="T20" s="547"/>
      <c r="U20" s="542"/>
      <c r="V20" s="542"/>
    </row>
    <row r="21" spans="1:22" s="572" customFormat="1" ht="21" customHeight="1">
      <c r="A21" s="571"/>
      <c r="B21" s="551" t="s">
        <v>2529</v>
      </c>
      <c r="C21" s="549"/>
      <c r="D21" s="549"/>
      <c r="E21" s="549"/>
      <c r="F21" s="549"/>
      <c r="G21" s="546"/>
      <c r="H21" s="549"/>
      <c r="I21" s="546"/>
      <c r="J21" s="549"/>
      <c r="K21" s="549"/>
      <c r="L21" s="549"/>
      <c r="M21" s="549"/>
      <c r="N21" s="549"/>
      <c r="O21" s="549"/>
      <c r="P21" s="549"/>
      <c r="Q21" s="549"/>
      <c r="R21" s="549"/>
      <c r="S21" s="549"/>
      <c r="T21" s="547"/>
      <c r="U21" s="2032"/>
      <c r="V21" s="2032"/>
    </row>
    <row r="22" spans="1:22" s="570" customFormat="1" ht="21" customHeight="1">
      <c r="A22" s="568">
        <v>3</v>
      </c>
      <c r="B22" s="2037" t="s">
        <v>2531</v>
      </c>
      <c r="C22" s="549"/>
      <c r="D22" s="549"/>
      <c r="E22" s="549"/>
      <c r="F22" s="549"/>
      <c r="G22" s="546"/>
      <c r="H22" s="549"/>
      <c r="I22" s="546"/>
      <c r="J22" s="549"/>
      <c r="K22" s="549"/>
      <c r="L22" s="549"/>
      <c r="M22" s="549"/>
      <c r="N22" s="549"/>
      <c r="O22" s="549"/>
      <c r="P22" s="549"/>
      <c r="Q22" s="549"/>
      <c r="R22" s="549"/>
      <c r="S22" s="549"/>
      <c r="T22" s="547"/>
      <c r="U22" s="542"/>
      <c r="V22" s="542"/>
    </row>
    <row r="23" spans="1:22" s="570" customFormat="1" ht="21" customHeight="1">
      <c r="A23" s="568">
        <v>4</v>
      </c>
      <c r="B23" s="2037" t="s">
        <v>2532</v>
      </c>
      <c r="C23" s="549"/>
      <c r="D23" s="549"/>
      <c r="E23" s="549"/>
      <c r="F23" s="549"/>
      <c r="G23" s="546"/>
      <c r="H23" s="549"/>
      <c r="I23" s="546"/>
      <c r="J23" s="549"/>
      <c r="K23" s="549"/>
      <c r="L23" s="549"/>
      <c r="M23" s="549"/>
      <c r="N23" s="549"/>
      <c r="O23" s="549"/>
      <c r="P23" s="549"/>
      <c r="Q23" s="549"/>
      <c r="R23" s="549"/>
      <c r="S23" s="549"/>
      <c r="T23" s="547"/>
      <c r="U23" s="542"/>
      <c r="V23" s="542"/>
    </row>
    <row r="24" spans="1:22" s="570" customFormat="1" ht="21" customHeight="1">
      <c r="A24" s="568">
        <v>5</v>
      </c>
      <c r="B24" s="2037" t="s">
        <v>2533</v>
      </c>
      <c r="C24" s="549"/>
      <c r="D24" s="549"/>
      <c r="E24" s="549"/>
      <c r="F24" s="549"/>
      <c r="G24" s="546"/>
      <c r="H24" s="549"/>
      <c r="I24" s="546"/>
      <c r="J24" s="549"/>
      <c r="K24" s="549"/>
      <c r="L24" s="549"/>
      <c r="M24" s="549"/>
      <c r="N24" s="549"/>
      <c r="O24" s="549"/>
      <c r="P24" s="549"/>
      <c r="Q24" s="549"/>
      <c r="R24" s="549"/>
      <c r="S24" s="549"/>
      <c r="T24" s="547"/>
      <c r="U24" s="542"/>
      <c r="V24" s="542"/>
    </row>
    <row r="25" spans="1:22" s="570" customFormat="1" ht="21" customHeight="1">
      <c r="A25" s="568">
        <v>6</v>
      </c>
      <c r="B25" s="2037" t="s">
        <v>2534</v>
      </c>
      <c r="C25" s="549"/>
      <c r="D25" s="549"/>
      <c r="E25" s="549"/>
      <c r="F25" s="549"/>
      <c r="G25" s="546"/>
      <c r="H25" s="549"/>
      <c r="I25" s="546"/>
      <c r="J25" s="549"/>
      <c r="K25" s="549"/>
      <c r="L25" s="549"/>
      <c r="M25" s="549"/>
      <c r="N25" s="549"/>
      <c r="O25" s="549"/>
      <c r="P25" s="549"/>
      <c r="Q25" s="549"/>
      <c r="R25" s="549"/>
      <c r="S25" s="549"/>
      <c r="T25" s="547"/>
      <c r="U25" s="542"/>
      <c r="V25" s="542"/>
    </row>
    <row r="26" spans="1:22" s="570" customFormat="1" ht="21" customHeight="1">
      <c r="A26" s="568">
        <v>7</v>
      </c>
      <c r="B26" s="2037" t="s">
        <v>2535</v>
      </c>
      <c r="C26" s="549"/>
      <c r="D26" s="549"/>
      <c r="E26" s="549"/>
      <c r="F26" s="549"/>
      <c r="G26" s="546"/>
      <c r="H26" s="549"/>
      <c r="I26" s="546"/>
      <c r="J26" s="549"/>
      <c r="K26" s="549"/>
      <c r="L26" s="549"/>
      <c r="M26" s="549"/>
      <c r="N26" s="549"/>
      <c r="O26" s="549"/>
      <c r="P26" s="549"/>
      <c r="Q26" s="549"/>
      <c r="R26" s="549"/>
      <c r="S26" s="549"/>
      <c r="T26" s="547"/>
      <c r="U26" s="542"/>
      <c r="V26" s="542"/>
    </row>
    <row r="27" spans="1:22" s="570" customFormat="1" ht="21" customHeight="1">
      <c r="A27" s="568">
        <v>8</v>
      </c>
      <c r="B27" s="2038" t="s">
        <v>2536</v>
      </c>
      <c r="C27" s="549"/>
      <c r="D27" s="549"/>
      <c r="E27" s="549"/>
      <c r="F27" s="549"/>
      <c r="G27" s="546"/>
      <c r="H27" s="549"/>
      <c r="I27" s="546"/>
      <c r="J27" s="549"/>
      <c r="K27" s="549"/>
      <c r="L27" s="549"/>
      <c r="M27" s="549"/>
      <c r="N27" s="549"/>
      <c r="O27" s="549"/>
      <c r="P27" s="549"/>
      <c r="Q27" s="549"/>
      <c r="R27" s="549"/>
      <c r="S27" s="549"/>
      <c r="T27" s="547"/>
      <c r="U27" s="542"/>
      <c r="V27" s="542"/>
    </row>
    <row r="28" spans="1:22" s="570" customFormat="1" ht="21" customHeight="1">
      <c r="A28" s="568">
        <v>9</v>
      </c>
      <c r="B28" s="2038" t="s">
        <v>2537</v>
      </c>
      <c r="C28" s="549"/>
      <c r="D28" s="549"/>
      <c r="E28" s="549"/>
      <c r="F28" s="549"/>
      <c r="G28" s="546"/>
      <c r="H28" s="549"/>
      <c r="I28" s="546"/>
      <c r="J28" s="549"/>
      <c r="K28" s="549"/>
      <c r="L28" s="549"/>
      <c r="M28" s="549"/>
      <c r="N28" s="549"/>
      <c r="O28" s="549"/>
      <c r="P28" s="549"/>
      <c r="Q28" s="549"/>
      <c r="R28" s="549"/>
      <c r="S28" s="549"/>
      <c r="T28" s="547"/>
      <c r="U28" s="542"/>
      <c r="V28" s="542"/>
    </row>
    <row r="29" spans="1:22" s="570" customFormat="1" ht="21" customHeight="1">
      <c r="A29" s="568">
        <v>10</v>
      </c>
      <c r="B29" s="2037" t="s">
        <v>2492</v>
      </c>
      <c r="C29" s="547"/>
      <c r="D29" s="547"/>
      <c r="E29" s="547"/>
      <c r="F29" s="547"/>
      <c r="G29" s="547"/>
      <c r="H29" s="547"/>
      <c r="I29" s="547"/>
      <c r="J29" s="547"/>
      <c r="K29" s="547"/>
      <c r="L29" s="547"/>
      <c r="M29" s="547"/>
      <c r="N29" s="547"/>
      <c r="O29" s="547"/>
      <c r="P29" s="547"/>
      <c r="Q29" s="547"/>
      <c r="R29" s="547"/>
      <c r="S29" s="547"/>
      <c r="T29" s="547"/>
      <c r="U29" s="542"/>
      <c r="V29" s="542"/>
    </row>
    <row r="30" spans="1:22" s="574" customFormat="1" ht="21" customHeight="1">
      <c r="A30" s="573"/>
      <c r="B30" s="551" t="s">
        <v>2538</v>
      </c>
      <c r="C30" s="552"/>
      <c r="D30" s="552"/>
      <c r="E30" s="552"/>
      <c r="F30" s="552"/>
      <c r="G30" s="553"/>
      <c r="H30" s="552"/>
      <c r="I30" s="553"/>
      <c r="J30" s="552"/>
      <c r="K30" s="552"/>
      <c r="L30" s="552"/>
      <c r="M30" s="552"/>
      <c r="N30" s="552"/>
      <c r="O30" s="552"/>
      <c r="P30" s="552"/>
      <c r="Q30" s="552"/>
      <c r="R30" s="552"/>
      <c r="S30" s="552"/>
      <c r="T30" s="2039"/>
      <c r="U30" s="2033"/>
      <c r="V30" s="2033"/>
    </row>
    <row r="31" spans="1:22" s="574" customFormat="1" ht="21" customHeight="1">
      <c r="A31" s="573"/>
      <c r="B31" s="551" t="s">
        <v>2539</v>
      </c>
      <c r="C31" s="552"/>
      <c r="D31" s="552"/>
      <c r="E31" s="552"/>
      <c r="F31" s="552"/>
      <c r="G31" s="553"/>
      <c r="H31" s="552"/>
      <c r="I31" s="553"/>
      <c r="J31" s="552"/>
      <c r="K31" s="552"/>
      <c r="L31" s="552"/>
      <c r="M31" s="552"/>
      <c r="N31" s="552"/>
      <c r="O31" s="552"/>
      <c r="P31" s="552"/>
      <c r="Q31" s="552"/>
      <c r="R31" s="552"/>
      <c r="S31" s="552"/>
      <c r="T31" s="2039"/>
      <c r="U31" s="2033"/>
      <c r="V31" s="2033"/>
    </row>
    <row r="32" spans="1:22" s="574" customFormat="1" ht="21" customHeight="1">
      <c r="A32" s="573"/>
      <c r="B32" s="551" t="s">
        <v>2540</v>
      </c>
      <c r="C32" s="552"/>
      <c r="D32" s="552"/>
      <c r="E32" s="552"/>
      <c r="F32" s="552"/>
      <c r="G32" s="553"/>
      <c r="H32" s="552"/>
      <c r="I32" s="553"/>
      <c r="J32" s="552"/>
      <c r="K32" s="552"/>
      <c r="L32" s="552"/>
      <c r="M32" s="552"/>
      <c r="N32" s="552"/>
      <c r="O32" s="552"/>
      <c r="P32" s="552"/>
      <c r="Q32" s="552"/>
      <c r="R32" s="552"/>
      <c r="S32" s="552"/>
      <c r="T32" s="2039"/>
      <c r="U32" s="2033"/>
      <c r="V32" s="2033"/>
    </row>
    <row r="33" spans="1:22" s="574" customFormat="1" ht="21" customHeight="1">
      <c r="A33" s="573"/>
      <c r="B33" s="2040" t="s">
        <v>3453</v>
      </c>
      <c r="C33" s="552"/>
      <c r="D33" s="552"/>
      <c r="E33" s="552"/>
      <c r="F33" s="552"/>
      <c r="G33" s="553"/>
      <c r="H33" s="552"/>
      <c r="I33" s="553"/>
      <c r="J33" s="552"/>
      <c r="K33" s="552"/>
      <c r="L33" s="552"/>
      <c r="M33" s="552"/>
      <c r="N33" s="552"/>
      <c r="O33" s="552"/>
      <c r="P33" s="552"/>
      <c r="Q33" s="552"/>
      <c r="R33" s="552"/>
      <c r="S33" s="552"/>
      <c r="T33" s="2039"/>
      <c r="U33" s="2033"/>
      <c r="V33" s="2033"/>
    </row>
    <row r="34" spans="1:22" s="576" customFormat="1" ht="33" customHeight="1">
      <c r="A34" s="575" t="s">
        <v>65</v>
      </c>
      <c r="B34" s="2041" t="s">
        <v>2541</v>
      </c>
      <c r="C34" s="594"/>
      <c r="D34" s="594"/>
      <c r="E34" s="594"/>
      <c r="F34" s="594"/>
      <c r="G34" s="543"/>
      <c r="H34" s="594"/>
      <c r="I34" s="543"/>
      <c r="J34" s="594"/>
      <c r="K34" s="594"/>
      <c r="L34" s="594"/>
      <c r="M34" s="594"/>
      <c r="N34" s="594"/>
      <c r="O34" s="594"/>
      <c r="P34" s="594"/>
      <c r="Q34" s="594"/>
      <c r="R34" s="594"/>
      <c r="S34" s="594"/>
      <c r="T34" s="1777"/>
      <c r="U34" s="2034"/>
      <c r="V34" s="2034"/>
    </row>
    <row r="35" spans="1:22" s="576" customFormat="1" ht="33" customHeight="1">
      <c r="A35" s="575" t="s">
        <v>14</v>
      </c>
      <c r="B35" s="2041" t="s">
        <v>3476</v>
      </c>
      <c r="C35" s="594"/>
      <c r="D35" s="594"/>
      <c r="E35" s="594"/>
      <c r="F35" s="594"/>
      <c r="G35" s="543"/>
      <c r="H35" s="594"/>
      <c r="I35" s="543"/>
      <c r="J35" s="594"/>
      <c r="K35" s="594"/>
      <c r="L35" s="594"/>
      <c r="M35" s="594"/>
      <c r="N35" s="594"/>
      <c r="O35" s="594"/>
      <c r="P35" s="594"/>
      <c r="Q35" s="594"/>
      <c r="R35" s="594"/>
      <c r="S35" s="594"/>
      <c r="T35" s="1777"/>
      <c r="U35" s="2034"/>
      <c r="V35" s="2034"/>
    </row>
    <row r="36" spans="1:22" s="576" customFormat="1" ht="30.75" customHeight="1">
      <c r="A36" s="575" t="s">
        <v>18</v>
      </c>
      <c r="B36" s="2041" t="s">
        <v>2542</v>
      </c>
      <c r="C36" s="555"/>
      <c r="D36" s="555"/>
      <c r="E36" s="555"/>
      <c r="F36" s="555"/>
      <c r="G36" s="555"/>
      <c r="H36" s="555"/>
      <c r="I36" s="555"/>
      <c r="J36" s="555"/>
      <c r="K36" s="555"/>
      <c r="L36" s="555"/>
      <c r="M36" s="555"/>
      <c r="N36" s="555"/>
      <c r="O36" s="555"/>
      <c r="P36" s="555"/>
      <c r="Q36" s="555"/>
      <c r="R36" s="555"/>
      <c r="S36" s="555"/>
      <c r="T36" s="555"/>
      <c r="U36" s="2029"/>
      <c r="V36" s="2034"/>
    </row>
    <row r="37" spans="1:22" s="574" customFormat="1" ht="21" customHeight="1">
      <c r="A37" s="573"/>
      <c r="B37" s="551" t="s">
        <v>3500</v>
      </c>
      <c r="C37" s="552"/>
      <c r="D37" s="552"/>
      <c r="E37" s="552"/>
      <c r="F37" s="552"/>
      <c r="G37" s="553"/>
      <c r="H37" s="552"/>
      <c r="I37" s="553"/>
      <c r="J37" s="556"/>
      <c r="K37" s="556"/>
      <c r="L37" s="556"/>
      <c r="M37" s="556"/>
      <c r="N37" s="556"/>
      <c r="O37" s="556"/>
      <c r="P37" s="556"/>
      <c r="Q37" s="556"/>
      <c r="R37" s="556"/>
      <c r="S37" s="552"/>
      <c r="T37" s="557"/>
      <c r="U37" s="2033"/>
      <c r="V37" s="2033"/>
    </row>
    <row r="38" spans="1:22" s="574" customFormat="1" ht="21" customHeight="1">
      <c r="A38" s="573"/>
      <c r="B38" s="551" t="s">
        <v>3501</v>
      </c>
      <c r="C38" s="552"/>
      <c r="D38" s="552"/>
      <c r="E38" s="552"/>
      <c r="F38" s="552"/>
      <c r="G38" s="553"/>
      <c r="H38" s="552"/>
      <c r="I38" s="553"/>
      <c r="J38" s="556"/>
      <c r="K38" s="556"/>
      <c r="L38" s="556"/>
      <c r="M38" s="556"/>
      <c r="N38" s="556"/>
      <c r="O38" s="556"/>
      <c r="P38" s="556"/>
      <c r="Q38" s="556"/>
      <c r="R38" s="556"/>
      <c r="S38" s="552"/>
      <c r="T38" s="557"/>
      <c r="U38" s="2033"/>
      <c r="V38" s="2033"/>
    </row>
    <row r="39" spans="1:22" s="574" customFormat="1" ht="21" customHeight="1">
      <c r="A39" s="573"/>
      <c r="B39" s="551" t="s">
        <v>3502</v>
      </c>
      <c r="C39" s="552"/>
      <c r="D39" s="552"/>
      <c r="E39" s="552"/>
      <c r="F39" s="552"/>
      <c r="G39" s="553"/>
      <c r="H39" s="552"/>
      <c r="I39" s="553"/>
      <c r="J39" s="556"/>
      <c r="K39" s="556"/>
      <c r="L39" s="556"/>
      <c r="M39" s="556"/>
      <c r="N39" s="556"/>
      <c r="O39" s="556"/>
      <c r="P39" s="556"/>
      <c r="Q39" s="556"/>
      <c r="R39" s="556"/>
      <c r="S39" s="552"/>
      <c r="T39" s="557"/>
      <c r="U39" s="2033"/>
      <c r="V39" s="2033"/>
    </row>
    <row r="40" spans="1:22" s="576" customFormat="1" ht="21" customHeight="1">
      <c r="A40" s="268" t="s">
        <v>867</v>
      </c>
      <c r="B40" s="2041" t="s">
        <v>2546</v>
      </c>
      <c r="C40" s="555"/>
      <c r="D40" s="555"/>
      <c r="E40" s="555"/>
      <c r="F40" s="555"/>
      <c r="G40" s="555"/>
      <c r="H40" s="555"/>
      <c r="I40" s="555"/>
      <c r="J40" s="555"/>
      <c r="K40" s="555"/>
      <c r="L40" s="555"/>
      <c r="M40" s="555"/>
      <c r="N40" s="555"/>
      <c r="O40" s="555"/>
      <c r="P40" s="555"/>
      <c r="Q40" s="555"/>
      <c r="R40" s="555"/>
      <c r="S40" s="555"/>
      <c r="T40" s="555"/>
      <c r="U40" s="2034"/>
      <c r="V40" s="2034"/>
    </row>
    <row r="41" spans="1:22" s="574" customFormat="1" ht="21" customHeight="1">
      <c r="A41" s="573"/>
      <c r="B41" s="551" t="s">
        <v>3503</v>
      </c>
      <c r="C41" s="552"/>
      <c r="D41" s="552"/>
      <c r="E41" s="552"/>
      <c r="F41" s="552"/>
      <c r="G41" s="553"/>
      <c r="H41" s="556"/>
      <c r="I41" s="553"/>
      <c r="J41" s="556"/>
      <c r="K41" s="556"/>
      <c r="L41" s="556"/>
      <c r="M41" s="556"/>
      <c r="N41" s="556"/>
      <c r="O41" s="556"/>
      <c r="P41" s="556"/>
      <c r="Q41" s="556"/>
      <c r="R41" s="556"/>
      <c r="S41" s="552"/>
      <c r="T41" s="557"/>
      <c r="U41" s="2033"/>
      <c r="V41" s="2033"/>
    </row>
    <row r="42" spans="1:22" s="574" customFormat="1" ht="21" customHeight="1">
      <c r="A42" s="573"/>
      <c r="B42" s="551" t="s">
        <v>3504</v>
      </c>
      <c r="C42" s="552"/>
      <c r="D42" s="552"/>
      <c r="E42" s="552"/>
      <c r="F42" s="552"/>
      <c r="G42" s="553"/>
      <c r="H42" s="556"/>
      <c r="I42" s="553"/>
      <c r="J42" s="556"/>
      <c r="K42" s="556"/>
      <c r="L42" s="556"/>
      <c r="M42" s="556"/>
      <c r="N42" s="556"/>
      <c r="O42" s="556"/>
      <c r="P42" s="556"/>
      <c r="Q42" s="556"/>
      <c r="R42" s="556"/>
      <c r="S42" s="552"/>
      <c r="T42" s="557"/>
      <c r="U42" s="2033"/>
      <c r="V42" s="2033"/>
    </row>
    <row r="43" spans="1:22" s="574" customFormat="1" ht="21" customHeight="1">
      <c r="A43" s="573"/>
      <c r="B43" s="551" t="s">
        <v>3505</v>
      </c>
      <c r="C43" s="552"/>
      <c r="D43" s="552"/>
      <c r="E43" s="552"/>
      <c r="F43" s="552"/>
      <c r="G43" s="553"/>
      <c r="H43" s="556"/>
      <c r="I43" s="553"/>
      <c r="J43" s="556"/>
      <c r="K43" s="556"/>
      <c r="L43" s="556"/>
      <c r="M43" s="556"/>
      <c r="N43" s="556"/>
      <c r="O43" s="556"/>
      <c r="P43" s="556"/>
      <c r="Q43" s="556"/>
      <c r="R43" s="556"/>
      <c r="S43" s="552"/>
      <c r="T43" s="557"/>
      <c r="U43" s="2033"/>
      <c r="V43" s="2033"/>
    </row>
    <row r="44" spans="1:22" s="260" customFormat="1" ht="21" customHeight="1">
      <c r="A44" s="2024" t="s">
        <v>933</v>
      </c>
      <c r="B44" s="2042" t="s">
        <v>3477</v>
      </c>
      <c r="C44" s="594"/>
      <c r="D44" s="594"/>
      <c r="E44" s="594"/>
      <c r="F44" s="594"/>
      <c r="G44" s="555"/>
      <c r="H44" s="594"/>
      <c r="I44" s="555"/>
      <c r="J44" s="594"/>
      <c r="K44" s="594"/>
      <c r="L44" s="594"/>
      <c r="M44" s="594"/>
      <c r="N44" s="594"/>
      <c r="O44" s="594"/>
      <c r="P44" s="594"/>
      <c r="Q44" s="594"/>
      <c r="R44" s="594"/>
      <c r="S44" s="594"/>
      <c r="T44" s="555"/>
      <c r="U44" s="2034"/>
      <c r="V44" s="2034"/>
    </row>
    <row r="45" spans="1:22" s="260" customFormat="1" ht="29.25" customHeight="1">
      <c r="A45" s="2025"/>
      <c r="B45" s="1803" t="s">
        <v>2823</v>
      </c>
      <c r="C45" s="594"/>
      <c r="D45" s="594"/>
      <c r="E45" s="594"/>
      <c r="F45" s="594"/>
      <c r="G45" s="555"/>
      <c r="H45" s="594"/>
      <c r="I45" s="555"/>
      <c r="J45" s="594"/>
      <c r="K45" s="594"/>
      <c r="L45" s="594"/>
      <c r="M45" s="594"/>
      <c r="N45" s="594"/>
      <c r="O45" s="594"/>
      <c r="P45" s="594"/>
      <c r="Q45" s="594"/>
      <c r="R45" s="594"/>
      <c r="S45" s="594"/>
      <c r="T45" s="555"/>
      <c r="U45" s="2034"/>
      <c r="V45" s="2034"/>
    </row>
    <row r="46" spans="1:22" s="260" customFormat="1" ht="30" customHeight="1">
      <c r="A46" s="2025"/>
      <c r="B46" s="2026" t="s">
        <v>2824</v>
      </c>
      <c r="C46" s="594"/>
      <c r="D46" s="594"/>
      <c r="E46" s="594"/>
      <c r="F46" s="594"/>
      <c r="G46" s="555"/>
      <c r="H46" s="594"/>
      <c r="I46" s="555"/>
      <c r="J46" s="594"/>
      <c r="K46" s="594"/>
      <c r="L46" s="594"/>
      <c r="M46" s="594"/>
      <c r="N46" s="594"/>
      <c r="O46" s="594"/>
      <c r="P46" s="594"/>
      <c r="Q46" s="594"/>
      <c r="R46" s="594"/>
      <c r="S46" s="594"/>
      <c r="T46" s="555"/>
      <c r="U46" s="2034"/>
      <c r="V46" s="2034"/>
    </row>
    <row r="47" spans="1:22" s="256" customFormat="1" ht="27" customHeight="1">
      <c r="A47" s="2023"/>
      <c r="B47" s="2027" t="s">
        <v>2825</v>
      </c>
      <c r="C47" s="549"/>
      <c r="D47" s="549"/>
      <c r="E47" s="549"/>
      <c r="F47" s="549"/>
      <c r="G47" s="547"/>
      <c r="H47" s="549"/>
      <c r="I47" s="547"/>
      <c r="J47" s="549"/>
      <c r="K47" s="549"/>
      <c r="L47" s="549"/>
      <c r="M47" s="549"/>
      <c r="N47" s="549"/>
      <c r="O47" s="549"/>
      <c r="P47" s="549"/>
      <c r="Q47" s="549"/>
      <c r="R47" s="549"/>
      <c r="S47" s="549"/>
      <c r="T47" s="547"/>
      <c r="U47" s="542"/>
      <c r="V47" s="542"/>
    </row>
    <row r="49" spans="2:12">
      <c r="B49" s="2044" t="s">
        <v>21</v>
      </c>
      <c r="C49" s="2045"/>
      <c r="D49" s="2045"/>
      <c r="E49" s="2045"/>
      <c r="F49" s="312"/>
      <c r="G49" s="312"/>
      <c r="H49" s="312"/>
      <c r="I49" s="312"/>
      <c r="J49" s="312"/>
      <c r="K49" s="312"/>
      <c r="L49" s="312"/>
    </row>
    <row r="50" spans="2:12" ht="41.25" customHeight="1">
      <c r="B50" s="2046" t="s">
        <v>3487</v>
      </c>
      <c r="C50" s="2046"/>
      <c r="D50" s="2046"/>
      <c r="E50" s="2046"/>
      <c r="F50" s="2046"/>
      <c r="G50" s="2046"/>
      <c r="H50" s="2046"/>
      <c r="I50" s="2046"/>
      <c r="J50" s="2046"/>
      <c r="K50" s="2046"/>
      <c r="L50" s="2046"/>
    </row>
    <row r="51" spans="2:12" ht="38.25" customHeight="1">
      <c r="B51" s="2046" t="s">
        <v>3488</v>
      </c>
      <c r="C51" s="2046"/>
      <c r="D51" s="2046"/>
      <c r="E51" s="2046"/>
      <c r="F51" s="2046"/>
      <c r="G51" s="2046"/>
      <c r="H51" s="2046"/>
      <c r="I51" s="2046"/>
      <c r="J51" s="2046"/>
      <c r="K51" s="2046"/>
      <c r="L51" s="2046"/>
    </row>
    <row r="52" spans="2:12" ht="31.5" customHeight="1">
      <c r="B52" s="2047" t="s">
        <v>3489</v>
      </c>
      <c r="C52" s="2047"/>
      <c r="D52" s="2047"/>
      <c r="E52" s="2047"/>
      <c r="F52" s="2047"/>
      <c r="G52" s="2047"/>
      <c r="H52" s="2047"/>
      <c r="I52" s="2047"/>
      <c r="J52" s="2047"/>
      <c r="K52" s="2047"/>
      <c r="L52" s="2047"/>
    </row>
  </sheetData>
  <sheetProtection formatCells="0" formatColumns="0" formatRows="0"/>
  <mergeCells count="34">
    <mergeCell ref="S1:T1"/>
    <mergeCell ref="B50:L50"/>
    <mergeCell ref="B51:L51"/>
    <mergeCell ref="B52:L52"/>
    <mergeCell ref="S5:T5"/>
    <mergeCell ref="N8:N10"/>
    <mergeCell ref="O8:O10"/>
    <mergeCell ref="Q8:Q10"/>
    <mergeCell ref="M8:M10"/>
    <mergeCell ref="U7:U10"/>
    <mergeCell ref="V7:V10"/>
    <mergeCell ref="U6:V6"/>
    <mergeCell ref="D6:D10"/>
    <mergeCell ref="E6:E10"/>
    <mergeCell ref="A1:B1"/>
    <mergeCell ref="A2:B2"/>
    <mergeCell ref="A6:A10"/>
    <mergeCell ref="B6:B10"/>
    <mergeCell ref="C6:C10"/>
    <mergeCell ref="F6:F10"/>
    <mergeCell ref="G6:T6"/>
    <mergeCell ref="P8:P10"/>
    <mergeCell ref="G7:G10"/>
    <mergeCell ref="H7:H10"/>
    <mergeCell ref="I7:I10"/>
    <mergeCell ref="J7:S7"/>
    <mergeCell ref="T7:T10"/>
    <mergeCell ref="J8:J10"/>
    <mergeCell ref="K8:K10"/>
    <mergeCell ref="L8:L10"/>
    <mergeCell ref="A3:T3"/>
    <mergeCell ref="A4:T4"/>
    <mergeCell ref="R8:R10"/>
    <mergeCell ref="S8:S10"/>
  </mergeCells>
  <pageMargins left="0.44" right="0.19" top="0.37" bottom="0.75" header="0.3" footer="0.3"/>
  <pageSetup paperSize="9" scale="37" orientation="landscape" blackAndWhite="1" r:id="rId1"/>
  <headerFooter>
    <oddFooter>&amp;R&amp;P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A1253-4BB3-4587-B121-968B0BCE4C02}">
  <sheetPr>
    <tabColor theme="8" tint="0.79998168889431442"/>
  </sheetPr>
  <dimension ref="A1:AQ52"/>
  <sheetViews>
    <sheetView showZeros="0" topLeftCell="A28" zoomScale="85" zoomScaleNormal="85" workbookViewId="0">
      <selection activeCell="B41" sqref="B41:B43"/>
    </sheetView>
  </sheetViews>
  <sheetFormatPr defaultColWidth="9.140625" defaultRowHeight="15.75"/>
  <cols>
    <col min="1" max="1" width="5.7109375" style="285" customWidth="1"/>
    <col min="2" max="2" width="54" style="563" customWidth="1"/>
    <col min="3" max="3" width="11.140625" style="277" customWidth="1"/>
    <col min="4" max="5" width="11.140625" style="277" hidden="1" customWidth="1"/>
    <col min="6" max="6" width="13.85546875" style="562" customWidth="1"/>
    <col min="7" max="7" width="11.5703125" style="562" customWidth="1"/>
    <col min="8" max="9" width="10.85546875" style="562" customWidth="1"/>
    <col min="10" max="10" width="9.140625" style="562" customWidth="1"/>
    <col min="11" max="11" width="10.42578125" style="562" customWidth="1"/>
    <col min="12" max="12" width="9.140625" style="562" customWidth="1"/>
    <col min="13" max="13" width="11" style="562" customWidth="1"/>
    <col min="14" max="17" width="9.140625" style="562" customWidth="1"/>
    <col min="18" max="18" width="10.85546875" style="562" customWidth="1"/>
    <col min="19" max="19" width="10.7109375" style="562" customWidth="1"/>
    <col min="20" max="20" width="11.85546875" style="277" customWidth="1"/>
    <col min="21" max="21" width="19.42578125" style="277" customWidth="1"/>
    <col min="22" max="22" width="16.7109375" style="277" customWidth="1"/>
    <col min="23" max="23" width="12.5703125" style="277" customWidth="1"/>
    <col min="24" max="16384" width="9.140625" style="277"/>
  </cols>
  <sheetData>
    <row r="1" spans="1:43" ht="18.75">
      <c r="A1" s="1905" t="s">
        <v>0</v>
      </c>
      <c r="B1" s="1905"/>
      <c r="S1" s="2028"/>
      <c r="T1" s="2028"/>
      <c r="V1" s="2049" t="s">
        <v>2504</v>
      </c>
    </row>
    <row r="2" spans="1:43">
      <c r="A2" s="1905" t="s">
        <v>85</v>
      </c>
      <c r="B2" s="1905"/>
    </row>
    <row r="3" spans="1:43">
      <c r="A3" s="1895" t="s">
        <v>3498</v>
      </c>
      <c r="B3" s="1895"/>
      <c r="C3" s="1895"/>
      <c r="D3" s="1895"/>
      <c r="E3" s="1895"/>
      <c r="F3" s="1895"/>
      <c r="G3" s="1895"/>
      <c r="H3" s="1895"/>
      <c r="I3" s="1895"/>
      <c r="J3" s="1895"/>
      <c r="K3" s="1895"/>
      <c r="L3" s="1895"/>
      <c r="M3" s="1895"/>
      <c r="N3" s="1895"/>
      <c r="O3" s="1895"/>
      <c r="P3" s="1895"/>
      <c r="Q3" s="1895"/>
      <c r="R3" s="1895"/>
      <c r="S3" s="1895"/>
      <c r="T3" s="1895"/>
    </row>
    <row r="4" spans="1:43">
      <c r="A4" s="1874"/>
      <c r="B4" s="1874"/>
      <c r="C4" s="1874"/>
      <c r="D4" s="1874"/>
      <c r="E4" s="1874"/>
      <c r="F4" s="1874"/>
      <c r="G4" s="1874"/>
      <c r="H4" s="1874"/>
      <c r="I4" s="1874"/>
      <c r="J4" s="1874"/>
      <c r="K4" s="1874"/>
      <c r="L4" s="1874"/>
      <c r="M4" s="1874"/>
      <c r="N4" s="1874"/>
      <c r="O4" s="1874"/>
      <c r="P4" s="1874"/>
      <c r="Q4" s="1874"/>
      <c r="R4" s="1874"/>
      <c r="S4" s="1874"/>
      <c r="T4" s="1874"/>
    </row>
    <row r="5" spans="1:43" ht="16.5" thickBot="1">
      <c r="B5" s="1138"/>
      <c r="F5" s="601"/>
      <c r="G5" s="601"/>
      <c r="H5" s="601"/>
      <c r="I5" s="601"/>
      <c r="S5" s="2048"/>
      <c r="T5" s="2048"/>
      <c r="V5" s="2051" t="s">
        <v>2220</v>
      </c>
      <c r="W5" s="2052"/>
    </row>
    <row r="6" spans="1:43" ht="37.5" customHeight="1">
      <c r="A6" s="1906" t="s">
        <v>3</v>
      </c>
      <c r="B6" s="1909" t="s">
        <v>28</v>
      </c>
      <c r="C6" s="1896" t="s">
        <v>3403</v>
      </c>
      <c r="D6" s="1903" t="s">
        <v>2506</v>
      </c>
      <c r="E6" s="1903" t="s">
        <v>2507</v>
      </c>
      <c r="F6" s="1896" t="s">
        <v>3499</v>
      </c>
      <c r="G6" s="2043" t="s">
        <v>3495</v>
      </c>
      <c r="H6" s="1899"/>
      <c r="I6" s="1899"/>
      <c r="J6" s="1899"/>
      <c r="K6" s="1899"/>
      <c r="L6" s="1899"/>
      <c r="M6" s="1899"/>
      <c r="N6" s="1899"/>
      <c r="O6" s="1899"/>
      <c r="P6" s="1899"/>
      <c r="Q6" s="1899"/>
      <c r="R6" s="1899"/>
      <c r="S6" s="1899"/>
      <c r="T6" s="1899"/>
      <c r="U6" s="2050" t="s">
        <v>3483</v>
      </c>
      <c r="V6" s="2050"/>
    </row>
    <row r="7" spans="1:43" ht="18.75" customHeight="1">
      <c r="A7" s="1907"/>
      <c r="B7" s="1910"/>
      <c r="C7" s="1893"/>
      <c r="D7" s="1904"/>
      <c r="E7" s="1904"/>
      <c r="F7" s="1893"/>
      <c r="G7" s="1892" t="s">
        <v>2509</v>
      </c>
      <c r="H7" s="1892" t="s">
        <v>2510</v>
      </c>
      <c r="I7" s="1892" t="s">
        <v>2511</v>
      </c>
      <c r="J7" s="1900" t="s">
        <v>2512</v>
      </c>
      <c r="K7" s="1901"/>
      <c r="L7" s="1901"/>
      <c r="M7" s="1901"/>
      <c r="N7" s="1901"/>
      <c r="O7" s="1901"/>
      <c r="P7" s="1901"/>
      <c r="Q7" s="1901"/>
      <c r="R7" s="1901"/>
      <c r="S7" s="1902"/>
      <c r="T7" s="1892" t="s">
        <v>3484</v>
      </c>
      <c r="U7" s="1984" t="s">
        <v>3482</v>
      </c>
      <c r="V7" s="1984" t="s">
        <v>3081</v>
      </c>
    </row>
    <row r="8" spans="1:43" ht="37.5" customHeight="1">
      <c r="A8" s="1907"/>
      <c r="B8" s="1910"/>
      <c r="C8" s="1893"/>
      <c r="D8" s="1904"/>
      <c r="E8" s="1904"/>
      <c r="F8" s="1893"/>
      <c r="G8" s="1893"/>
      <c r="H8" s="1897"/>
      <c r="I8" s="1897"/>
      <c r="J8" s="1892" t="s">
        <v>2514</v>
      </c>
      <c r="K8" s="1892" t="s">
        <v>2515</v>
      </c>
      <c r="L8" s="1892" t="s">
        <v>2516</v>
      </c>
      <c r="M8" s="1892" t="s">
        <v>2517</v>
      </c>
      <c r="N8" s="1892" t="s">
        <v>2518</v>
      </c>
      <c r="O8" s="1892" t="s">
        <v>2519</v>
      </c>
      <c r="P8" s="1892" t="s">
        <v>2520</v>
      </c>
      <c r="Q8" s="1892" t="s">
        <v>2521</v>
      </c>
      <c r="R8" s="1892" t="s">
        <v>2522</v>
      </c>
      <c r="S8" s="1892" t="s">
        <v>2523</v>
      </c>
      <c r="T8" s="1897"/>
      <c r="U8" s="1984"/>
      <c r="V8" s="1984"/>
    </row>
    <row r="9" spans="1:43" ht="37.5" customHeight="1">
      <c r="A9" s="1907"/>
      <c r="B9" s="1910"/>
      <c r="C9" s="1893"/>
      <c r="D9" s="1904"/>
      <c r="E9" s="1904"/>
      <c r="F9" s="1893"/>
      <c r="G9" s="1893"/>
      <c r="H9" s="1897"/>
      <c r="I9" s="1897"/>
      <c r="J9" s="1893"/>
      <c r="K9" s="1893" t="s">
        <v>2524</v>
      </c>
      <c r="L9" s="1893"/>
      <c r="M9" s="1897"/>
      <c r="N9" s="1897" t="s">
        <v>2525</v>
      </c>
      <c r="O9" s="1893"/>
      <c r="P9" s="1897"/>
      <c r="Q9" s="1893"/>
      <c r="R9" s="1897"/>
      <c r="S9" s="1893"/>
      <c r="T9" s="1897"/>
      <c r="U9" s="1984"/>
      <c r="V9" s="1984"/>
    </row>
    <row r="10" spans="1:43" ht="75.75" customHeight="1">
      <c r="A10" s="1908"/>
      <c r="B10" s="1911"/>
      <c r="C10" s="1894"/>
      <c r="D10" s="1904"/>
      <c r="E10" s="1904"/>
      <c r="F10" s="1894"/>
      <c r="G10" s="1894"/>
      <c r="H10" s="1898"/>
      <c r="I10" s="1898"/>
      <c r="J10" s="1894"/>
      <c r="K10" s="1894"/>
      <c r="L10" s="1894"/>
      <c r="M10" s="1898"/>
      <c r="N10" s="1898"/>
      <c r="O10" s="1894"/>
      <c r="P10" s="1898"/>
      <c r="Q10" s="1894"/>
      <c r="R10" s="1898"/>
      <c r="S10" s="1894"/>
      <c r="T10" s="1898"/>
      <c r="U10" s="1984"/>
      <c r="V10" s="1984"/>
    </row>
    <row r="11" spans="1:43" s="256" customFormat="1">
      <c r="A11" s="564">
        <v>1</v>
      </c>
      <c r="B11" s="565" t="s">
        <v>140</v>
      </c>
      <c r="C11" s="544">
        <v>3</v>
      </c>
      <c r="D11" s="544"/>
      <c r="E11" s="544"/>
      <c r="F11" s="544">
        <v>4</v>
      </c>
      <c r="G11" s="544" t="s">
        <v>3481</v>
      </c>
      <c r="H11" s="544">
        <v>6</v>
      </c>
      <c r="I11" s="544" t="s">
        <v>3480</v>
      </c>
      <c r="J11" s="544">
        <v>8</v>
      </c>
      <c r="K11" s="544">
        <v>9</v>
      </c>
      <c r="L11" s="544">
        <v>10</v>
      </c>
      <c r="M11" s="544">
        <v>11</v>
      </c>
      <c r="N11" s="544">
        <v>12</v>
      </c>
      <c r="O11" s="544">
        <v>13</v>
      </c>
      <c r="P11" s="544">
        <v>14</v>
      </c>
      <c r="Q11" s="544">
        <v>15</v>
      </c>
      <c r="R11" s="544">
        <v>16</v>
      </c>
      <c r="S11" s="544">
        <v>17</v>
      </c>
      <c r="T11" s="544">
        <v>18</v>
      </c>
      <c r="U11" s="550" t="s">
        <v>3490</v>
      </c>
      <c r="V11" s="550" t="s">
        <v>3491</v>
      </c>
    </row>
    <row r="12" spans="1:43" s="260" customFormat="1" ht="21" customHeight="1">
      <c r="A12" s="566"/>
      <c r="B12" s="2035" t="s">
        <v>2527</v>
      </c>
      <c r="C12" s="543"/>
      <c r="D12" s="543"/>
      <c r="E12" s="543"/>
      <c r="F12" s="543"/>
      <c r="G12" s="543"/>
      <c r="H12" s="543"/>
      <c r="I12" s="543"/>
      <c r="J12" s="543"/>
      <c r="K12" s="543"/>
      <c r="L12" s="543"/>
      <c r="M12" s="543"/>
      <c r="N12" s="543"/>
      <c r="O12" s="543"/>
      <c r="P12" s="543"/>
      <c r="Q12" s="543"/>
      <c r="R12" s="543"/>
      <c r="S12" s="543"/>
      <c r="T12" s="543"/>
      <c r="U12" s="2029"/>
      <c r="V12" s="2029"/>
      <c r="W12" s="259"/>
      <c r="X12" s="259"/>
      <c r="Y12" s="259"/>
      <c r="Z12" s="259"/>
      <c r="AA12" s="259"/>
      <c r="AB12" s="259"/>
      <c r="AC12" s="259"/>
      <c r="AD12" s="259"/>
      <c r="AE12" s="259"/>
      <c r="AF12" s="259"/>
      <c r="AG12" s="259"/>
      <c r="AH12" s="259"/>
      <c r="AI12" s="259"/>
      <c r="AJ12" s="259"/>
      <c r="AK12" s="259"/>
      <c r="AL12" s="259"/>
      <c r="AM12" s="259"/>
      <c r="AN12" s="259"/>
      <c r="AO12" s="259"/>
      <c r="AP12" s="259"/>
      <c r="AQ12" s="259"/>
    </row>
    <row r="13" spans="1:43" s="260" customFormat="1" ht="21" customHeight="1">
      <c r="A13" s="566" t="s">
        <v>13</v>
      </c>
      <c r="B13" s="2035" t="s">
        <v>2528</v>
      </c>
      <c r="C13" s="543"/>
      <c r="D13" s="543"/>
      <c r="E13" s="543"/>
      <c r="F13" s="543"/>
      <c r="G13" s="543"/>
      <c r="H13" s="543"/>
      <c r="I13" s="543"/>
      <c r="J13" s="543"/>
      <c r="K13" s="543"/>
      <c r="L13" s="543"/>
      <c r="M13" s="543"/>
      <c r="N13" s="543"/>
      <c r="O13" s="543"/>
      <c r="P13" s="543"/>
      <c r="Q13" s="543"/>
      <c r="R13" s="543"/>
      <c r="S13" s="543"/>
      <c r="T13" s="543"/>
      <c r="U13" s="2029"/>
      <c r="V13" s="2029"/>
      <c r="W13" s="259"/>
      <c r="X13" s="259"/>
      <c r="Y13" s="259"/>
      <c r="Z13" s="259"/>
      <c r="AA13" s="259"/>
      <c r="AB13" s="259"/>
      <c r="AC13" s="259"/>
      <c r="AD13" s="259"/>
      <c r="AE13" s="259"/>
      <c r="AF13" s="259"/>
      <c r="AG13" s="259"/>
      <c r="AH13" s="259"/>
      <c r="AI13" s="259"/>
      <c r="AJ13" s="259"/>
      <c r="AK13" s="259"/>
      <c r="AL13" s="259"/>
      <c r="AM13" s="259"/>
      <c r="AN13" s="259"/>
      <c r="AO13" s="259"/>
      <c r="AP13" s="259"/>
      <c r="AQ13" s="259"/>
    </row>
    <row r="14" spans="1:43" s="256" customFormat="1" ht="21" customHeight="1">
      <c r="A14" s="567"/>
      <c r="B14" s="2036" t="s">
        <v>2512</v>
      </c>
      <c r="C14" s="545"/>
      <c r="D14" s="545"/>
      <c r="E14" s="545"/>
      <c r="F14" s="545"/>
      <c r="G14" s="546"/>
      <c r="H14" s="545"/>
      <c r="I14" s="546"/>
      <c r="J14" s="545"/>
      <c r="K14" s="545"/>
      <c r="L14" s="545"/>
      <c r="M14" s="545"/>
      <c r="N14" s="545"/>
      <c r="O14" s="545"/>
      <c r="P14" s="545"/>
      <c r="Q14" s="545"/>
      <c r="R14" s="545"/>
      <c r="S14" s="545"/>
      <c r="T14" s="546"/>
      <c r="U14" s="2030"/>
      <c r="V14" s="2030"/>
      <c r="W14" s="255"/>
      <c r="X14" s="255"/>
      <c r="Y14" s="255"/>
      <c r="Z14" s="255"/>
      <c r="AA14" s="255"/>
      <c r="AB14" s="255"/>
      <c r="AC14" s="255"/>
      <c r="AD14" s="255"/>
      <c r="AE14" s="255"/>
      <c r="AF14" s="255"/>
      <c r="AG14" s="255"/>
      <c r="AH14" s="255"/>
      <c r="AI14" s="255"/>
      <c r="AJ14" s="255"/>
      <c r="AK14" s="255"/>
      <c r="AL14" s="255"/>
      <c r="AM14" s="255"/>
      <c r="AN14" s="255"/>
      <c r="AO14" s="255"/>
      <c r="AP14" s="255"/>
      <c r="AQ14" s="255"/>
    </row>
    <row r="15" spans="1:43" s="570" customFormat="1" ht="21" customHeight="1">
      <c r="A15" s="568">
        <v>1</v>
      </c>
      <c r="B15" s="2037" t="s">
        <v>2489</v>
      </c>
      <c r="C15" s="549"/>
      <c r="D15" s="549"/>
      <c r="E15" s="549"/>
      <c r="F15" s="549"/>
      <c r="G15" s="547"/>
      <c r="H15" s="549"/>
      <c r="I15" s="547"/>
      <c r="J15" s="549"/>
      <c r="K15" s="549"/>
      <c r="L15" s="549"/>
      <c r="M15" s="549"/>
      <c r="N15" s="549"/>
      <c r="O15" s="549"/>
      <c r="P15" s="549"/>
      <c r="Q15" s="549"/>
      <c r="R15" s="549"/>
      <c r="S15" s="549"/>
      <c r="T15" s="547"/>
      <c r="U15" s="2030"/>
      <c r="V15" s="2030"/>
      <c r="W15" s="569"/>
      <c r="X15" s="569"/>
      <c r="Y15" s="569"/>
      <c r="Z15" s="569"/>
      <c r="AA15" s="569"/>
      <c r="AB15" s="569"/>
      <c r="AC15" s="569"/>
      <c r="AD15" s="569"/>
      <c r="AE15" s="569"/>
      <c r="AF15" s="569"/>
      <c r="AG15" s="569"/>
      <c r="AH15" s="569"/>
      <c r="AI15" s="569"/>
      <c r="AJ15" s="569"/>
      <c r="AK15" s="569"/>
      <c r="AL15" s="569"/>
      <c r="AM15" s="569"/>
      <c r="AN15" s="569"/>
      <c r="AO15" s="569"/>
      <c r="AP15" s="569"/>
      <c r="AQ15" s="569"/>
    </row>
    <row r="16" spans="1:43" s="570" customFormat="1" ht="21" customHeight="1">
      <c r="A16" s="568"/>
      <c r="B16" s="548" t="s">
        <v>2490</v>
      </c>
      <c r="C16" s="549"/>
      <c r="D16" s="549"/>
      <c r="E16" s="549"/>
      <c r="F16" s="549"/>
      <c r="G16" s="546"/>
      <c r="H16" s="549"/>
      <c r="I16" s="546"/>
      <c r="J16" s="549"/>
      <c r="K16" s="549"/>
      <c r="L16" s="549"/>
      <c r="M16" s="549"/>
      <c r="N16" s="549"/>
      <c r="O16" s="549"/>
      <c r="P16" s="549"/>
      <c r="Q16" s="549"/>
      <c r="R16" s="549"/>
      <c r="S16" s="549"/>
      <c r="T16" s="547"/>
      <c r="U16" s="542"/>
      <c r="V16" s="542"/>
    </row>
    <row r="17" spans="1:22" s="572" customFormat="1" ht="21" customHeight="1">
      <c r="A17" s="571"/>
      <c r="B17" s="551" t="s">
        <v>2529</v>
      </c>
      <c r="C17" s="549"/>
      <c r="D17" s="549"/>
      <c r="E17" s="549"/>
      <c r="F17" s="549"/>
      <c r="G17" s="546"/>
      <c r="H17" s="549"/>
      <c r="I17" s="546"/>
      <c r="J17" s="549"/>
      <c r="K17" s="549"/>
      <c r="L17" s="549"/>
      <c r="M17" s="549"/>
      <c r="N17" s="549"/>
      <c r="O17" s="549"/>
      <c r="P17" s="549"/>
      <c r="Q17" s="549"/>
      <c r="R17" s="549"/>
      <c r="S17" s="549"/>
      <c r="T17" s="547"/>
      <c r="U17" s="2031"/>
      <c r="V17" s="2032"/>
    </row>
    <row r="18" spans="1:22" s="572" customFormat="1" ht="21" customHeight="1">
      <c r="A18" s="571"/>
      <c r="B18" s="548" t="s">
        <v>2491</v>
      </c>
      <c r="C18" s="549"/>
      <c r="D18" s="549"/>
      <c r="E18" s="549"/>
      <c r="F18" s="549"/>
      <c r="G18" s="546"/>
      <c r="H18" s="549"/>
      <c r="I18" s="546"/>
      <c r="J18" s="549"/>
      <c r="K18" s="549"/>
      <c r="L18" s="549"/>
      <c r="M18" s="549"/>
      <c r="N18" s="549"/>
      <c r="O18" s="549"/>
      <c r="P18" s="549"/>
      <c r="Q18" s="549"/>
      <c r="R18" s="549"/>
      <c r="S18" s="549"/>
      <c r="T18" s="547"/>
      <c r="U18" s="2032"/>
      <c r="V18" s="2032"/>
    </row>
    <row r="19" spans="1:22" s="572" customFormat="1" ht="21" customHeight="1">
      <c r="A19" s="571"/>
      <c r="B19" s="551" t="s">
        <v>2529</v>
      </c>
      <c r="C19" s="549"/>
      <c r="D19" s="549"/>
      <c r="E19" s="549"/>
      <c r="F19" s="549"/>
      <c r="G19" s="546"/>
      <c r="H19" s="549"/>
      <c r="I19" s="546"/>
      <c r="J19" s="549"/>
      <c r="K19" s="549"/>
      <c r="L19" s="549"/>
      <c r="M19" s="549"/>
      <c r="N19" s="549"/>
      <c r="O19" s="549"/>
      <c r="P19" s="549"/>
      <c r="Q19" s="549"/>
      <c r="R19" s="549"/>
      <c r="S19" s="549"/>
      <c r="T19" s="547"/>
      <c r="U19" s="2032"/>
      <c r="V19" s="2032"/>
    </row>
    <row r="20" spans="1:22" s="570" customFormat="1" ht="21" customHeight="1">
      <c r="A20" s="568">
        <v>2</v>
      </c>
      <c r="B20" s="2037" t="s">
        <v>2237</v>
      </c>
      <c r="C20" s="549"/>
      <c r="D20" s="549"/>
      <c r="E20" s="549"/>
      <c r="F20" s="549"/>
      <c r="G20" s="546"/>
      <c r="H20" s="549"/>
      <c r="I20" s="546"/>
      <c r="J20" s="549"/>
      <c r="K20" s="549"/>
      <c r="L20" s="549"/>
      <c r="M20" s="549"/>
      <c r="N20" s="549"/>
      <c r="O20" s="549"/>
      <c r="P20" s="549"/>
      <c r="Q20" s="549"/>
      <c r="R20" s="549"/>
      <c r="S20" s="549"/>
      <c r="T20" s="547"/>
      <c r="U20" s="542"/>
      <c r="V20" s="542"/>
    </row>
    <row r="21" spans="1:22" s="572" customFormat="1" ht="21" customHeight="1">
      <c r="A21" s="571"/>
      <c r="B21" s="551" t="s">
        <v>2529</v>
      </c>
      <c r="C21" s="549"/>
      <c r="D21" s="549"/>
      <c r="E21" s="549"/>
      <c r="F21" s="549"/>
      <c r="G21" s="546"/>
      <c r="H21" s="549"/>
      <c r="I21" s="546"/>
      <c r="J21" s="549"/>
      <c r="K21" s="549"/>
      <c r="L21" s="549"/>
      <c r="M21" s="549"/>
      <c r="N21" s="549"/>
      <c r="O21" s="549"/>
      <c r="P21" s="549"/>
      <c r="Q21" s="549"/>
      <c r="R21" s="549"/>
      <c r="S21" s="549"/>
      <c r="T21" s="547"/>
      <c r="U21" s="2032"/>
      <c r="V21" s="2032"/>
    </row>
    <row r="22" spans="1:22" s="570" customFormat="1" ht="21" customHeight="1">
      <c r="A22" s="568">
        <v>3</v>
      </c>
      <c r="B22" s="2037" t="s">
        <v>2531</v>
      </c>
      <c r="C22" s="549"/>
      <c r="D22" s="549"/>
      <c r="E22" s="549"/>
      <c r="F22" s="549"/>
      <c r="G22" s="546"/>
      <c r="H22" s="549"/>
      <c r="I22" s="546"/>
      <c r="J22" s="549"/>
      <c r="K22" s="549"/>
      <c r="L22" s="549"/>
      <c r="M22" s="549"/>
      <c r="N22" s="549"/>
      <c r="O22" s="549"/>
      <c r="P22" s="549"/>
      <c r="Q22" s="549"/>
      <c r="R22" s="549"/>
      <c r="S22" s="549"/>
      <c r="T22" s="547"/>
      <c r="U22" s="542"/>
      <c r="V22" s="542"/>
    </row>
    <row r="23" spans="1:22" s="570" customFormat="1" ht="21" customHeight="1">
      <c r="A23" s="568">
        <v>4</v>
      </c>
      <c r="B23" s="2037" t="s">
        <v>2532</v>
      </c>
      <c r="C23" s="549"/>
      <c r="D23" s="549"/>
      <c r="E23" s="549"/>
      <c r="F23" s="549"/>
      <c r="G23" s="546"/>
      <c r="H23" s="549"/>
      <c r="I23" s="546"/>
      <c r="J23" s="549"/>
      <c r="K23" s="549"/>
      <c r="L23" s="549"/>
      <c r="M23" s="549"/>
      <c r="N23" s="549"/>
      <c r="O23" s="549"/>
      <c r="P23" s="549"/>
      <c r="Q23" s="549"/>
      <c r="R23" s="549"/>
      <c r="S23" s="549"/>
      <c r="T23" s="547"/>
      <c r="U23" s="542"/>
      <c r="V23" s="542"/>
    </row>
    <row r="24" spans="1:22" s="570" customFormat="1" ht="21" customHeight="1">
      <c r="A24" s="568">
        <v>5</v>
      </c>
      <c r="B24" s="2037" t="s">
        <v>2533</v>
      </c>
      <c r="C24" s="549"/>
      <c r="D24" s="549"/>
      <c r="E24" s="549"/>
      <c r="F24" s="549"/>
      <c r="G24" s="546"/>
      <c r="H24" s="549"/>
      <c r="I24" s="546"/>
      <c r="J24" s="549"/>
      <c r="K24" s="549"/>
      <c r="L24" s="549"/>
      <c r="M24" s="549"/>
      <c r="N24" s="549"/>
      <c r="O24" s="549"/>
      <c r="P24" s="549"/>
      <c r="Q24" s="549"/>
      <c r="R24" s="549"/>
      <c r="S24" s="549"/>
      <c r="T24" s="547"/>
      <c r="U24" s="542"/>
      <c r="V24" s="542"/>
    </row>
    <row r="25" spans="1:22" s="570" customFormat="1" ht="21" customHeight="1">
      <c r="A25" s="568">
        <v>6</v>
      </c>
      <c r="B25" s="2037" t="s">
        <v>2534</v>
      </c>
      <c r="C25" s="549"/>
      <c r="D25" s="549"/>
      <c r="E25" s="549"/>
      <c r="F25" s="549"/>
      <c r="G25" s="546"/>
      <c r="H25" s="549"/>
      <c r="I25" s="546"/>
      <c r="J25" s="549"/>
      <c r="K25" s="549"/>
      <c r="L25" s="549"/>
      <c r="M25" s="549"/>
      <c r="N25" s="549"/>
      <c r="O25" s="549"/>
      <c r="P25" s="549"/>
      <c r="Q25" s="549"/>
      <c r="R25" s="549"/>
      <c r="S25" s="549"/>
      <c r="T25" s="547"/>
      <c r="U25" s="542"/>
      <c r="V25" s="542"/>
    </row>
    <row r="26" spans="1:22" s="570" customFormat="1" ht="21" customHeight="1">
      <c r="A26" s="568">
        <v>7</v>
      </c>
      <c r="B26" s="2037" t="s">
        <v>2535</v>
      </c>
      <c r="C26" s="549"/>
      <c r="D26" s="549"/>
      <c r="E26" s="549"/>
      <c r="F26" s="549"/>
      <c r="G26" s="546"/>
      <c r="H26" s="549"/>
      <c r="I26" s="546"/>
      <c r="J26" s="549"/>
      <c r="K26" s="549"/>
      <c r="L26" s="549"/>
      <c r="M26" s="549"/>
      <c r="N26" s="549"/>
      <c r="O26" s="549"/>
      <c r="P26" s="549"/>
      <c r="Q26" s="549"/>
      <c r="R26" s="549"/>
      <c r="S26" s="549"/>
      <c r="T26" s="547"/>
      <c r="U26" s="542"/>
      <c r="V26" s="542"/>
    </row>
    <row r="27" spans="1:22" s="570" customFormat="1" ht="21" customHeight="1">
      <c r="A27" s="568">
        <v>8</v>
      </c>
      <c r="B27" s="2038" t="s">
        <v>2536</v>
      </c>
      <c r="C27" s="549"/>
      <c r="D27" s="549"/>
      <c r="E27" s="549"/>
      <c r="F27" s="549"/>
      <c r="G27" s="546"/>
      <c r="H27" s="549"/>
      <c r="I27" s="546"/>
      <c r="J27" s="549"/>
      <c r="K27" s="549"/>
      <c r="L27" s="549"/>
      <c r="M27" s="549"/>
      <c r="N27" s="549"/>
      <c r="O27" s="549"/>
      <c r="P27" s="549"/>
      <c r="Q27" s="549"/>
      <c r="R27" s="549"/>
      <c r="S27" s="549"/>
      <c r="T27" s="547"/>
      <c r="U27" s="542"/>
      <c r="V27" s="542"/>
    </row>
    <row r="28" spans="1:22" s="570" customFormat="1" ht="21" customHeight="1">
      <c r="A28" s="568">
        <v>9</v>
      </c>
      <c r="B28" s="2038" t="s">
        <v>2537</v>
      </c>
      <c r="C28" s="549"/>
      <c r="D28" s="549"/>
      <c r="E28" s="549"/>
      <c r="F28" s="549"/>
      <c r="G28" s="546"/>
      <c r="H28" s="549"/>
      <c r="I28" s="546"/>
      <c r="J28" s="549"/>
      <c r="K28" s="549"/>
      <c r="L28" s="549"/>
      <c r="M28" s="549"/>
      <c r="N28" s="549"/>
      <c r="O28" s="549"/>
      <c r="P28" s="549"/>
      <c r="Q28" s="549"/>
      <c r="R28" s="549"/>
      <c r="S28" s="549"/>
      <c r="T28" s="547"/>
      <c r="U28" s="542"/>
      <c r="V28" s="542"/>
    </row>
    <row r="29" spans="1:22" s="570" customFormat="1" ht="21" customHeight="1">
      <c r="A29" s="568">
        <v>10</v>
      </c>
      <c r="B29" s="2037" t="s">
        <v>2492</v>
      </c>
      <c r="C29" s="547"/>
      <c r="D29" s="547"/>
      <c r="E29" s="547"/>
      <c r="F29" s="547"/>
      <c r="G29" s="547"/>
      <c r="H29" s="547"/>
      <c r="I29" s="547"/>
      <c r="J29" s="547"/>
      <c r="K29" s="547"/>
      <c r="L29" s="547"/>
      <c r="M29" s="547"/>
      <c r="N29" s="547"/>
      <c r="O29" s="547"/>
      <c r="P29" s="547"/>
      <c r="Q29" s="547"/>
      <c r="R29" s="547"/>
      <c r="S29" s="547"/>
      <c r="T29" s="547"/>
      <c r="U29" s="542"/>
      <c r="V29" s="542"/>
    </row>
    <row r="30" spans="1:22" s="574" customFormat="1" ht="21" customHeight="1">
      <c r="A30" s="573"/>
      <c r="B30" s="551" t="s">
        <v>2538</v>
      </c>
      <c r="C30" s="552"/>
      <c r="D30" s="552"/>
      <c r="E30" s="552"/>
      <c r="F30" s="552"/>
      <c r="G30" s="553"/>
      <c r="H30" s="552"/>
      <c r="I30" s="553"/>
      <c r="J30" s="552"/>
      <c r="K30" s="552"/>
      <c r="L30" s="552"/>
      <c r="M30" s="552"/>
      <c r="N30" s="552"/>
      <c r="O30" s="552"/>
      <c r="P30" s="552"/>
      <c r="Q30" s="552"/>
      <c r="R30" s="552"/>
      <c r="S30" s="552"/>
      <c r="T30" s="2039"/>
      <c r="U30" s="2033"/>
      <c r="V30" s="2033"/>
    </row>
    <row r="31" spans="1:22" s="574" customFormat="1" ht="21" customHeight="1">
      <c r="A31" s="573"/>
      <c r="B31" s="551" t="s">
        <v>2539</v>
      </c>
      <c r="C31" s="552"/>
      <c r="D31" s="552"/>
      <c r="E31" s="552"/>
      <c r="F31" s="552"/>
      <c r="G31" s="553"/>
      <c r="H31" s="552"/>
      <c r="I31" s="553"/>
      <c r="J31" s="552"/>
      <c r="K31" s="552"/>
      <c r="L31" s="552"/>
      <c r="M31" s="552"/>
      <c r="N31" s="552"/>
      <c r="O31" s="552"/>
      <c r="P31" s="552"/>
      <c r="Q31" s="552"/>
      <c r="R31" s="552"/>
      <c r="S31" s="552"/>
      <c r="T31" s="2039"/>
      <c r="U31" s="2033"/>
      <c r="V31" s="2033"/>
    </row>
    <row r="32" spans="1:22" s="574" customFormat="1" ht="21" customHeight="1">
      <c r="A32" s="573"/>
      <c r="B32" s="551" t="s">
        <v>2540</v>
      </c>
      <c r="C32" s="552"/>
      <c r="D32" s="552"/>
      <c r="E32" s="552"/>
      <c r="F32" s="552"/>
      <c r="G32" s="553"/>
      <c r="H32" s="552"/>
      <c r="I32" s="553"/>
      <c r="J32" s="552"/>
      <c r="K32" s="552"/>
      <c r="L32" s="552"/>
      <c r="M32" s="552"/>
      <c r="N32" s="552"/>
      <c r="O32" s="552"/>
      <c r="P32" s="552"/>
      <c r="Q32" s="552"/>
      <c r="R32" s="552"/>
      <c r="S32" s="552"/>
      <c r="T32" s="2039"/>
      <c r="U32" s="2033"/>
      <c r="V32" s="2033"/>
    </row>
    <row r="33" spans="1:22" s="574" customFormat="1" ht="21" customHeight="1">
      <c r="A33" s="573"/>
      <c r="B33" s="2040" t="s">
        <v>3453</v>
      </c>
      <c r="C33" s="552"/>
      <c r="D33" s="552"/>
      <c r="E33" s="552"/>
      <c r="F33" s="552"/>
      <c r="G33" s="553"/>
      <c r="H33" s="552"/>
      <c r="I33" s="553"/>
      <c r="J33" s="552"/>
      <c r="K33" s="552"/>
      <c r="L33" s="552"/>
      <c r="M33" s="552"/>
      <c r="N33" s="552"/>
      <c r="O33" s="552"/>
      <c r="P33" s="552"/>
      <c r="Q33" s="552"/>
      <c r="R33" s="552"/>
      <c r="S33" s="552"/>
      <c r="T33" s="2039"/>
      <c r="U33" s="2033"/>
      <c r="V33" s="2033"/>
    </row>
    <row r="34" spans="1:22" s="576" customFormat="1" ht="33" customHeight="1">
      <c r="A34" s="575" t="s">
        <v>65</v>
      </c>
      <c r="B34" s="2041" t="s">
        <v>2541</v>
      </c>
      <c r="C34" s="594"/>
      <c r="D34" s="594"/>
      <c r="E34" s="594"/>
      <c r="F34" s="594"/>
      <c r="G34" s="543"/>
      <c r="H34" s="594"/>
      <c r="I34" s="543"/>
      <c r="J34" s="594"/>
      <c r="K34" s="594"/>
      <c r="L34" s="594"/>
      <c r="M34" s="594"/>
      <c r="N34" s="594"/>
      <c r="O34" s="594"/>
      <c r="P34" s="594"/>
      <c r="Q34" s="594"/>
      <c r="R34" s="594"/>
      <c r="S34" s="594"/>
      <c r="T34" s="1777"/>
      <c r="U34" s="2034"/>
      <c r="V34" s="2034"/>
    </row>
    <row r="35" spans="1:22" s="576" customFormat="1" ht="33" customHeight="1">
      <c r="A35" s="575" t="s">
        <v>14</v>
      </c>
      <c r="B35" s="2041" t="s">
        <v>3476</v>
      </c>
      <c r="C35" s="594"/>
      <c r="D35" s="594"/>
      <c r="E35" s="594"/>
      <c r="F35" s="594"/>
      <c r="G35" s="543"/>
      <c r="H35" s="594"/>
      <c r="I35" s="543"/>
      <c r="J35" s="594"/>
      <c r="K35" s="594"/>
      <c r="L35" s="594"/>
      <c r="M35" s="594"/>
      <c r="N35" s="594"/>
      <c r="O35" s="594"/>
      <c r="P35" s="594"/>
      <c r="Q35" s="594"/>
      <c r="R35" s="594"/>
      <c r="S35" s="594"/>
      <c r="T35" s="1777"/>
      <c r="U35" s="2034"/>
      <c r="V35" s="2034"/>
    </row>
    <row r="36" spans="1:22" s="576" customFormat="1" ht="30.75" customHeight="1">
      <c r="A36" s="575" t="s">
        <v>18</v>
      </c>
      <c r="B36" s="2041" t="s">
        <v>2542</v>
      </c>
      <c r="C36" s="555"/>
      <c r="D36" s="555"/>
      <c r="E36" s="555"/>
      <c r="F36" s="555"/>
      <c r="G36" s="555"/>
      <c r="H36" s="555"/>
      <c r="I36" s="555"/>
      <c r="J36" s="555"/>
      <c r="K36" s="555"/>
      <c r="L36" s="555"/>
      <c r="M36" s="555"/>
      <c r="N36" s="555"/>
      <c r="O36" s="555"/>
      <c r="P36" s="555"/>
      <c r="Q36" s="555"/>
      <c r="R36" s="555"/>
      <c r="S36" s="555"/>
      <c r="T36" s="555"/>
      <c r="U36" s="2029"/>
      <c r="V36" s="2034"/>
    </row>
    <row r="37" spans="1:22" s="574" customFormat="1" ht="21" customHeight="1">
      <c r="A37" s="573"/>
      <c r="B37" s="551" t="s">
        <v>3500</v>
      </c>
      <c r="C37" s="552"/>
      <c r="D37" s="552"/>
      <c r="E37" s="552"/>
      <c r="F37" s="552"/>
      <c r="G37" s="553"/>
      <c r="H37" s="552"/>
      <c r="I37" s="553"/>
      <c r="J37" s="556"/>
      <c r="K37" s="556"/>
      <c r="L37" s="556"/>
      <c r="M37" s="556"/>
      <c r="N37" s="556"/>
      <c r="O37" s="556"/>
      <c r="P37" s="556"/>
      <c r="Q37" s="556"/>
      <c r="R37" s="556"/>
      <c r="S37" s="552"/>
      <c r="T37" s="557"/>
      <c r="U37" s="2033"/>
      <c r="V37" s="2033"/>
    </row>
    <row r="38" spans="1:22" s="574" customFormat="1" ht="21" customHeight="1">
      <c r="A38" s="573"/>
      <c r="B38" s="551" t="s">
        <v>3501</v>
      </c>
      <c r="C38" s="552"/>
      <c r="D38" s="552"/>
      <c r="E38" s="552"/>
      <c r="F38" s="552"/>
      <c r="G38" s="553"/>
      <c r="H38" s="552"/>
      <c r="I38" s="553"/>
      <c r="J38" s="556"/>
      <c r="K38" s="556"/>
      <c r="L38" s="556"/>
      <c r="M38" s="556"/>
      <c r="N38" s="556"/>
      <c r="O38" s="556"/>
      <c r="P38" s="556"/>
      <c r="Q38" s="556"/>
      <c r="R38" s="556"/>
      <c r="S38" s="552"/>
      <c r="T38" s="557"/>
      <c r="U38" s="2033"/>
      <c r="V38" s="2033"/>
    </row>
    <row r="39" spans="1:22" s="574" customFormat="1" ht="21" customHeight="1">
      <c r="A39" s="573"/>
      <c r="B39" s="551" t="s">
        <v>3502</v>
      </c>
      <c r="C39" s="552"/>
      <c r="D39" s="552"/>
      <c r="E39" s="552"/>
      <c r="F39" s="552"/>
      <c r="G39" s="553"/>
      <c r="H39" s="552"/>
      <c r="I39" s="553"/>
      <c r="J39" s="556"/>
      <c r="K39" s="556"/>
      <c r="L39" s="556"/>
      <c r="M39" s="556"/>
      <c r="N39" s="556"/>
      <c r="O39" s="556"/>
      <c r="P39" s="556"/>
      <c r="Q39" s="556"/>
      <c r="R39" s="556"/>
      <c r="S39" s="552"/>
      <c r="T39" s="557"/>
      <c r="U39" s="2033"/>
      <c r="V39" s="2033"/>
    </row>
    <row r="40" spans="1:22" s="576" customFormat="1" ht="21" customHeight="1">
      <c r="A40" s="268" t="s">
        <v>867</v>
      </c>
      <c r="B40" s="2041" t="s">
        <v>2546</v>
      </c>
      <c r="C40" s="555"/>
      <c r="D40" s="555"/>
      <c r="E40" s="555"/>
      <c r="F40" s="555"/>
      <c r="G40" s="555"/>
      <c r="H40" s="555"/>
      <c r="I40" s="555"/>
      <c r="J40" s="555"/>
      <c r="K40" s="555"/>
      <c r="L40" s="555"/>
      <c r="M40" s="555"/>
      <c r="N40" s="555"/>
      <c r="O40" s="555"/>
      <c r="P40" s="555"/>
      <c r="Q40" s="555"/>
      <c r="R40" s="555"/>
      <c r="S40" s="555"/>
      <c r="T40" s="555"/>
      <c r="U40" s="2034"/>
      <c r="V40" s="2034"/>
    </row>
    <row r="41" spans="1:22" s="574" customFormat="1" ht="21" customHeight="1">
      <c r="A41" s="573"/>
      <c r="B41" s="551" t="s">
        <v>3503</v>
      </c>
      <c r="C41" s="552"/>
      <c r="D41" s="552"/>
      <c r="E41" s="552"/>
      <c r="F41" s="552"/>
      <c r="G41" s="553"/>
      <c r="H41" s="556"/>
      <c r="I41" s="553"/>
      <c r="J41" s="556"/>
      <c r="K41" s="556"/>
      <c r="L41" s="556"/>
      <c r="M41" s="556"/>
      <c r="N41" s="556"/>
      <c r="O41" s="556"/>
      <c r="P41" s="556"/>
      <c r="Q41" s="556"/>
      <c r="R41" s="556"/>
      <c r="S41" s="552"/>
      <c r="T41" s="557"/>
      <c r="U41" s="2033"/>
      <c r="V41" s="2033"/>
    </row>
    <row r="42" spans="1:22" s="574" customFormat="1" ht="21" customHeight="1">
      <c r="A42" s="573"/>
      <c r="B42" s="551" t="s">
        <v>3504</v>
      </c>
      <c r="C42" s="552"/>
      <c r="D42" s="552"/>
      <c r="E42" s="552"/>
      <c r="F42" s="552"/>
      <c r="G42" s="553"/>
      <c r="H42" s="556"/>
      <c r="I42" s="553"/>
      <c r="J42" s="556"/>
      <c r="K42" s="556"/>
      <c r="L42" s="556"/>
      <c r="M42" s="556"/>
      <c r="N42" s="556"/>
      <c r="O42" s="556"/>
      <c r="P42" s="556"/>
      <c r="Q42" s="556"/>
      <c r="R42" s="556"/>
      <c r="S42" s="552"/>
      <c r="T42" s="557"/>
      <c r="U42" s="2033"/>
      <c r="V42" s="2033"/>
    </row>
    <row r="43" spans="1:22" s="574" customFormat="1" ht="21" customHeight="1">
      <c r="A43" s="573"/>
      <c r="B43" s="551" t="s">
        <v>3505</v>
      </c>
      <c r="C43" s="552"/>
      <c r="D43" s="552"/>
      <c r="E43" s="552"/>
      <c r="F43" s="552"/>
      <c r="G43" s="553"/>
      <c r="H43" s="556"/>
      <c r="I43" s="553"/>
      <c r="J43" s="556"/>
      <c r="K43" s="556"/>
      <c r="L43" s="556"/>
      <c r="M43" s="556"/>
      <c r="N43" s="556"/>
      <c r="O43" s="556"/>
      <c r="P43" s="556"/>
      <c r="Q43" s="556"/>
      <c r="R43" s="556"/>
      <c r="S43" s="552"/>
      <c r="T43" s="557"/>
      <c r="U43" s="2033"/>
      <c r="V43" s="2033"/>
    </row>
    <row r="44" spans="1:22" s="260" customFormat="1" ht="21" customHeight="1">
      <c r="A44" s="2024" t="s">
        <v>933</v>
      </c>
      <c r="B44" s="2042" t="s">
        <v>3477</v>
      </c>
      <c r="C44" s="594"/>
      <c r="D44" s="594"/>
      <c r="E44" s="594"/>
      <c r="F44" s="594"/>
      <c r="G44" s="555"/>
      <c r="H44" s="594"/>
      <c r="I44" s="555"/>
      <c r="J44" s="594"/>
      <c r="K44" s="594"/>
      <c r="L44" s="594"/>
      <c r="M44" s="594"/>
      <c r="N44" s="594"/>
      <c r="O44" s="594"/>
      <c r="P44" s="594"/>
      <c r="Q44" s="594"/>
      <c r="R44" s="594"/>
      <c r="S44" s="594"/>
      <c r="T44" s="555"/>
      <c r="U44" s="2034"/>
      <c r="V44" s="2034"/>
    </row>
    <row r="45" spans="1:22" s="260" customFormat="1" ht="29.25" customHeight="1">
      <c r="A45" s="2025"/>
      <c r="B45" s="1803" t="s">
        <v>2823</v>
      </c>
      <c r="C45" s="594"/>
      <c r="D45" s="594"/>
      <c r="E45" s="594"/>
      <c r="F45" s="594"/>
      <c r="G45" s="555"/>
      <c r="H45" s="594"/>
      <c r="I45" s="555"/>
      <c r="J45" s="594"/>
      <c r="K45" s="594"/>
      <c r="L45" s="594"/>
      <c r="M45" s="594"/>
      <c r="N45" s="594"/>
      <c r="O45" s="594"/>
      <c r="P45" s="594"/>
      <c r="Q45" s="594"/>
      <c r="R45" s="594"/>
      <c r="S45" s="594"/>
      <c r="T45" s="555"/>
      <c r="U45" s="2034"/>
      <c r="V45" s="2034"/>
    </row>
    <row r="46" spans="1:22" s="260" customFormat="1" ht="30" customHeight="1">
      <c r="A46" s="2025"/>
      <c r="B46" s="2026" t="s">
        <v>2824</v>
      </c>
      <c r="C46" s="594"/>
      <c r="D46" s="594"/>
      <c r="E46" s="594"/>
      <c r="F46" s="594"/>
      <c r="G46" s="555"/>
      <c r="H46" s="594"/>
      <c r="I46" s="555"/>
      <c r="J46" s="594"/>
      <c r="K46" s="594"/>
      <c r="L46" s="594"/>
      <c r="M46" s="594"/>
      <c r="N46" s="594"/>
      <c r="O46" s="594"/>
      <c r="P46" s="594"/>
      <c r="Q46" s="594"/>
      <c r="R46" s="594"/>
      <c r="S46" s="594"/>
      <c r="T46" s="555"/>
      <c r="U46" s="2034"/>
      <c r="V46" s="2034"/>
    </row>
    <row r="47" spans="1:22" s="256" customFormat="1" ht="27" customHeight="1">
      <c r="A47" s="2023"/>
      <c r="B47" s="2027" t="s">
        <v>2825</v>
      </c>
      <c r="C47" s="549"/>
      <c r="D47" s="549"/>
      <c r="E47" s="549"/>
      <c r="F47" s="549"/>
      <c r="G47" s="547"/>
      <c r="H47" s="549"/>
      <c r="I47" s="547"/>
      <c r="J47" s="549"/>
      <c r="K47" s="549"/>
      <c r="L47" s="549"/>
      <c r="M47" s="549"/>
      <c r="N47" s="549"/>
      <c r="O47" s="549"/>
      <c r="P47" s="549"/>
      <c r="Q47" s="549"/>
      <c r="R47" s="549"/>
      <c r="S47" s="549"/>
      <c r="T47" s="547"/>
      <c r="U47" s="542"/>
      <c r="V47" s="542"/>
    </row>
    <row r="49" spans="2:12">
      <c r="B49" s="2044" t="s">
        <v>21</v>
      </c>
      <c r="C49" s="2045"/>
      <c r="D49" s="2045"/>
      <c r="E49" s="2045"/>
      <c r="F49" s="312"/>
      <c r="G49" s="312"/>
      <c r="H49" s="312"/>
      <c r="I49" s="312"/>
      <c r="J49" s="312"/>
      <c r="K49" s="312"/>
      <c r="L49" s="312"/>
    </row>
    <row r="50" spans="2:12" ht="41.25" customHeight="1">
      <c r="B50" s="2046" t="s">
        <v>3487</v>
      </c>
      <c r="C50" s="2046"/>
      <c r="D50" s="2046"/>
      <c r="E50" s="2046"/>
      <c r="F50" s="2046"/>
      <c r="G50" s="2046"/>
      <c r="H50" s="2046"/>
      <c r="I50" s="2046"/>
      <c r="J50" s="2046"/>
      <c r="K50" s="2046"/>
      <c r="L50" s="2046"/>
    </row>
    <row r="51" spans="2:12" ht="38.25" customHeight="1">
      <c r="B51" s="2046" t="s">
        <v>3488</v>
      </c>
      <c r="C51" s="2046"/>
      <c r="D51" s="2046"/>
      <c r="E51" s="2046"/>
      <c r="F51" s="2046"/>
      <c r="G51" s="2046"/>
      <c r="H51" s="2046"/>
      <c r="I51" s="2046"/>
      <c r="J51" s="2046"/>
      <c r="K51" s="2046"/>
      <c r="L51" s="2046"/>
    </row>
    <row r="52" spans="2:12" ht="31.5" customHeight="1">
      <c r="B52" s="2047" t="s">
        <v>3489</v>
      </c>
      <c r="C52" s="2047"/>
      <c r="D52" s="2047"/>
      <c r="E52" s="2047"/>
      <c r="F52" s="2047"/>
      <c r="G52" s="2047"/>
      <c r="H52" s="2047"/>
      <c r="I52" s="2047"/>
      <c r="J52" s="2047"/>
      <c r="K52" s="2047"/>
      <c r="L52" s="2047"/>
    </row>
  </sheetData>
  <sheetProtection formatCells="0" formatColumns="0" formatRows="0"/>
  <mergeCells count="34">
    <mergeCell ref="Q8:Q10"/>
    <mergeCell ref="R8:R10"/>
    <mergeCell ref="S8:S10"/>
    <mergeCell ref="B50:L50"/>
    <mergeCell ref="B51:L51"/>
    <mergeCell ref="B52:L52"/>
    <mergeCell ref="K8:K10"/>
    <mergeCell ref="L8:L10"/>
    <mergeCell ref="M8:M10"/>
    <mergeCell ref="N8:N10"/>
    <mergeCell ref="O8:O10"/>
    <mergeCell ref="P8:P10"/>
    <mergeCell ref="G6:T6"/>
    <mergeCell ref="U6:V6"/>
    <mergeCell ref="G7:G10"/>
    <mergeCell ref="H7:H10"/>
    <mergeCell ref="I7:I10"/>
    <mergeCell ref="J7:S7"/>
    <mergeCell ref="T7:T10"/>
    <mergeCell ref="U7:U10"/>
    <mergeCell ref="V7:V10"/>
    <mergeCell ref="J8:J10"/>
    <mergeCell ref="A6:A10"/>
    <mergeCell ref="B6:B10"/>
    <mergeCell ref="C6:C10"/>
    <mergeCell ref="D6:D10"/>
    <mergeCell ref="E6:E10"/>
    <mergeCell ref="F6:F10"/>
    <mergeCell ref="A1:B1"/>
    <mergeCell ref="S1:T1"/>
    <mergeCell ref="A2:B2"/>
    <mergeCell ref="A3:T3"/>
    <mergeCell ref="A4:T4"/>
    <mergeCell ref="S5:T5"/>
  </mergeCells>
  <pageMargins left="0.44" right="0.19" top="0.37" bottom="0.75" header="0.3" footer="0.3"/>
  <pageSetup paperSize="9" scale="37" orientation="landscape" blackAndWhite="1" r:id="rId1"/>
  <headerFooter>
    <oddFooter>&amp;R&amp;P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EACA1-E6C5-4C49-84B8-607B716AC9A7}">
  <sheetPr>
    <tabColor theme="8" tint="0.79998168889431442"/>
  </sheetPr>
  <dimension ref="A1:AQ52"/>
  <sheetViews>
    <sheetView showZeros="0" tabSelected="1" topLeftCell="A25" zoomScale="85" zoomScaleNormal="85" workbookViewId="0">
      <selection activeCell="B51" sqref="B51:L51"/>
    </sheetView>
  </sheetViews>
  <sheetFormatPr defaultColWidth="9.140625" defaultRowHeight="15.75"/>
  <cols>
    <col min="1" max="1" width="5.7109375" style="285" customWidth="1"/>
    <col min="2" max="2" width="54" style="563" customWidth="1"/>
    <col min="3" max="3" width="11.140625" style="277" customWidth="1"/>
    <col min="4" max="5" width="11.140625" style="277" hidden="1" customWidth="1"/>
    <col min="6" max="6" width="13.85546875" style="562" customWidth="1"/>
    <col min="7" max="7" width="11.5703125" style="562" customWidth="1"/>
    <col min="8" max="9" width="10.85546875" style="562" customWidth="1"/>
    <col min="10" max="10" width="9.140625" style="562" customWidth="1"/>
    <col min="11" max="11" width="10.42578125" style="562" customWidth="1"/>
    <col min="12" max="12" width="9.140625" style="562" customWidth="1"/>
    <col min="13" max="13" width="11" style="562" customWidth="1"/>
    <col min="14" max="17" width="9.140625" style="562" customWidth="1"/>
    <col min="18" max="18" width="10.85546875" style="562" customWidth="1"/>
    <col min="19" max="19" width="10.7109375" style="562" customWidth="1"/>
    <col min="20" max="20" width="11.85546875" style="277" customWidth="1"/>
    <col min="21" max="21" width="19.42578125" style="277" customWidth="1"/>
    <col min="22" max="22" width="16.7109375" style="277" customWidth="1"/>
    <col min="23" max="23" width="12.5703125" style="277" customWidth="1"/>
    <col min="24" max="16384" width="9.140625" style="277"/>
  </cols>
  <sheetData>
    <row r="1" spans="1:43" ht="18.75">
      <c r="A1" s="1905" t="s">
        <v>0</v>
      </c>
      <c r="B1" s="1905"/>
      <c r="S1" s="2028"/>
      <c r="T1" s="2028"/>
      <c r="V1" s="2049" t="s">
        <v>2504</v>
      </c>
    </row>
    <row r="2" spans="1:43">
      <c r="A2" s="1905" t="s">
        <v>85</v>
      </c>
      <c r="B2" s="1905"/>
    </row>
    <row r="3" spans="1:43">
      <c r="A3" s="1895" t="s">
        <v>3497</v>
      </c>
      <c r="B3" s="1895"/>
      <c r="C3" s="1895"/>
      <c r="D3" s="1895"/>
      <c r="E3" s="1895"/>
      <c r="F3" s="1895"/>
      <c r="G3" s="1895"/>
      <c r="H3" s="1895"/>
      <c r="I3" s="1895"/>
      <c r="J3" s="1895"/>
      <c r="K3" s="1895"/>
      <c r="L3" s="1895"/>
      <c r="M3" s="1895"/>
      <c r="N3" s="1895"/>
      <c r="O3" s="1895"/>
      <c r="P3" s="1895"/>
      <c r="Q3" s="1895"/>
      <c r="R3" s="1895"/>
      <c r="S3" s="1895"/>
      <c r="T3" s="1895"/>
    </row>
    <row r="4" spans="1:43">
      <c r="A4" s="1874"/>
      <c r="B4" s="1874"/>
      <c r="C4" s="1874"/>
      <c r="D4" s="1874"/>
      <c r="E4" s="1874"/>
      <c r="F4" s="1874"/>
      <c r="G4" s="1874"/>
      <c r="H4" s="1874"/>
      <c r="I4" s="1874"/>
      <c r="J4" s="1874"/>
      <c r="K4" s="1874"/>
      <c r="L4" s="1874"/>
      <c r="M4" s="1874"/>
      <c r="N4" s="1874"/>
      <c r="O4" s="1874"/>
      <c r="P4" s="1874"/>
      <c r="Q4" s="1874"/>
      <c r="R4" s="1874"/>
      <c r="S4" s="1874"/>
      <c r="T4" s="1874"/>
    </row>
    <row r="5" spans="1:43" ht="16.5" thickBot="1">
      <c r="B5" s="1138"/>
      <c r="F5" s="601"/>
      <c r="G5" s="601"/>
      <c r="H5" s="601"/>
      <c r="I5" s="601"/>
      <c r="S5" s="2048"/>
      <c r="T5" s="2048"/>
      <c r="V5" s="2051" t="s">
        <v>2220</v>
      </c>
      <c r="W5" s="2052"/>
    </row>
    <row r="6" spans="1:43" ht="37.5" customHeight="1">
      <c r="A6" s="1906" t="s">
        <v>3</v>
      </c>
      <c r="B6" s="1909" t="s">
        <v>28</v>
      </c>
      <c r="C6" s="1896" t="s">
        <v>3492</v>
      </c>
      <c r="D6" s="1903" t="s">
        <v>2506</v>
      </c>
      <c r="E6" s="1903" t="s">
        <v>2507</v>
      </c>
      <c r="F6" s="1896" t="s">
        <v>3493</v>
      </c>
      <c r="G6" s="2043" t="s">
        <v>3496</v>
      </c>
      <c r="H6" s="1899"/>
      <c r="I6" s="1899"/>
      <c r="J6" s="1899"/>
      <c r="K6" s="1899"/>
      <c r="L6" s="1899"/>
      <c r="M6" s="1899"/>
      <c r="N6" s="1899"/>
      <c r="O6" s="1899"/>
      <c r="P6" s="1899"/>
      <c r="Q6" s="1899"/>
      <c r="R6" s="1899"/>
      <c r="S6" s="1899"/>
      <c r="T6" s="1899"/>
      <c r="U6" s="2050" t="s">
        <v>3483</v>
      </c>
      <c r="V6" s="2050"/>
    </row>
    <row r="7" spans="1:43" ht="18.75" customHeight="1">
      <c r="A7" s="1907"/>
      <c r="B7" s="1910"/>
      <c r="C7" s="1893"/>
      <c r="D7" s="1904"/>
      <c r="E7" s="1904"/>
      <c r="F7" s="1893"/>
      <c r="G7" s="1892" t="s">
        <v>2509</v>
      </c>
      <c r="H7" s="1892" t="s">
        <v>2510</v>
      </c>
      <c r="I7" s="1892" t="s">
        <v>2511</v>
      </c>
      <c r="J7" s="1900" t="s">
        <v>2512</v>
      </c>
      <c r="K7" s="1901"/>
      <c r="L7" s="1901"/>
      <c r="M7" s="1901"/>
      <c r="N7" s="1901"/>
      <c r="O7" s="1901"/>
      <c r="P7" s="1901"/>
      <c r="Q7" s="1901"/>
      <c r="R7" s="1901"/>
      <c r="S7" s="1902"/>
      <c r="T7" s="1892" t="s">
        <v>3484</v>
      </c>
      <c r="U7" s="1984" t="s">
        <v>3482</v>
      </c>
      <c r="V7" s="1984" t="s">
        <v>3081</v>
      </c>
    </row>
    <row r="8" spans="1:43" ht="37.5" customHeight="1">
      <c r="A8" s="1907"/>
      <c r="B8" s="1910"/>
      <c r="C8" s="1893"/>
      <c r="D8" s="1904"/>
      <c r="E8" s="1904"/>
      <c r="F8" s="1893"/>
      <c r="G8" s="1893"/>
      <c r="H8" s="1897"/>
      <c r="I8" s="1897"/>
      <c r="J8" s="1892" t="s">
        <v>2514</v>
      </c>
      <c r="K8" s="1892" t="s">
        <v>2515</v>
      </c>
      <c r="L8" s="1892" t="s">
        <v>2516</v>
      </c>
      <c r="M8" s="1892" t="s">
        <v>2517</v>
      </c>
      <c r="N8" s="1892" t="s">
        <v>2518</v>
      </c>
      <c r="O8" s="1892" t="s">
        <v>2519</v>
      </c>
      <c r="P8" s="1892" t="s">
        <v>2520</v>
      </c>
      <c r="Q8" s="1892" t="s">
        <v>2521</v>
      </c>
      <c r="R8" s="1892" t="s">
        <v>2522</v>
      </c>
      <c r="S8" s="1892" t="s">
        <v>2523</v>
      </c>
      <c r="T8" s="1897"/>
      <c r="U8" s="1984"/>
      <c r="V8" s="1984"/>
    </row>
    <row r="9" spans="1:43" ht="37.5" customHeight="1">
      <c r="A9" s="1907"/>
      <c r="B9" s="1910"/>
      <c r="C9" s="1893"/>
      <c r="D9" s="1904"/>
      <c r="E9" s="1904"/>
      <c r="F9" s="1893"/>
      <c r="G9" s="1893"/>
      <c r="H9" s="1897"/>
      <c r="I9" s="1897"/>
      <c r="J9" s="1893"/>
      <c r="K9" s="1893" t="s">
        <v>2524</v>
      </c>
      <c r="L9" s="1893"/>
      <c r="M9" s="1897"/>
      <c r="N9" s="1897" t="s">
        <v>2525</v>
      </c>
      <c r="O9" s="1893"/>
      <c r="P9" s="1897"/>
      <c r="Q9" s="1893"/>
      <c r="R9" s="1897"/>
      <c r="S9" s="1893"/>
      <c r="T9" s="1897"/>
      <c r="U9" s="1984"/>
      <c r="V9" s="1984"/>
    </row>
    <row r="10" spans="1:43" ht="75.75" customHeight="1">
      <c r="A10" s="1908"/>
      <c r="B10" s="1911"/>
      <c r="C10" s="1894"/>
      <c r="D10" s="1904"/>
      <c r="E10" s="1904"/>
      <c r="F10" s="1894"/>
      <c r="G10" s="1894"/>
      <c r="H10" s="1898"/>
      <c r="I10" s="1898"/>
      <c r="J10" s="1894"/>
      <c r="K10" s="1894"/>
      <c r="L10" s="1894"/>
      <c r="M10" s="1898"/>
      <c r="N10" s="1898"/>
      <c r="O10" s="1894"/>
      <c r="P10" s="1898"/>
      <c r="Q10" s="1894"/>
      <c r="R10" s="1898"/>
      <c r="S10" s="1894"/>
      <c r="T10" s="1898"/>
      <c r="U10" s="1984"/>
      <c r="V10" s="1984"/>
    </row>
    <row r="11" spans="1:43" s="256" customFormat="1">
      <c r="A11" s="564">
        <v>1</v>
      </c>
      <c r="B11" s="565" t="s">
        <v>140</v>
      </c>
      <c r="C11" s="544">
        <v>3</v>
      </c>
      <c r="D11" s="544"/>
      <c r="E11" s="544"/>
      <c r="F11" s="544">
        <v>4</v>
      </c>
      <c r="G11" s="544" t="s">
        <v>3481</v>
      </c>
      <c r="H11" s="544">
        <v>6</v>
      </c>
      <c r="I11" s="544" t="s">
        <v>3480</v>
      </c>
      <c r="J11" s="544">
        <v>8</v>
      </c>
      <c r="K11" s="544">
        <v>9</v>
      </c>
      <c r="L11" s="544">
        <v>10</v>
      </c>
      <c r="M11" s="544">
        <v>11</v>
      </c>
      <c r="N11" s="544">
        <v>12</v>
      </c>
      <c r="O11" s="544">
        <v>13</v>
      </c>
      <c r="P11" s="544">
        <v>14</v>
      </c>
      <c r="Q11" s="544">
        <v>15</v>
      </c>
      <c r="R11" s="544">
        <v>16</v>
      </c>
      <c r="S11" s="544">
        <v>17</v>
      </c>
      <c r="T11" s="544">
        <v>18</v>
      </c>
      <c r="U11" s="550" t="s">
        <v>3490</v>
      </c>
      <c r="V11" s="550" t="s">
        <v>3491</v>
      </c>
    </row>
    <row r="12" spans="1:43" s="260" customFormat="1" ht="21" customHeight="1">
      <c r="A12" s="566"/>
      <c r="B12" s="2035" t="s">
        <v>2527</v>
      </c>
      <c r="C12" s="543"/>
      <c r="D12" s="543"/>
      <c r="E12" s="543"/>
      <c r="F12" s="543"/>
      <c r="G12" s="543"/>
      <c r="H12" s="543"/>
      <c r="I12" s="543"/>
      <c r="J12" s="543"/>
      <c r="K12" s="543"/>
      <c r="L12" s="543"/>
      <c r="M12" s="543"/>
      <c r="N12" s="543"/>
      <c r="O12" s="543"/>
      <c r="P12" s="543"/>
      <c r="Q12" s="543"/>
      <c r="R12" s="543"/>
      <c r="S12" s="543"/>
      <c r="T12" s="543"/>
      <c r="U12" s="2029"/>
      <c r="V12" s="2029"/>
      <c r="W12" s="259"/>
      <c r="X12" s="259"/>
      <c r="Y12" s="259"/>
      <c r="Z12" s="259"/>
      <c r="AA12" s="259"/>
      <c r="AB12" s="259"/>
      <c r="AC12" s="259"/>
      <c r="AD12" s="259"/>
      <c r="AE12" s="259"/>
      <c r="AF12" s="259"/>
      <c r="AG12" s="259"/>
      <c r="AH12" s="259"/>
      <c r="AI12" s="259"/>
      <c r="AJ12" s="259"/>
      <c r="AK12" s="259"/>
      <c r="AL12" s="259"/>
      <c r="AM12" s="259"/>
      <c r="AN12" s="259"/>
      <c r="AO12" s="259"/>
      <c r="AP12" s="259"/>
      <c r="AQ12" s="259"/>
    </row>
    <row r="13" spans="1:43" s="260" customFormat="1" ht="21" customHeight="1">
      <c r="A13" s="566" t="s">
        <v>13</v>
      </c>
      <c r="B13" s="2035" t="s">
        <v>2528</v>
      </c>
      <c r="C13" s="543"/>
      <c r="D13" s="543"/>
      <c r="E13" s="543"/>
      <c r="F13" s="543"/>
      <c r="G13" s="543"/>
      <c r="H13" s="543"/>
      <c r="I13" s="543"/>
      <c r="J13" s="543"/>
      <c r="K13" s="543"/>
      <c r="L13" s="543"/>
      <c r="M13" s="543"/>
      <c r="N13" s="543"/>
      <c r="O13" s="543"/>
      <c r="P13" s="543"/>
      <c r="Q13" s="543"/>
      <c r="R13" s="543"/>
      <c r="S13" s="543"/>
      <c r="T13" s="543"/>
      <c r="U13" s="2029"/>
      <c r="V13" s="2029"/>
      <c r="W13" s="259"/>
      <c r="X13" s="259"/>
      <c r="Y13" s="259"/>
      <c r="Z13" s="259"/>
      <c r="AA13" s="259"/>
      <c r="AB13" s="259"/>
      <c r="AC13" s="259"/>
      <c r="AD13" s="259"/>
      <c r="AE13" s="259"/>
      <c r="AF13" s="259"/>
      <c r="AG13" s="259"/>
      <c r="AH13" s="259"/>
      <c r="AI13" s="259"/>
      <c r="AJ13" s="259"/>
      <c r="AK13" s="259"/>
      <c r="AL13" s="259"/>
      <c r="AM13" s="259"/>
      <c r="AN13" s="259"/>
      <c r="AO13" s="259"/>
      <c r="AP13" s="259"/>
      <c r="AQ13" s="259"/>
    </row>
    <row r="14" spans="1:43" s="256" customFormat="1" ht="21" customHeight="1">
      <c r="A14" s="567"/>
      <c r="B14" s="2036" t="s">
        <v>2512</v>
      </c>
      <c r="C14" s="545"/>
      <c r="D14" s="545"/>
      <c r="E14" s="545"/>
      <c r="F14" s="545"/>
      <c r="G14" s="546"/>
      <c r="H14" s="545"/>
      <c r="I14" s="546"/>
      <c r="J14" s="545"/>
      <c r="K14" s="545"/>
      <c r="L14" s="545"/>
      <c r="M14" s="545"/>
      <c r="N14" s="545"/>
      <c r="O14" s="545"/>
      <c r="P14" s="545"/>
      <c r="Q14" s="545"/>
      <c r="R14" s="545"/>
      <c r="S14" s="545"/>
      <c r="T14" s="546"/>
      <c r="U14" s="2030"/>
      <c r="V14" s="2030"/>
      <c r="W14" s="255"/>
      <c r="X14" s="255"/>
      <c r="Y14" s="255"/>
      <c r="Z14" s="255"/>
      <c r="AA14" s="255"/>
      <c r="AB14" s="255"/>
      <c r="AC14" s="255"/>
      <c r="AD14" s="255"/>
      <c r="AE14" s="255"/>
      <c r="AF14" s="255"/>
      <c r="AG14" s="255"/>
      <c r="AH14" s="255"/>
      <c r="AI14" s="255"/>
      <c r="AJ14" s="255"/>
      <c r="AK14" s="255"/>
      <c r="AL14" s="255"/>
      <c r="AM14" s="255"/>
      <c r="AN14" s="255"/>
      <c r="AO14" s="255"/>
      <c r="AP14" s="255"/>
      <c r="AQ14" s="255"/>
    </row>
    <row r="15" spans="1:43" s="570" customFormat="1" ht="21" customHeight="1">
      <c r="A15" s="568">
        <v>1</v>
      </c>
      <c r="B15" s="2037" t="s">
        <v>2489</v>
      </c>
      <c r="C15" s="549"/>
      <c r="D15" s="549"/>
      <c r="E15" s="549"/>
      <c r="F15" s="549"/>
      <c r="G15" s="547"/>
      <c r="H15" s="549"/>
      <c r="I15" s="547"/>
      <c r="J15" s="549"/>
      <c r="K15" s="549"/>
      <c r="L15" s="549"/>
      <c r="M15" s="549"/>
      <c r="N15" s="549"/>
      <c r="O15" s="549"/>
      <c r="P15" s="549"/>
      <c r="Q15" s="549"/>
      <c r="R15" s="549"/>
      <c r="S15" s="549"/>
      <c r="T15" s="547"/>
      <c r="U15" s="2030"/>
      <c r="V15" s="2030"/>
      <c r="W15" s="569"/>
      <c r="X15" s="569"/>
      <c r="Y15" s="569"/>
      <c r="Z15" s="569"/>
      <c r="AA15" s="569"/>
      <c r="AB15" s="569"/>
      <c r="AC15" s="569"/>
      <c r="AD15" s="569"/>
      <c r="AE15" s="569"/>
      <c r="AF15" s="569"/>
      <c r="AG15" s="569"/>
      <c r="AH15" s="569"/>
      <c r="AI15" s="569"/>
      <c r="AJ15" s="569"/>
      <c r="AK15" s="569"/>
      <c r="AL15" s="569"/>
      <c r="AM15" s="569"/>
      <c r="AN15" s="569"/>
      <c r="AO15" s="569"/>
      <c r="AP15" s="569"/>
      <c r="AQ15" s="569"/>
    </row>
    <row r="16" spans="1:43" s="570" customFormat="1" ht="21" customHeight="1">
      <c r="A16" s="568"/>
      <c r="B16" s="548" t="s">
        <v>2490</v>
      </c>
      <c r="C16" s="549"/>
      <c r="D16" s="549"/>
      <c r="E16" s="549"/>
      <c r="F16" s="549"/>
      <c r="G16" s="546"/>
      <c r="H16" s="549"/>
      <c r="I16" s="546"/>
      <c r="J16" s="549"/>
      <c r="K16" s="549"/>
      <c r="L16" s="549"/>
      <c r="M16" s="549"/>
      <c r="N16" s="549"/>
      <c r="O16" s="549"/>
      <c r="P16" s="549"/>
      <c r="Q16" s="549"/>
      <c r="R16" s="549"/>
      <c r="S16" s="549"/>
      <c r="T16" s="547"/>
      <c r="U16" s="542"/>
      <c r="V16" s="542"/>
    </row>
    <row r="17" spans="1:22" s="572" customFormat="1" ht="21" customHeight="1">
      <c r="A17" s="571"/>
      <c r="B17" s="551" t="s">
        <v>2529</v>
      </c>
      <c r="C17" s="549"/>
      <c r="D17" s="549"/>
      <c r="E17" s="549"/>
      <c r="F17" s="549"/>
      <c r="G17" s="546"/>
      <c r="H17" s="549"/>
      <c r="I17" s="546"/>
      <c r="J17" s="549"/>
      <c r="K17" s="549"/>
      <c r="L17" s="549"/>
      <c r="M17" s="549"/>
      <c r="N17" s="549"/>
      <c r="O17" s="549"/>
      <c r="P17" s="549"/>
      <c r="Q17" s="549"/>
      <c r="R17" s="549"/>
      <c r="S17" s="549"/>
      <c r="T17" s="547"/>
      <c r="U17" s="2031"/>
      <c r="V17" s="2032"/>
    </row>
    <row r="18" spans="1:22" s="572" customFormat="1" ht="21" customHeight="1">
      <c r="A18" s="571"/>
      <c r="B18" s="548" t="s">
        <v>2491</v>
      </c>
      <c r="C18" s="549"/>
      <c r="D18" s="549"/>
      <c r="E18" s="549"/>
      <c r="F18" s="549"/>
      <c r="G18" s="546"/>
      <c r="H18" s="549"/>
      <c r="I18" s="546"/>
      <c r="J18" s="549"/>
      <c r="K18" s="549"/>
      <c r="L18" s="549"/>
      <c r="M18" s="549"/>
      <c r="N18" s="549"/>
      <c r="O18" s="549"/>
      <c r="P18" s="549"/>
      <c r="Q18" s="549"/>
      <c r="R18" s="549"/>
      <c r="S18" s="549"/>
      <c r="T18" s="547"/>
      <c r="U18" s="2032"/>
      <c r="V18" s="2032"/>
    </row>
    <row r="19" spans="1:22" s="572" customFormat="1" ht="21" customHeight="1">
      <c r="A19" s="571"/>
      <c r="B19" s="551" t="s">
        <v>2529</v>
      </c>
      <c r="C19" s="549"/>
      <c r="D19" s="549"/>
      <c r="E19" s="549"/>
      <c r="F19" s="549"/>
      <c r="G19" s="546"/>
      <c r="H19" s="549"/>
      <c r="I19" s="546"/>
      <c r="J19" s="549"/>
      <c r="K19" s="549"/>
      <c r="L19" s="549"/>
      <c r="M19" s="549"/>
      <c r="N19" s="549"/>
      <c r="O19" s="549"/>
      <c r="P19" s="549"/>
      <c r="Q19" s="549"/>
      <c r="R19" s="549"/>
      <c r="S19" s="549"/>
      <c r="T19" s="547"/>
      <c r="U19" s="2032"/>
      <c r="V19" s="2032"/>
    </row>
    <row r="20" spans="1:22" s="570" customFormat="1" ht="21" customHeight="1">
      <c r="A20" s="568">
        <v>2</v>
      </c>
      <c r="B20" s="2037" t="s">
        <v>2237</v>
      </c>
      <c r="C20" s="549"/>
      <c r="D20" s="549"/>
      <c r="E20" s="549"/>
      <c r="F20" s="549"/>
      <c r="G20" s="546"/>
      <c r="H20" s="549"/>
      <c r="I20" s="546"/>
      <c r="J20" s="549"/>
      <c r="K20" s="549"/>
      <c r="L20" s="549"/>
      <c r="M20" s="549"/>
      <c r="N20" s="549"/>
      <c r="O20" s="549"/>
      <c r="P20" s="549"/>
      <c r="Q20" s="549"/>
      <c r="R20" s="549"/>
      <c r="S20" s="549"/>
      <c r="T20" s="547"/>
      <c r="U20" s="542"/>
      <c r="V20" s="542"/>
    </row>
    <row r="21" spans="1:22" s="572" customFormat="1" ht="21" customHeight="1">
      <c r="A21" s="571"/>
      <c r="B21" s="551" t="s">
        <v>2529</v>
      </c>
      <c r="C21" s="549"/>
      <c r="D21" s="549"/>
      <c r="E21" s="549"/>
      <c r="F21" s="549"/>
      <c r="G21" s="546"/>
      <c r="H21" s="549"/>
      <c r="I21" s="546"/>
      <c r="J21" s="549"/>
      <c r="K21" s="549"/>
      <c r="L21" s="549"/>
      <c r="M21" s="549"/>
      <c r="N21" s="549"/>
      <c r="O21" s="549"/>
      <c r="P21" s="549"/>
      <c r="Q21" s="549"/>
      <c r="R21" s="549"/>
      <c r="S21" s="549"/>
      <c r="T21" s="547"/>
      <c r="U21" s="2032"/>
      <c r="V21" s="2032"/>
    </row>
    <row r="22" spans="1:22" s="570" customFormat="1" ht="21" customHeight="1">
      <c r="A22" s="568">
        <v>3</v>
      </c>
      <c r="B22" s="2037" t="s">
        <v>2531</v>
      </c>
      <c r="C22" s="549"/>
      <c r="D22" s="549"/>
      <c r="E22" s="549"/>
      <c r="F22" s="549"/>
      <c r="G22" s="546"/>
      <c r="H22" s="549"/>
      <c r="I22" s="546"/>
      <c r="J22" s="549"/>
      <c r="K22" s="549"/>
      <c r="L22" s="549"/>
      <c r="M22" s="549"/>
      <c r="N22" s="549"/>
      <c r="O22" s="549"/>
      <c r="P22" s="549"/>
      <c r="Q22" s="549"/>
      <c r="R22" s="549"/>
      <c r="S22" s="549"/>
      <c r="T22" s="547"/>
      <c r="U22" s="542"/>
      <c r="V22" s="542"/>
    </row>
    <row r="23" spans="1:22" s="570" customFormat="1" ht="21" customHeight="1">
      <c r="A23" s="568">
        <v>4</v>
      </c>
      <c r="B23" s="2037" t="s">
        <v>2532</v>
      </c>
      <c r="C23" s="549"/>
      <c r="D23" s="549"/>
      <c r="E23" s="549"/>
      <c r="F23" s="549"/>
      <c r="G23" s="546"/>
      <c r="H23" s="549"/>
      <c r="I23" s="546"/>
      <c r="J23" s="549"/>
      <c r="K23" s="549"/>
      <c r="L23" s="549"/>
      <c r="M23" s="549"/>
      <c r="N23" s="549"/>
      <c r="O23" s="549"/>
      <c r="P23" s="549"/>
      <c r="Q23" s="549"/>
      <c r="R23" s="549"/>
      <c r="S23" s="549"/>
      <c r="T23" s="547"/>
      <c r="U23" s="542"/>
      <c r="V23" s="542"/>
    </row>
    <row r="24" spans="1:22" s="570" customFormat="1" ht="21" customHeight="1">
      <c r="A24" s="568">
        <v>5</v>
      </c>
      <c r="B24" s="2037" t="s">
        <v>2533</v>
      </c>
      <c r="C24" s="549"/>
      <c r="D24" s="549"/>
      <c r="E24" s="549"/>
      <c r="F24" s="549"/>
      <c r="G24" s="546"/>
      <c r="H24" s="549"/>
      <c r="I24" s="546"/>
      <c r="J24" s="549"/>
      <c r="K24" s="549"/>
      <c r="L24" s="549"/>
      <c r="M24" s="549"/>
      <c r="N24" s="549"/>
      <c r="O24" s="549"/>
      <c r="P24" s="549"/>
      <c r="Q24" s="549"/>
      <c r="R24" s="549"/>
      <c r="S24" s="549"/>
      <c r="T24" s="547"/>
      <c r="U24" s="542"/>
      <c r="V24" s="542"/>
    </row>
    <row r="25" spans="1:22" s="570" customFormat="1" ht="21" customHeight="1">
      <c r="A25" s="568">
        <v>6</v>
      </c>
      <c r="B25" s="2037" t="s">
        <v>2534</v>
      </c>
      <c r="C25" s="549"/>
      <c r="D25" s="549"/>
      <c r="E25" s="549"/>
      <c r="F25" s="549"/>
      <c r="G25" s="546"/>
      <c r="H25" s="549"/>
      <c r="I25" s="546"/>
      <c r="J25" s="549"/>
      <c r="K25" s="549"/>
      <c r="L25" s="549"/>
      <c r="M25" s="549"/>
      <c r="N25" s="549"/>
      <c r="O25" s="549"/>
      <c r="P25" s="549"/>
      <c r="Q25" s="549"/>
      <c r="R25" s="549"/>
      <c r="S25" s="549"/>
      <c r="T25" s="547"/>
      <c r="U25" s="542"/>
      <c r="V25" s="542"/>
    </row>
    <row r="26" spans="1:22" s="570" customFormat="1" ht="21" customHeight="1">
      <c r="A26" s="568">
        <v>7</v>
      </c>
      <c r="B26" s="2037" t="s">
        <v>2535</v>
      </c>
      <c r="C26" s="549"/>
      <c r="D26" s="549"/>
      <c r="E26" s="549"/>
      <c r="F26" s="549"/>
      <c r="G26" s="546"/>
      <c r="H26" s="549"/>
      <c r="I26" s="546"/>
      <c r="J26" s="549"/>
      <c r="K26" s="549"/>
      <c r="L26" s="549"/>
      <c r="M26" s="549"/>
      <c r="N26" s="549"/>
      <c r="O26" s="549"/>
      <c r="P26" s="549"/>
      <c r="Q26" s="549"/>
      <c r="R26" s="549"/>
      <c r="S26" s="549"/>
      <c r="T26" s="547"/>
      <c r="U26" s="542"/>
      <c r="V26" s="542"/>
    </row>
    <row r="27" spans="1:22" s="570" customFormat="1" ht="21" customHeight="1">
      <c r="A27" s="568">
        <v>8</v>
      </c>
      <c r="B27" s="2038" t="s">
        <v>2536</v>
      </c>
      <c r="C27" s="549"/>
      <c r="D27" s="549"/>
      <c r="E27" s="549"/>
      <c r="F27" s="549"/>
      <c r="G27" s="546"/>
      <c r="H27" s="549"/>
      <c r="I27" s="546"/>
      <c r="J27" s="549"/>
      <c r="K27" s="549"/>
      <c r="L27" s="549"/>
      <c r="M27" s="549"/>
      <c r="N27" s="549"/>
      <c r="O27" s="549"/>
      <c r="P27" s="549"/>
      <c r="Q27" s="549"/>
      <c r="R27" s="549"/>
      <c r="S27" s="549"/>
      <c r="T27" s="547"/>
      <c r="U27" s="542"/>
      <c r="V27" s="542"/>
    </row>
    <row r="28" spans="1:22" s="570" customFormat="1" ht="21" customHeight="1">
      <c r="A28" s="568">
        <v>9</v>
      </c>
      <c r="B28" s="2038" t="s">
        <v>2537</v>
      </c>
      <c r="C28" s="549"/>
      <c r="D28" s="549"/>
      <c r="E28" s="549"/>
      <c r="F28" s="549"/>
      <c r="G28" s="546"/>
      <c r="H28" s="549"/>
      <c r="I28" s="546"/>
      <c r="J28" s="549"/>
      <c r="K28" s="549"/>
      <c r="L28" s="549"/>
      <c r="M28" s="549"/>
      <c r="N28" s="549"/>
      <c r="O28" s="549"/>
      <c r="P28" s="549"/>
      <c r="Q28" s="549"/>
      <c r="R28" s="549"/>
      <c r="S28" s="549"/>
      <c r="T28" s="547"/>
      <c r="U28" s="542"/>
      <c r="V28" s="542"/>
    </row>
    <row r="29" spans="1:22" s="570" customFormat="1" ht="21" customHeight="1">
      <c r="A29" s="568">
        <v>10</v>
      </c>
      <c r="B29" s="2037" t="s">
        <v>2492</v>
      </c>
      <c r="C29" s="547"/>
      <c r="D29" s="547"/>
      <c r="E29" s="547"/>
      <c r="F29" s="547"/>
      <c r="G29" s="547"/>
      <c r="H29" s="547"/>
      <c r="I29" s="547"/>
      <c r="J29" s="547"/>
      <c r="K29" s="547"/>
      <c r="L29" s="547"/>
      <c r="M29" s="547"/>
      <c r="N29" s="547"/>
      <c r="O29" s="547"/>
      <c r="P29" s="547"/>
      <c r="Q29" s="547"/>
      <c r="R29" s="547"/>
      <c r="S29" s="547"/>
      <c r="T29" s="547"/>
      <c r="U29" s="542"/>
      <c r="V29" s="542"/>
    </row>
    <row r="30" spans="1:22" s="574" customFormat="1" ht="21" customHeight="1">
      <c r="A30" s="573"/>
      <c r="B30" s="551" t="s">
        <v>2538</v>
      </c>
      <c r="C30" s="552"/>
      <c r="D30" s="552"/>
      <c r="E30" s="552"/>
      <c r="F30" s="552"/>
      <c r="G30" s="553"/>
      <c r="H30" s="552"/>
      <c r="I30" s="553"/>
      <c r="J30" s="552"/>
      <c r="K30" s="552"/>
      <c r="L30" s="552"/>
      <c r="M30" s="552"/>
      <c r="N30" s="552"/>
      <c r="O30" s="552"/>
      <c r="P30" s="552"/>
      <c r="Q30" s="552"/>
      <c r="R30" s="552"/>
      <c r="S30" s="552"/>
      <c r="T30" s="2039"/>
      <c r="U30" s="2033"/>
      <c r="V30" s="2033"/>
    </row>
    <row r="31" spans="1:22" s="574" customFormat="1" ht="21" customHeight="1">
      <c r="A31" s="573"/>
      <c r="B31" s="551" t="s">
        <v>2539</v>
      </c>
      <c r="C31" s="552"/>
      <c r="D31" s="552"/>
      <c r="E31" s="552"/>
      <c r="F31" s="552"/>
      <c r="G31" s="553"/>
      <c r="H31" s="552"/>
      <c r="I31" s="553"/>
      <c r="J31" s="552"/>
      <c r="K31" s="552"/>
      <c r="L31" s="552"/>
      <c r="M31" s="552"/>
      <c r="N31" s="552"/>
      <c r="O31" s="552"/>
      <c r="P31" s="552"/>
      <c r="Q31" s="552"/>
      <c r="R31" s="552"/>
      <c r="S31" s="552"/>
      <c r="T31" s="2039"/>
      <c r="U31" s="2033"/>
      <c r="V31" s="2033"/>
    </row>
    <row r="32" spans="1:22" s="574" customFormat="1" ht="21" customHeight="1">
      <c r="A32" s="573"/>
      <c r="B32" s="551" t="s">
        <v>2540</v>
      </c>
      <c r="C32" s="552"/>
      <c r="D32" s="552"/>
      <c r="E32" s="552"/>
      <c r="F32" s="552"/>
      <c r="G32" s="553"/>
      <c r="H32" s="552"/>
      <c r="I32" s="553"/>
      <c r="J32" s="552"/>
      <c r="K32" s="552"/>
      <c r="L32" s="552"/>
      <c r="M32" s="552"/>
      <c r="N32" s="552"/>
      <c r="O32" s="552"/>
      <c r="P32" s="552"/>
      <c r="Q32" s="552"/>
      <c r="R32" s="552"/>
      <c r="S32" s="552"/>
      <c r="T32" s="2039"/>
      <c r="U32" s="2033"/>
      <c r="V32" s="2033"/>
    </row>
    <row r="33" spans="1:22" s="574" customFormat="1" ht="21" customHeight="1">
      <c r="A33" s="573"/>
      <c r="B33" s="2040" t="s">
        <v>3453</v>
      </c>
      <c r="C33" s="552"/>
      <c r="D33" s="552"/>
      <c r="E33" s="552"/>
      <c r="F33" s="552"/>
      <c r="G33" s="553"/>
      <c r="H33" s="552"/>
      <c r="I33" s="553"/>
      <c r="J33" s="552"/>
      <c r="K33" s="552"/>
      <c r="L33" s="552"/>
      <c r="M33" s="552"/>
      <c r="N33" s="552"/>
      <c r="O33" s="552"/>
      <c r="P33" s="552"/>
      <c r="Q33" s="552"/>
      <c r="R33" s="552"/>
      <c r="S33" s="552"/>
      <c r="T33" s="2039"/>
      <c r="U33" s="2033"/>
      <c r="V33" s="2033"/>
    </row>
    <row r="34" spans="1:22" s="576" customFormat="1" ht="33" customHeight="1">
      <c r="A34" s="575" t="s">
        <v>65</v>
      </c>
      <c r="B34" s="2041" t="s">
        <v>2541</v>
      </c>
      <c r="C34" s="594"/>
      <c r="D34" s="594"/>
      <c r="E34" s="594"/>
      <c r="F34" s="594"/>
      <c r="G34" s="543"/>
      <c r="H34" s="594"/>
      <c r="I34" s="543"/>
      <c r="J34" s="594"/>
      <c r="K34" s="594"/>
      <c r="L34" s="594"/>
      <c r="M34" s="594"/>
      <c r="N34" s="594"/>
      <c r="O34" s="594"/>
      <c r="P34" s="594"/>
      <c r="Q34" s="594"/>
      <c r="R34" s="594"/>
      <c r="S34" s="594"/>
      <c r="T34" s="1777"/>
      <c r="U34" s="2034"/>
      <c r="V34" s="2034"/>
    </row>
    <row r="35" spans="1:22" s="576" customFormat="1" ht="33" customHeight="1">
      <c r="A35" s="575" t="s">
        <v>14</v>
      </c>
      <c r="B35" s="2041" t="s">
        <v>3476</v>
      </c>
      <c r="C35" s="594"/>
      <c r="D35" s="594"/>
      <c r="E35" s="594"/>
      <c r="F35" s="594"/>
      <c r="G35" s="543"/>
      <c r="H35" s="594"/>
      <c r="I35" s="543"/>
      <c r="J35" s="594"/>
      <c r="K35" s="594"/>
      <c r="L35" s="594"/>
      <c r="M35" s="594"/>
      <c r="N35" s="594"/>
      <c r="O35" s="594"/>
      <c r="P35" s="594"/>
      <c r="Q35" s="594"/>
      <c r="R35" s="594"/>
      <c r="S35" s="594"/>
      <c r="T35" s="1777"/>
      <c r="U35" s="2034"/>
      <c r="V35" s="2034"/>
    </row>
    <row r="36" spans="1:22" s="576" customFormat="1" ht="30.75" customHeight="1">
      <c r="A36" s="575" t="s">
        <v>18</v>
      </c>
      <c r="B36" s="2041" t="s">
        <v>2542</v>
      </c>
      <c r="C36" s="555"/>
      <c r="D36" s="555"/>
      <c r="E36" s="555"/>
      <c r="F36" s="555"/>
      <c r="G36" s="555"/>
      <c r="H36" s="555"/>
      <c r="I36" s="555"/>
      <c r="J36" s="555"/>
      <c r="K36" s="555"/>
      <c r="L36" s="555"/>
      <c r="M36" s="555"/>
      <c r="N36" s="555"/>
      <c r="O36" s="555"/>
      <c r="P36" s="555"/>
      <c r="Q36" s="555"/>
      <c r="R36" s="555"/>
      <c r="S36" s="555"/>
      <c r="T36" s="555"/>
      <c r="U36" s="2029"/>
      <c r="V36" s="2034"/>
    </row>
    <row r="37" spans="1:22" s="574" customFormat="1" ht="21" customHeight="1">
      <c r="A37" s="573"/>
      <c r="B37" s="551" t="s">
        <v>3500</v>
      </c>
      <c r="C37" s="552"/>
      <c r="D37" s="552"/>
      <c r="E37" s="552"/>
      <c r="F37" s="552"/>
      <c r="G37" s="553"/>
      <c r="H37" s="552"/>
      <c r="I37" s="553"/>
      <c r="J37" s="556"/>
      <c r="K37" s="556"/>
      <c r="L37" s="556"/>
      <c r="M37" s="556"/>
      <c r="N37" s="556"/>
      <c r="O37" s="556"/>
      <c r="P37" s="556"/>
      <c r="Q37" s="556"/>
      <c r="R37" s="556"/>
      <c r="S37" s="552"/>
      <c r="T37" s="557"/>
      <c r="U37" s="2033"/>
      <c r="V37" s="2033"/>
    </row>
    <row r="38" spans="1:22" s="574" customFormat="1" ht="21" customHeight="1">
      <c r="A38" s="573"/>
      <c r="B38" s="551" t="s">
        <v>3501</v>
      </c>
      <c r="C38" s="552"/>
      <c r="D38" s="552"/>
      <c r="E38" s="552"/>
      <c r="F38" s="552"/>
      <c r="G38" s="553"/>
      <c r="H38" s="552"/>
      <c r="I38" s="553"/>
      <c r="J38" s="556"/>
      <c r="K38" s="556"/>
      <c r="L38" s="556"/>
      <c r="M38" s="556"/>
      <c r="N38" s="556"/>
      <c r="O38" s="556"/>
      <c r="P38" s="556"/>
      <c r="Q38" s="556"/>
      <c r="R38" s="556"/>
      <c r="S38" s="552"/>
      <c r="T38" s="557"/>
      <c r="U38" s="2033"/>
      <c r="V38" s="2033"/>
    </row>
    <row r="39" spans="1:22" s="574" customFormat="1" ht="21" customHeight="1">
      <c r="A39" s="573"/>
      <c r="B39" s="551" t="s">
        <v>3502</v>
      </c>
      <c r="C39" s="552"/>
      <c r="D39" s="552"/>
      <c r="E39" s="552"/>
      <c r="F39" s="552"/>
      <c r="G39" s="553"/>
      <c r="H39" s="552"/>
      <c r="I39" s="553"/>
      <c r="J39" s="556"/>
      <c r="K39" s="556"/>
      <c r="L39" s="556"/>
      <c r="M39" s="556"/>
      <c r="N39" s="556"/>
      <c r="O39" s="556"/>
      <c r="P39" s="556"/>
      <c r="Q39" s="556"/>
      <c r="R39" s="556"/>
      <c r="S39" s="552"/>
      <c r="T39" s="557"/>
      <c r="U39" s="2033"/>
      <c r="V39" s="2033"/>
    </row>
    <row r="40" spans="1:22" s="576" customFormat="1" ht="21" customHeight="1">
      <c r="A40" s="268" t="s">
        <v>867</v>
      </c>
      <c r="B40" s="2041" t="s">
        <v>2546</v>
      </c>
      <c r="C40" s="555"/>
      <c r="D40" s="555"/>
      <c r="E40" s="555"/>
      <c r="F40" s="555"/>
      <c r="G40" s="555"/>
      <c r="H40" s="555"/>
      <c r="I40" s="555"/>
      <c r="J40" s="555"/>
      <c r="K40" s="555"/>
      <c r="L40" s="555"/>
      <c r="M40" s="555"/>
      <c r="N40" s="555"/>
      <c r="O40" s="555"/>
      <c r="P40" s="555"/>
      <c r="Q40" s="555"/>
      <c r="R40" s="555"/>
      <c r="S40" s="555"/>
      <c r="T40" s="555"/>
      <c r="U40" s="2034"/>
      <c r="V40" s="2034"/>
    </row>
    <row r="41" spans="1:22" s="574" customFormat="1" ht="21" customHeight="1">
      <c r="A41" s="573"/>
      <c r="B41" s="551" t="s">
        <v>3503</v>
      </c>
      <c r="C41" s="552"/>
      <c r="D41" s="552"/>
      <c r="E41" s="552"/>
      <c r="F41" s="552"/>
      <c r="G41" s="553"/>
      <c r="H41" s="556"/>
      <c r="I41" s="553"/>
      <c r="J41" s="556"/>
      <c r="K41" s="556"/>
      <c r="L41" s="556"/>
      <c r="M41" s="556"/>
      <c r="N41" s="556"/>
      <c r="O41" s="556"/>
      <c r="P41" s="556"/>
      <c r="Q41" s="556"/>
      <c r="R41" s="556"/>
      <c r="S41" s="552"/>
      <c r="T41" s="557"/>
      <c r="U41" s="2033"/>
      <c r="V41" s="2033"/>
    </row>
    <row r="42" spans="1:22" s="574" customFormat="1" ht="21" customHeight="1">
      <c r="A42" s="573"/>
      <c r="B42" s="551" t="s">
        <v>3504</v>
      </c>
      <c r="C42" s="552"/>
      <c r="D42" s="552"/>
      <c r="E42" s="552"/>
      <c r="F42" s="552"/>
      <c r="G42" s="553"/>
      <c r="H42" s="556"/>
      <c r="I42" s="553"/>
      <c r="J42" s="556"/>
      <c r="K42" s="556"/>
      <c r="L42" s="556"/>
      <c r="M42" s="556"/>
      <c r="N42" s="556"/>
      <c r="O42" s="556"/>
      <c r="P42" s="556"/>
      <c r="Q42" s="556"/>
      <c r="R42" s="556"/>
      <c r="S42" s="552"/>
      <c r="T42" s="557"/>
      <c r="U42" s="2033"/>
      <c r="V42" s="2033"/>
    </row>
    <row r="43" spans="1:22" s="574" customFormat="1" ht="21" customHeight="1">
      <c r="A43" s="573"/>
      <c r="B43" s="551" t="s">
        <v>3505</v>
      </c>
      <c r="C43" s="552"/>
      <c r="D43" s="552"/>
      <c r="E43" s="552"/>
      <c r="F43" s="552"/>
      <c r="G43" s="553"/>
      <c r="H43" s="556"/>
      <c r="I43" s="553"/>
      <c r="J43" s="556"/>
      <c r="K43" s="556"/>
      <c r="L43" s="556"/>
      <c r="M43" s="556"/>
      <c r="N43" s="556"/>
      <c r="O43" s="556"/>
      <c r="P43" s="556"/>
      <c r="Q43" s="556"/>
      <c r="R43" s="556"/>
      <c r="S43" s="552"/>
      <c r="T43" s="557"/>
      <c r="U43" s="2033"/>
      <c r="V43" s="2033"/>
    </row>
    <row r="44" spans="1:22" s="260" customFormat="1" ht="21" customHeight="1">
      <c r="A44" s="2024" t="s">
        <v>933</v>
      </c>
      <c r="B44" s="2042" t="s">
        <v>3477</v>
      </c>
      <c r="C44" s="594"/>
      <c r="D44" s="594"/>
      <c r="E44" s="594"/>
      <c r="F44" s="594"/>
      <c r="G44" s="555"/>
      <c r="H44" s="594"/>
      <c r="I44" s="555"/>
      <c r="J44" s="594"/>
      <c r="K44" s="594"/>
      <c r="L44" s="594"/>
      <c r="M44" s="594"/>
      <c r="N44" s="594"/>
      <c r="O44" s="594"/>
      <c r="P44" s="594"/>
      <c r="Q44" s="594"/>
      <c r="R44" s="594"/>
      <c r="S44" s="594"/>
      <c r="T44" s="555"/>
      <c r="U44" s="2034"/>
      <c r="V44" s="2034"/>
    </row>
    <row r="45" spans="1:22" s="260" customFormat="1" ht="29.25" customHeight="1">
      <c r="A45" s="2025"/>
      <c r="B45" s="1803" t="s">
        <v>2823</v>
      </c>
      <c r="C45" s="594"/>
      <c r="D45" s="594"/>
      <c r="E45" s="594"/>
      <c r="F45" s="594"/>
      <c r="G45" s="555"/>
      <c r="H45" s="594"/>
      <c r="I45" s="555"/>
      <c r="J45" s="594"/>
      <c r="K45" s="594"/>
      <c r="L45" s="594"/>
      <c r="M45" s="594"/>
      <c r="N45" s="594"/>
      <c r="O45" s="594"/>
      <c r="P45" s="594"/>
      <c r="Q45" s="594"/>
      <c r="R45" s="594"/>
      <c r="S45" s="594"/>
      <c r="T45" s="555"/>
      <c r="U45" s="2034"/>
      <c r="V45" s="2034"/>
    </row>
    <row r="46" spans="1:22" s="260" customFormat="1" ht="30" customHeight="1">
      <c r="A46" s="2025"/>
      <c r="B46" s="2026" t="s">
        <v>2824</v>
      </c>
      <c r="C46" s="594"/>
      <c r="D46" s="594"/>
      <c r="E46" s="594"/>
      <c r="F46" s="594"/>
      <c r="G46" s="555"/>
      <c r="H46" s="594"/>
      <c r="I46" s="555"/>
      <c r="J46" s="594"/>
      <c r="K46" s="594"/>
      <c r="L46" s="594"/>
      <c r="M46" s="594"/>
      <c r="N46" s="594"/>
      <c r="O46" s="594"/>
      <c r="P46" s="594"/>
      <c r="Q46" s="594"/>
      <c r="R46" s="594"/>
      <c r="S46" s="594"/>
      <c r="T46" s="555"/>
      <c r="U46" s="2034"/>
      <c r="V46" s="2034"/>
    </row>
    <row r="47" spans="1:22" s="256" customFormat="1" ht="27" customHeight="1">
      <c r="A47" s="2023"/>
      <c r="B47" s="2027" t="s">
        <v>2825</v>
      </c>
      <c r="C47" s="549"/>
      <c r="D47" s="549"/>
      <c r="E47" s="549"/>
      <c r="F47" s="549"/>
      <c r="G47" s="547"/>
      <c r="H47" s="549"/>
      <c r="I47" s="547"/>
      <c r="J47" s="549"/>
      <c r="K47" s="549"/>
      <c r="L47" s="549"/>
      <c r="M47" s="549"/>
      <c r="N47" s="549"/>
      <c r="O47" s="549"/>
      <c r="P47" s="549"/>
      <c r="Q47" s="549"/>
      <c r="R47" s="549"/>
      <c r="S47" s="549"/>
      <c r="T47" s="547"/>
      <c r="U47" s="542"/>
      <c r="V47" s="542"/>
    </row>
    <row r="49" spans="2:12">
      <c r="B49" s="2044" t="s">
        <v>21</v>
      </c>
      <c r="C49" s="2045"/>
      <c r="D49" s="2045"/>
      <c r="E49" s="2045"/>
      <c r="F49" s="312"/>
      <c r="G49" s="312"/>
      <c r="H49" s="312"/>
      <c r="I49" s="312"/>
      <c r="J49" s="312"/>
      <c r="K49" s="312"/>
      <c r="L49" s="312"/>
    </row>
    <row r="50" spans="2:12" ht="41.25" customHeight="1">
      <c r="B50" s="2046" t="s">
        <v>3487</v>
      </c>
      <c r="C50" s="2046"/>
      <c r="D50" s="2046"/>
      <c r="E50" s="2046"/>
      <c r="F50" s="2046"/>
      <c r="G50" s="2046"/>
      <c r="H50" s="2046"/>
      <c r="I50" s="2046"/>
      <c r="J50" s="2046"/>
      <c r="K50" s="2046"/>
      <c r="L50" s="2046"/>
    </row>
    <row r="51" spans="2:12" ht="38.25" customHeight="1">
      <c r="B51" s="2046" t="s">
        <v>3488</v>
      </c>
      <c r="C51" s="2046"/>
      <c r="D51" s="2046"/>
      <c r="E51" s="2046"/>
      <c r="F51" s="2046"/>
      <c r="G51" s="2046"/>
      <c r="H51" s="2046"/>
      <c r="I51" s="2046"/>
      <c r="J51" s="2046"/>
      <c r="K51" s="2046"/>
      <c r="L51" s="2046"/>
    </row>
    <row r="52" spans="2:12" ht="31.5" customHeight="1">
      <c r="B52" s="2047" t="s">
        <v>3489</v>
      </c>
      <c r="C52" s="2047"/>
      <c r="D52" s="2047"/>
      <c r="E52" s="2047"/>
      <c r="F52" s="2047"/>
      <c r="G52" s="2047"/>
      <c r="H52" s="2047"/>
      <c r="I52" s="2047"/>
      <c r="J52" s="2047"/>
      <c r="K52" s="2047"/>
      <c r="L52" s="2047"/>
    </row>
  </sheetData>
  <sheetProtection formatCells="0" formatColumns="0" formatRows="0"/>
  <mergeCells count="34">
    <mergeCell ref="Q8:Q10"/>
    <mergeCell ref="R8:R10"/>
    <mergeCell ref="S8:S10"/>
    <mergeCell ref="B50:L50"/>
    <mergeCell ref="B51:L51"/>
    <mergeCell ref="B52:L52"/>
    <mergeCell ref="K8:K10"/>
    <mergeCell ref="L8:L10"/>
    <mergeCell ref="M8:M10"/>
    <mergeCell ref="N8:N10"/>
    <mergeCell ref="O8:O10"/>
    <mergeCell ref="P8:P10"/>
    <mergeCell ref="G6:T6"/>
    <mergeCell ref="U6:V6"/>
    <mergeCell ref="G7:G10"/>
    <mergeCell ref="H7:H10"/>
    <mergeCell ref="I7:I10"/>
    <mergeCell ref="J7:S7"/>
    <mergeCell ref="T7:T10"/>
    <mergeCell ref="U7:U10"/>
    <mergeCell ref="V7:V10"/>
    <mergeCell ref="J8:J10"/>
    <mergeCell ref="A6:A10"/>
    <mergeCell ref="B6:B10"/>
    <mergeCell ref="C6:C10"/>
    <mergeCell ref="D6:D10"/>
    <mergeCell ref="E6:E10"/>
    <mergeCell ref="F6:F10"/>
    <mergeCell ref="A1:B1"/>
    <mergeCell ref="S1:T1"/>
    <mergeCell ref="A2:B2"/>
    <mergeCell ref="A3:T3"/>
    <mergeCell ref="A4:T4"/>
    <mergeCell ref="S5:T5"/>
  </mergeCells>
  <pageMargins left="0.44" right="0.19" top="0.37" bottom="0.75" header="0.3" footer="0.3"/>
  <pageSetup paperSize="9" scale="37" orientation="landscape" blackAndWhite="1" r:id="rId1"/>
  <headerFooter>
    <oddFooter>&amp;R&amp;P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E602"/>
  <sheetViews>
    <sheetView showZeros="0" zoomScale="95" zoomScaleNormal="95" workbookViewId="0">
      <pane xSplit="2" ySplit="9" topLeftCell="C115" activePane="bottomRight" state="frozen"/>
      <selection pane="topRight" activeCell="C1" sqref="C1"/>
      <selection pane="bottomLeft" activeCell="A10" sqref="A10"/>
      <selection pane="bottomRight" activeCell="D8" sqref="D8:D9"/>
    </sheetView>
  </sheetViews>
  <sheetFormatPr defaultColWidth="9.140625" defaultRowHeight="12.75"/>
  <cols>
    <col min="1" max="1" width="5.5703125" style="121" customWidth="1"/>
    <col min="2" max="2" width="42.140625" style="121" customWidth="1"/>
    <col min="3" max="3" width="11.28515625" style="122" customWidth="1"/>
    <col min="4" max="4" width="12.140625" style="121" customWidth="1"/>
    <col min="5" max="5" width="10.85546875" style="122" customWidth="1"/>
    <col min="6" max="6" width="11.7109375" style="122" customWidth="1"/>
    <col min="7" max="7" width="12.42578125" style="457" customWidth="1"/>
    <col min="8" max="8" width="13.7109375" style="457" customWidth="1"/>
    <col min="9" max="9" width="13" style="457" customWidth="1"/>
    <col min="10" max="10" width="11.5703125" style="457" customWidth="1"/>
    <col min="11" max="11" width="10.85546875" style="457" customWidth="1"/>
    <col min="12" max="12" width="12.5703125" style="457" customWidth="1"/>
    <col min="13" max="13" width="12.28515625" style="457" customWidth="1"/>
    <col min="14" max="14" width="13.5703125" style="457" customWidth="1"/>
    <col min="15" max="15" width="13.140625" style="457" customWidth="1"/>
    <col min="16" max="16" width="13.42578125" style="457" customWidth="1"/>
    <col min="17" max="17" width="11.140625" style="457" customWidth="1"/>
    <col min="18" max="18" width="11.42578125" style="457" customWidth="1"/>
    <col min="19" max="19" width="12.85546875" style="457" customWidth="1"/>
    <col min="20" max="20" width="14.85546875" style="457" customWidth="1"/>
    <col min="21" max="21" width="9.28515625" style="457" customWidth="1"/>
    <col min="22" max="22" width="14" style="457" customWidth="1"/>
    <col min="23" max="16384" width="9.140625" style="7"/>
  </cols>
  <sheetData>
    <row r="1" spans="1:31">
      <c r="A1" s="1918" t="s">
        <v>0</v>
      </c>
      <c r="B1" s="1918"/>
      <c r="C1" s="1"/>
      <c r="D1" s="2"/>
      <c r="E1" s="1"/>
      <c r="F1" s="1"/>
      <c r="G1" s="362"/>
      <c r="H1" s="362"/>
      <c r="I1" s="362"/>
      <c r="J1" s="362"/>
      <c r="K1" s="363"/>
      <c r="L1" s="363"/>
      <c r="M1" s="363"/>
      <c r="N1" s="362"/>
      <c r="O1" s="362"/>
      <c r="P1" s="362"/>
      <c r="Q1" s="362"/>
      <c r="R1" s="363"/>
      <c r="S1" s="363"/>
      <c r="T1" s="363"/>
      <c r="U1" s="363"/>
      <c r="V1" s="364" t="s">
        <v>2826</v>
      </c>
      <c r="W1" s="1171"/>
      <c r="X1" s="1171"/>
      <c r="Y1" s="1171"/>
      <c r="Z1" s="1171"/>
      <c r="AA1" s="1171"/>
      <c r="AB1" s="1171"/>
      <c r="AC1" s="1171"/>
      <c r="AD1" s="1171"/>
      <c r="AE1" s="1171"/>
    </row>
    <row r="2" spans="1:31">
      <c r="A2" s="1918"/>
      <c r="B2" s="1918"/>
      <c r="C2" s="1"/>
      <c r="D2" s="2"/>
      <c r="E2" s="1"/>
      <c r="F2" s="1"/>
      <c r="G2" s="362"/>
      <c r="H2" s="362"/>
      <c r="I2" s="362"/>
      <c r="J2" s="362"/>
      <c r="K2" s="363"/>
      <c r="L2" s="363"/>
      <c r="M2" s="363"/>
      <c r="N2" s="362"/>
      <c r="O2" s="362"/>
      <c r="P2" s="362"/>
      <c r="Q2" s="362"/>
      <c r="R2" s="363"/>
      <c r="S2" s="363"/>
      <c r="T2" s="363"/>
      <c r="U2" s="363"/>
      <c r="V2" s="363"/>
      <c r="W2" s="1171"/>
      <c r="X2" s="1171"/>
      <c r="Y2" s="1171"/>
      <c r="Z2" s="1171"/>
      <c r="AA2" s="1171"/>
      <c r="AB2" s="1171"/>
      <c r="AC2" s="1171"/>
      <c r="AD2" s="1171"/>
      <c r="AE2" s="1171"/>
    </row>
    <row r="3" spans="1:31">
      <c r="A3" s="8"/>
      <c r="B3" s="8"/>
      <c r="C3" s="9"/>
      <c r="D3" s="8"/>
      <c r="E3" s="9"/>
      <c r="F3" s="9"/>
      <c r="G3" s="365"/>
      <c r="H3" s="365"/>
      <c r="I3" s="365"/>
      <c r="J3" s="365"/>
      <c r="K3" s="363"/>
      <c r="L3" s="363"/>
      <c r="M3" s="363"/>
      <c r="N3" s="365"/>
      <c r="O3" s="365"/>
      <c r="P3" s="365"/>
      <c r="Q3" s="365"/>
      <c r="R3" s="363"/>
      <c r="S3" s="363"/>
      <c r="T3" s="363"/>
      <c r="U3" s="363"/>
      <c r="V3" s="363"/>
      <c r="W3" s="1171"/>
      <c r="X3" s="1171"/>
      <c r="Y3" s="1171"/>
      <c r="Z3" s="1171"/>
      <c r="AA3" s="1171"/>
      <c r="AB3" s="1171"/>
      <c r="AC3" s="1171"/>
      <c r="AD3" s="1171"/>
      <c r="AE3" s="1171"/>
    </row>
    <row r="4" spans="1:31" s="11" customFormat="1">
      <c r="A4" s="1919" t="s">
        <v>2827</v>
      </c>
      <c r="B4" s="1920"/>
      <c r="C4" s="1920"/>
      <c r="D4" s="1920"/>
      <c r="E4" s="1920"/>
      <c r="F4" s="1920"/>
      <c r="G4" s="1920"/>
      <c r="H4" s="1920"/>
      <c r="I4" s="1920"/>
      <c r="J4" s="1920"/>
      <c r="K4" s="1920"/>
      <c r="L4" s="1920"/>
      <c r="M4" s="1920"/>
      <c r="N4" s="1920"/>
      <c r="O4" s="1920"/>
      <c r="P4" s="1920"/>
      <c r="Q4" s="1920"/>
      <c r="R4" s="1920"/>
      <c r="S4" s="1920"/>
      <c r="T4" s="1920"/>
      <c r="U4" s="1920"/>
      <c r="V4" s="1920"/>
    </row>
    <row r="5" spans="1:31" s="11" customFormat="1">
      <c r="A5" s="1921"/>
      <c r="B5" s="1921"/>
      <c r="C5" s="1921"/>
      <c r="D5" s="1921"/>
      <c r="E5" s="1921"/>
      <c r="F5" s="1921"/>
      <c r="G5" s="1921"/>
      <c r="H5" s="1921"/>
      <c r="I5" s="1921"/>
      <c r="J5" s="1921"/>
      <c r="K5" s="1921"/>
      <c r="L5" s="1921"/>
      <c r="M5" s="1921"/>
      <c r="N5" s="1921"/>
      <c r="O5" s="1921"/>
      <c r="P5" s="1921"/>
      <c r="Q5" s="1921"/>
      <c r="R5" s="1921"/>
      <c r="S5" s="1921"/>
      <c r="T5" s="1921"/>
      <c r="U5" s="1921"/>
      <c r="V5" s="1921"/>
      <c r="W5" s="12"/>
      <c r="X5" s="12"/>
      <c r="Y5" s="12"/>
      <c r="Z5" s="12"/>
      <c r="AA5" s="12"/>
      <c r="AB5" s="12"/>
      <c r="AC5" s="12"/>
      <c r="AD5" s="12"/>
      <c r="AE5" s="12"/>
    </row>
    <row r="6" spans="1:31">
      <c r="A6" s="13"/>
      <c r="B6" s="13"/>
      <c r="C6" s="14"/>
      <c r="D6" s="13"/>
      <c r="E6" s="14"/>
      <c r="F6" s="14"/>
      <c r="G6" s="366"/>
      <c r="H6" s="366"/>
      <c r="I6" s="366"/>
      <c r="J6" s="366"/>
      <c r="K6" s="366"/>
      <c r="L6" s="366"/>
      <c r="M6" s="366"/>
      <c r="N6" s="366"/>
      <c r="O6" s="366"/>
      <c r="P6" s="366"/>
      <c r="Q6" s="366"/>
      <c r="R6" s="366"/>
      <c r="S6" s="366"/>
      <c r="T6" s="366"/>
      <c r="U6" s="1922" t="s">
        <v>2488</v>
      </c>
      <c r="V6" s="1922"/>
      <c r="W6" s="1171"/>
      <c r="X6" s="1171"/>
      <c r="Y6" s="1171"/>
      <c r="Z6" s="1171"/>
      <c r="AA6" s="1171"/>
      <c r="AB6" s="1171"/>
      <c r="AC6" s="1171"/>
      <c r="AD6" s="1171"/>
      <c r="AE6" s="1171"/>
    </row>
    <row r="7" spans="1:31" s="17" customFormat="1" ht="55.15" customHeight="1">
      <c r="A7" s="1923" t="s">
        <v>88</v>
      </c>
      <c r="B7" s="1923" t="s">
        <v>4</v>
      </c>
      <c r="C7" s="1923" t="s">
        <v>2828</v>
      </c>
      <c r="D7" s="1923"/>
      <c r="E7" s="1925" t="s">
        <v>2829</v>
      </c>
      <c r="F7" s="1925" t="s">
        <v>2830</v>
      </c>
      <c r="G7" s="1916" t="s">
        <v>2831</v>
      </c>
      <c r="H7" s="1916"/>
      <c r="I7" s="1916"/>
      <c r="J7" s="1916"/>
      <c r="K7" s="1916"/>
      <c r="L7" s="1916"/>
      <c r="M7" s="1916"/>
      <c r="N7" s="1916" t="s">
        <v>2832</v>
      </c>
      <c r="O7" s="1916"/>
      <c r="P7" s="1916"/>
      <c r="Q7" s="1916"/>
      <c r="R7" s="1916"/>
      <c r="S7" s="1916"/>
      <c r="T7" s="1916"/>
      <c r="U7" s="1916" t="s">
        <v>2833</v>
      </c>
      <c r="V7" s="1916" t="s">
        <v>2834</v>
      </c>
    </row>
    <row r="8" spans="1:31" s="17" customFormat="1">
      <c r="A8" s="1924"/>
      <c r="B8" s="1924"/>
      <c r="C8" s="1926" t="s">
        <v>2835</v>
      </c>
      <c r="D8" s="1928" t="s">
        <v>2836</v>
      </c>
      <c r="E8" s="1926"/>
      <c r="F8" s="1926"/>
      <c r="G8" s="1917" t="s">
        <v>2463</v>
      </c>
      <c r="H8" s="1917" t="s">
        <v>2837</v>
      </c>
      <c r="I8" s="1917" t="s">
        <v>2838</v>
      </c>
      <c r="J8" s="1917" t="s">
        <v>2512</v>
      </c>
      <c r="K8" s="1917"/>
      <c r="L8" s="1917"/>
      <c r="M8" s="1917" t="s">
        <v>2839</v>
      </c>
      <c r="N8" s="1917" t="s">
        <v>2463</v>
      </c>
      <c r="O8" s="1917" t="s">
        <v>2837</v>
      </c>
      <c r="P8" s="1917" t="s">
        <v>2838</v>
      </c>
      <c r="Q8" s="1917" t="s">
        <v>2512</v>
      </c>
      <c r="R8" s="1917"/>
      <c r="S8" s="1917"/>
      <c r="T8" s="1917" t="s">
        <v>2839</v>
      </c>
      <c r="U8" s="1917"/>
      <c r="V8" s="1917"/>
    </row>
    <row r="9" spans="1:31" s="17" customFormat="1" ht="50.45" customHeight="1">
      <c r="A9" s="1924"/>
      <c r="B9" s="1924"/>
      <c r="C9" s="1926"/>
      <c r="D9" s="1928"/>
      <c r="E9" s="1927"/>
      <c r="F9" s="1926"/>
      <c r="G9" s="1917"/>
      <c r="H9" s="1917"/>
      <c r="I9" s="1917"/>
      <c r="J9" s="1157" t="s">
        <v>2840</v>
      </c>
      <c r="K9" s="1157" t="s">
        <v>2841</v>
      </c>
      <c r="L9" s="1157" t="s">
        <v>2842</v>
      </c>
      <c r="M9" s="1917"/>
      <c r="N9" s="1917"/>
      <c r="O9" s="1917"/>
      <c r="P9" s="1917"/>
      <c r="Q9" s="1157" t="s">
        <v>2840</v>
      </c>
      <c r="R9" s="1157" t="s">
        <v>2841</v>
      </c>
      <c r="S9" s="1157" t="s">
        <v>2842</v>
      </c>
      <c r="T9" s="1917"/>
      <c r="U9" s="1917"/>
      <c r="V9" s="1917"/>
    </row>
    <row r="10" spans="1:31" s="24" customFormat="1">
      <c r="A10" s="367">
        <v>1</v>
      </c>
      <c r="B10" s="367">
        <v>2</v>
      </c>
      <c r="C10" s="368">
        <v>3</v>
      </c>
      <c r="D10" s="367">
        <v>4</v>
      </c>
      <c r="E10" s="368">
        <v>5</v>
      </c>
      <c r="F10" s="368">
        <v>6</v>
      </c>
      <c r="G10" s="369" t="s">
        <v>2843</v>
      </c>
      <c r="H10" s="369">
        <v>8</v>
      </c>
      <c r="I10" s="369">
        <v>9</v>
      </c>
      <c r="J10" s="369">
        <v>10</v>
      </c>
      <c r="K10" s="369">
        <v>11</v>
      </c>
      <c r="L10" s="369">
        <v>12</v>
      </c>
      <c r="M10" s="369" t="s">
        <v>2844</v>
      </c>
      <c r="N10" s="369" t="s">
        <v>2845</v>
      </c>
      <c r="O10" s="369">
        <v>15</v>
      </c>
      <c r="P10" s="369">
        <v>16</v>
      </c>
      <c r="Q10" s="369">
        <v>17</v>
      </c>
      <c r="R10" s="369">
        <v>18</v>
      </c>
      <c r="S10" s="369">
        <v>19</v>
      </c>
      <c r="T10" s="369" t="s">
        <v>2846</v>
      </c>
      <c r="U10" s="370" t="s">
        <v>2847</v>
      </c>
      <c r="V10" s="370" t="s">
        <v>2848</v>
      </c>
    </row>
    <row r="11" spans="1:31" s="24" customFormat="1">
      <c r="A11" s="367"/>
      <c r="B11" s="367"/>
      <c r="C11" s="368"/>
      <c r="D11" s="367"/>
      <c r="E11" s="368"/>
      <c r="F11" s="368"/>
      <c r="G11" s="369"/>
      <c r="H11" s="369"/>
      <c r="I11" s="369"/>
      <c r="J11" s="369"/>
      <c r="K11" s="369"/>
      <c r="L11" s="369"/>
      <c r="M11" s="369"/>
      <c r="N11" s="369"/>
      <c r="O11" s="369"/>
      <c r="P11" s="369"/>
      <c r="Q11" s="369"/>
      <c r="R11" s="369"/>
      <c r="S11" s="369"/>
      <c r="T11" s="369"/>
      <c r="U11" s="370"/>
      <c r="V11" s="370"/>
    </row>
    <row r="12" spans="1:31" s="375" customFormat="1" hidden="1">
      <c r="A12" s="488" t="s">
        <v>5</v>
      </c>
      <c r="B12" s="489" t="s">
        <v>2849</v>
      </c>
      <c r="C12" s="371"/>
      <c r="D12" s="372"/>
      <c r="E12" s="371"/>
      <c r="F12" s="371"/>
      <c r="G12" s="373"/>
      <c r="H12" s="373"/>
      <c r="I12" s="373"/>
      <c r="J12" s="373"/>
      <c r="K12" s="373"/>
      <c r="L12" s="373"/>
      <c r="M12" s="373"/>
      <c r="N12" s="373"/>
      <c r="O12" s="373"/>
      <c r="P12" s="373"/>
      <c r="Q12" s="373"/>
      <c r="R12" s="373"/>
      <c r="S12" s="373"/>
      <c r="T12" s="373"/>
      <c r="U12" s="373"/>
      <c r="V12" s="374"/>
    </row>
    <row r="13" spans="1:31" s="377" customFormat="1" ht="30.75" customHeight="1">
      <c r="A13" s="458"/>
      <c r="B13" s="459" t="s">
        <v>2527</v>
      </c>
      <c r="C13" s="376">
        <f>C14</f>
        <v>2117</v>
      </c>
      <c r="D13" s="376">
        <f t="shared" ref="D13:V13" si="0">D14</f>
        <v>234.38450479999997</v>
      </c>
      <c r="E13" s="376">
        <f t="shared" si="0"/>
        <v>4451</v>
      </c>
      <c r="F13" s="376">
        <f t="shared" si="0"/>
        <v>5668</v>
      </c>
      <c r="G13" s="376">
        <f t="shared" si="0"/>
        <v>25373.167315700008</v>
      </c>
      <c r="H13" s="376">
        <f t="shared" si="0"/>
        <v>23639.055800000006</v>
      </c>
      <c r="I13" s="376">
        <f t="shared" si="0"/>
        <v>2071.0573699999995</v>
      </c>
      <c r="J13" s="376">
        <f t="shared" si="0"/>
        <v>480.35000000000008</v>
      </c>
      <c r="K13" s="376">
        <f t="shared" si="0"/>
        <v>223.62873000000002</v>
      </c>
      <c r="L13" s="376">
        <f t="shared" si="0"/>
        <v>1368.1186399999999</v>
      </c>
      <c r="M13" s="376">
        <f t="shared" si="0"/>
        <v>255.66225269999998</v>
      </c>
      <c r="N13" s="376">
        <f t="shared" si="0"/>
        <v>27131.939035717696</v>
      </c>
      <c r="O13" s="376">
        <f t="shared" si="0"/>
        <v>25275.608993846155</v>
      </c>
      <c r="P13" s="376">
        <f t="shared" si="0"/>
        <v>2215.1283802307689</v>
      </c>
      <c r="Q13" s="376">
        <f t="shared" si="0"/>
        <v>513.60215384615378</v>
      </c>
      <c r="R13" s="376">
        <f t="shared" si="0"/>
        <v>239.10619592307688</v>
      </c>
      <c r="S13" s="376">
        <f t="shared" si="0"/>
        <v>1462.8370304615385</v>
      </c>
      <c r="T13" s="376">
        <f t="shared" si="0"/>
        <v>274.83648374076921</v>
      </c>
      <c r="U13" s="376">
        <f t="shared" si="0"/>
        <v>19.174231040769204</v>
      </c>
      <c r="V13" s="376">
        <f t="shared" si="0"/>
        <v>115.04538624461524</v>
      </c>
    </row>
    <row r="14" spans="1:31" s="377" customFormat="1" ht="25.5" customHeight="1">
      <c r="A14" s="458" t="s">
        <v>13</v>
      </c>
      <c r="B14" s="459" t="s">
        <v>2528</v>
      </c>
      <c r="C14" s="378">
        <f>C16+C69+C117+C124+C132+C134+C137+C145+C174+C180</f>
        <v>2117</v>
      </c>
      <c r="D14" s="379">
        <f t="shared" ref="D14:V14" si="1">D16+D69+D117+D124+D132+D134+D137+D145+D174+D180</f>
        <v>234.38450479999997</v>
      </c>
      <c r="E14" s="378">
        <f t="shared" si="1"/>
        <v>4451</v>
      </c>
      <c r="F14" s="378">
        <f t="shared" si="1"/>
        <v>5668</v>
      </c>
      <c r="G14" s="379">
        <f t="shared" si="1"/>
        <v>25373.167315700008</v>
      </c>
      <c r="H14" s="379">
        <f t="shared" si="1"/>
        <v>23639.055800000006</v>
      </c>
      <c r="I14" s="379">
        <f t="shared" si="1"/>
        <v>2071.0573699999995</v>
      </c>
      <c r="J14" s="379">
        <f t="shared" si="1"/>
        <v>480.35000000000008</v>
      </c>
      <c r="K14" s="379">
        <f t="shared" si="1"/>
        <v>223.62873000000002</v>
      </c>
      <c r="L14" s="379">
        <f t="shared" si="1"/>
        <v>1368.1186399999999</v>
      </c>
      <c r="M14" s="379">
        <f t="shared" si="1"/>
        <v>255.66225269999998</v>
      </c>
      <c r="N14" s="379">
        <f t="shared" si="1"/>
        <v>27131.939035717696</v>
      </c>
      <c r="O14" s="379">
        <f t="shared" si="1"/>
        <v>25275.608993846155</v>
      </c>
      <c r="P14" s="379">
        <f t="shared" si="1"/>
        <v>2215.1283802307689</v>
      </c>
      <c r="Q14" s="379">
        <f t="shared" si="1"/>
        <v>513.60215384615378</v>
      </c>
      <c r="R14" s="379">
        <f t="shared" si="1"/>
        <v>239.10619592307688</v>
      </c>
      <c r="S14" s="379">
        <f t="shared" si="1"/>
        <v>1462.8370304615385</v>
      </c>
      <c r="T14" s="379">
        <f t="shared" si="1"/>
        <v>274.83648374076921</v>
      </c>
      <c r="U14" s="379">
        <f t="shared" si="1"/>
        <v>19.174231040769204</v>
      </c>
      <c r="V14" s="379">
        <f t="shared" si="1"/>
        <v>115.04538624461524</v>
      </c>
    </row>
    <row r="15" spans="1:31" s="24" customFormat="1">
      <c r="A15" s="460"/>
      <c r="B15" s="461" t="s">
        <v>2512</v>
      </c>
      <c r="C15" s="368"/>
      <c r="D15" s="367"/>
      <c r="E15" s="368"/>
      <c r="F15" s="368"/>
      <c r="G15" s="369"/>
      <c r="H15" s="369"/>
      <c r="I15" s="369"/>
      <c r="J15" s="369"/>
      <c r="K15" s="369"/>
      <c r="L15" s="369"/>
      <c r="M15" s="369"/>
      <c r="N15" s="369"/>
      <c r="O15" s="369"/>
      <c r="P15" s="369"/>
      <c r="Q15" s="369"/>
      <c r="R15" s="369"/>
      <c r="S15" s="369"/>
      <c r="T15" s="369"/>
      <c r="U15" s="369"/>
      <c r="V15" s="370"/>
    </row>
    <row r="16" spans="1:31" s="383" customFormat="1" ht="22.5" customHeight="1">
      <c r="A16" s="462">
        <v>1</v>
      </c>
      <c r="B16" s="463" t="s">
        <v>2489</v>
      </c>
      <c r="C16" s="380">
        <f>C17+C55</f>
        <v>2085</v>
      </c>
      <c r="D16" s="381">
        <f t="shared" ref="D16:V16" si="2">D17+D55</f>
        <v>211.03450479999995</v>
      </c>
      <c r="E16" s="382">
        <f t="shared" si="2"/>
        <v>12</v>
      </c>
      <c r="F16" s="382">
        <f t="shared" si="2"/>
        <v>2096</v>
      </c>
      <c r="G16" s="381">
        <f t="shared" si="2"/>
        <v>10719.862492400005</v>
      </c>
      <c r="H16" s="381">
        <f t="shared" si="2"/>
        <v>9045.0140000000029</v>
      </c>
      <c r="I16" s="381">
        <f t="shared" si="2"/>
        <v>1568.7112399999996</v>
      </c>
      <c r="J16" s="381">
        <f t="shared" si="2"/>
        <v>157.75500000000002</v>
      </c>
      <c r="K16" s="381">
        <f t="shared" si="2"/>
        <v>69.387100000000004</v>
      </c>
      <c r="L16" s="381">
        <f t="shared" si="2"/>
        <v>1341.5691399999998</v>
      </c>
      <c r="M16" s="381">
        <f t="shared" si="2"/>
        <v>106.13725239999998</v>
      </c>
      <c r="N16" s="381">
        <f t="shared" si="2"/>
        <v>11462.004488027693</v>
      </c>
      <c r="O16" s="381">
        <f t="shared" si="2"/>
        <v>9671.2103538461542</v>
      </c>
      <c r="P16" s="381">
        <f t="shared" si="2"/>
        <v>1677.3089412307695</v>
      </c>
      <c r="Q16" s="381">
        <f t="shared" si="2"/>
        <v>168.67265384615382</v>
      </c>
      <c r="R16" s="381">
        <f t="shared" si="2"/>
        <v>74.186206923076909</v>
      </c>
      <c r="S16" s="381">
        <f t="shared" si="2"/>
        <v>1434.4500804615384</v>
      </c>
      <c r="T16" s="381">
        <f t="shared" si="2"/>
        <v>113.48519295076925</v>
      </c>
      <c r="U16" s="381">
        <f t="shared" si="2"/>
        <v>7.3479405507692181</v>
      </c>
      <c r="V16" s="381">
        <f t="shared" si="2"/>
        <v>44.087643304615291</v>
      </c>
    </row>
    <row r="17" spans="1:22" s="24" customFormat="1" ht="22.5" customHeight="1">
      <c r="A17" s="460"/>
      <c r="B17" s="464" t="s">
        <v>2490</v>
      </c>
      <c r="C17" s="384">
        <f>C18+C53</f>
        <v>2060</v>
      </c>
      <c r="D17" s="385">
        <f t="shared" ref="D17:V17" si="3">D18+D53</f>
        <v>209.08529039999996</v>
      </c>
      <c r="E17" s="386">
        <f t="shared" si="3"/>
        <v>12</v>
      </c>
      <c r="F17" s="386">
        <f t="shared" si="3"/>
        <v>2071</v>
      </c>
      <c r="G17" s="387">
        <f t="shared" si="3"/>
        <v>10621.427165200004</v>
      </c>
      <c r="H17" s="387">
        <f t="shared" si="3"/>
        <v>8960.8080000000027</v>
      </c>
      <c r="I17" s="387">
        <f t="shared" si="3"/>
        <v>1555.4565199999997</v>
      </c>
      <c r="J17" s="387">
        <f t="shared" si="3"/>
        <v>156.13000000000002</v>
      </c>
      <c r="K17" s="387">
        <f t="shared" si="3"/>
        <v>68.804699999999997</v>
      </c>
      <c r="L17" s="387">
        <f t="shared" si="3"/>
        <v>1330.5218199999999</v>
      </c>
      <c r="M17" s="387">
        <f t="shared" si="3"/>
        <v>105.16264519999999</v>
      </c>
      <c r="N17" s="387">
        <f t="shared" si="3"/>
        <v>11356.754407406155</v>
      </c>
      <c r="O17" s="387">
        <f t="shared" si="3"/>
        <v>9581.1747076923075</v>
      </c>
      <c r="P17" s="387">
        <f t="shared" si="3"/>
        <v>1663.1365867692311</v>
      </c>
      <c r="Q17" s="387">
        <f t="shared" si="3"/>
        <v>166.93515384615381</v>
      </c>
      <c r="R17" s="387">
        <f t="shared" si="3"/>
        <v>73.563486923076908</v>
      </c>
      <c r="S17" s="387">
        <f t="shared" si="3"/>
        <v>1422.6379459999998</v>
      </c>
      <c r="T17" s="387">
        <f t="shared" si="3"/>
        <v>112.44311294461539</v>
      </c>
      <c r="U17" s="387">
        <f t="shared" si="3"/>
        <v>7.2804677446153718</v>
      </c>
      <c r="V17" s="387">
        <f t="shared" si="3"/>
        <v>43.682806467692217</v>
      </c>
    </row>
    <row r="18" spans="1:22" s="24" customFormat="1" ht="22.5" customHeight="1">
      <c r="A18" s="460">
        <v>1</v>
      </c>
      <c r="B18" s="55" t="s">
        <v>2551</v>
      </c>
      <c r="C18" s="384">
        <f>SUM(C19:C56)</f>
        <v>2043</v>
      </c>
      <c r="D18" s="387">
        <f t="shared" ref="D18:V18" si="4">SUM(D19:D56)</f>
        <v>207.26653839999997</v>
      </c>
      <c r="E18" s="384">
        <f t="shared" si="4"/>
        <v>12</v>
      </c>
      <c r="F18" s="384">
        <f t="shared" si="4"/>
        <v>2054</v>
      </c>
      <c r="G18" s="387">
        <f t="shared" si="4"/>
        <v>10529.580189200004</v>
      </c>
      <c r="H18" s="387">
        <f t="shared" si="4"/>
        <v>8883.354000000003</v>
      </c>
      <c r="I18" s="387">
        <f t="shared" si="4"/>
        <v>1541.9729199999997</v>
      </c>
      <c r="J18" s="387">
        <f t="shared" si="4"/>
        <v>153.20500000000001</v>
      </c>
      <c r="K18" s="387">
        <f t="shared" si="4"/>
        <v>67.897300000000001</v>
      </c>
      <c r="L18" s="387">
        <f t="shared" si="4"/>
        <v>1320.8706199999999</v>
      </c>
      <c r="M18" s="387">
        <f t="shared" si="4"/>
        <v>104.25326919999999</v>
      </c>
      <c r="N18" s="387">
        <f t="shared" si="4"/>
        <v>11258.548794606155</v>
      </c>
      <c r="O18" s="387">
        <f t="shared" si="4"/>
        <v>9498.3585076923082</v>
      </c>
      <c r="P18" s="387">
        <f t="shared" si="4"/>
        <v>1648.7195067692312</v>
      </c>
      <c r="Q18" s="387">
        <f t="shared" si="4"/>
        <v>163.80765384615381</v>
      </c>
      <c r="R18" s="387">
        <f t="shared" si="4"/>
        <v>72.593266923076911</v>
      </c>
      <c r="S18" s="387">
        <f t="shared" si="4"/>
        <v>1412.3185859999999</v>
      </c>
      <c r="T18" s="387">
        <f t="shared" si="4"/>
        <v>111.47078014461539</v>
      </c>
      <c r="U18" s="387">
        <f t="shared" si="4"/>
        <v>7.2175109446153725</v>
      </c>
      <c r="V18" s="387">
        <f t="shared" si="4"/>
        <v>43.305065667692219</v>
      </c>
    </row>
    <row r="19" spans="1:22" s="24" customFormat="1" ht="22.5" customHeight="1">
      <c r="A19" s="460"/>
      <c r="B19" s="1172" t="s">
        <v>2850</v>
      </c>
      <c r="C19" s="44">
        <v>75</v>
      </c>
      <c r="D19" s="465">
        <f>M19*2</f>
        <v>8.6644480000000019</v>
      </c>
      <c r="E19" s="44"/>
      <c r="F19" s="44">
        <v>75</v>
      </c>
      <c r="G19" s="466">
        <f t="shared" ref="G19:G57" si="5">H19+I19+M19</f>
        <v>437.5546240000001</v>
      </c>
      <c r="H19" s="393">
        <f>278.72*1.3</f>
        <v>362.33600000000007</v>
      </c>
      <c r="I19" s="466">
        <f t="shared" ref="I19:I55" si="6">SUM(J19:L19)</f>
        <v>70.886400000000009</v>
      </c>
      <c r="J19" s="393">
        <f>3.6*1.3</f>
        <v>4.6800000000000006</v>
      </c>
      <c r="K19" s="393">
        <f>6.077*1.3</f>
        <v>7.9001000000000001</v>
      </c>
      <c r="L19" s="393">
        <f>44.851*1.3</f>
        <v>58.3063</v>
      </c>
      <c r="M19" s="466">
        <f>(H19+I19)*1%</f>
        <v>4.332224000000001</v>
      </c>
      <c r="N19" s="466">
        <f t="shared" ref="N19:N57" si="7">O19+P19+T19</f>
        <v>467.84686720000002</v>
      </c>
      <c r="O19" s="466">
        <f>(H19/1.3)*1.39</f>
        <v>387.42079999999999</v>
      </c>
      <c r="P19" s="466">
        <f t="shared" ref="P19:P51" si="8">SUM(Q19:S19)</f>
        <v>75.79392</v>
      </c>
      <c r="Q19" s="466">
        <f>(J19/1.3)*1.39</f>
        <v>5.0040000000000004</v>
      </c>
      <c r="R19" s="466">
        <f t="shared" ref="R19:S34" si="9">(K19/1.3)*1.39</f>
        <v>8.4470299999999998</v>
      </c>
      <c r="S19" s="466">
        <f t="shared" si="9"/>
        <v>62.342889999999997</v>
      </c>
      <c r="T19" s="466">
        <f>(O19+P19)*1%</f>
        <v>4.6321472000000004</v>
      </c>
      <c r="U19" s="466">
        <f>T19-M19</f>
        <v>0.29992319999999939</v>
      </c>
      <c r="V19" s="466">
        <f t="shared" ref="V19:V56" si="10">U19*6</f>
        <v>1.7995391999999963</v>
      </c>
    </row>
    <row r="20" spans="1:22" s="24" customFormat="1" ht="22.5" customHeight="1">
      <c r="A20" s="460"/>
      <c r="B20" s="1172" t="s">
        <v>2851</v>
      </c>
      <c r="C20" s="44">
        <v>98</v>
      </c>
      <c r="D20" s="465">
        <f t="shared" ref="D20:D55" si="11">M20*2</f>
        <v>10.467156000000001</v>
      </c>
      <c r="E20" s="44"/>
      <c r="F20" s="44">
        <v>98</v>
      </c>
      <c r="G20" s="466">
        <f t="shared" si="5"/>
        <v>528.59137799999996</v>
      </c>
      <c r="H20" s="393">
        <f>368.98*1.2</f>
        <v>442.77600000000001</v>
      </c>
      <c r="I20" s="466">
        <f t="shared" si="6"/>
        <v>80.581800000000001</v>
      </c>
      <c r="J20" s="393">
        <f>5.7*1.3</f>
        <v>7.41</v>
      </c>
      <c r="K20" s="393">
        <f>2.435*1.3</f>
        <v>3.1655000000000002</v>
      </c>
      <c r="L20" s="393">
        <f>53.851*1.3</f>
        <v>70.006299999999996</v>
      </c>
      <c r="M20" s="466">
        <f t="shared" ref="M20:M57" si="12">(H20+I20)*1%</f>
        <v>5.2335780000000005</v>
      </c>
      <c r="N20" s="466">
        <f t="shared" si="7"/>
        <v>565.18616570769234</v>
      </c>
      <c r="O20" s="466">
        <f t="shared" ref="O20:O55" si="13">(H20/1.3)*1.39</f>
        <v>473.42972307692304</v>
      </c>
      <c r="P20" s="466">
        <f t="shared" si="8"/>
        <v>86.160539999999983</v>
      </c>
      <c r="Q20" s="466">
        <f t="shared" ref="Q20:S55" si="14">(J20/1.3)*1.39</f>
        <v>7.923</v>
      </c>
      <c r="R20" s="466">
        <f t="shared" si="9"/>
        <v>3.3846499999999997</v>
      </c>
      <c r="S20" s="466">
        <f t="shared" si="9"/>
        <v>74.852889999999988</v>
      </c>
      <c r="T20" s="466">
        <f t="shared" ref="T20:T57" si="15">(O20+P20)*1%</f>
        <v>5.5959026307692303</v>
      </c>
      <c r="U20" s="466">
        <f>T20-M20</f>
        <v>0.36232463076922983</v>
      </c>
      <c r="V20" s="466">
        <f t="shared" si="10"/>
        <v>2.173947784615379</v>
      </c>
    </row>
    <row r="21" spans="1:22" s="24" customFormat="1" ht="22.5" customHeight="1">
      <c r="A21" s="460"/>
      <c r="B21" s="1172" t="s">
        <v>2852</v>
      </c>
      <c r="C21" s="44">
        <v>73</v>
      </c>
      <c r="D21" s="465">
        <f t="shared" si="11"/>
        <v>6.9482059999999999</v>
      </c>
      <c r="E21" s="44"/>
      <c r="F21" s="44">
        <v>73</v>
      </c>
      <c r="G21" s="466">
        <f t="shared" si="5"/>
        <v>350.88440300000002</v>
      </c>
      <c r="H21" s="467">
        <f>294.45-3.99*1.3</f>
        <v>289.26299999999998</v>
      </c>
      <c r="I21" s="466">
        <f t="shared" si="6"/>
        <v>58.147300000000001</v>
      </c>
      <c r="J21" s="393">
        <f>4.75-0.7*1.3</f>
        <v>3.84</v>
      </c>
      <c r="K21" s="446">
        <f>3.385*1.3</f>
        <v>4.4005000000000001</v>
      </c>
      <c r="L21" s="446">
        <f>50.822-0.704*1.3</f>
        <v>49.906800000000004</v>
      </c>
      <c r="M21" s="466">
        <f t="shared" si="12"/>
        <v>3.4741029999999999</v>
      </c>
      <c r="N21" s="466">
        <f t="shared" si="7"/>
        <v>375.17640013076914</v>
      </c>
      <c r="O21" s="466">
        <f t="shared" si="13"/>
        <v>309.2888999999999</v>
      </c>
      <c r="P21" s="466">
        <f t="shared" si="8"/>
        <v>62.172882307692312</v>
      </c>
      <c r="Q21" s="466">
        <f t="shared" si="14"/>
        <v>4.1058461538461533</v>
      </c>
      <c r="R21" s="466">
        <f t="shared" si="9"/>
        <v>4.7051499999999997</v>
      </c>
      <c r="S21" s="466">
        <f t="shared" si="9"/>
        <v>53.361886153846157</v>
      </c>
      <c r="T21" s="466">
        <f t="shared" si="15"/>
        <v>3.7146178230769222</v>
      </c>
      <c r="U21" s="466">
        <f t="shared" ref="U21:U56" si="16">T21-M21</f>
        <v>0.24051482307692229</v>
      </c>
      <c r="V21" s="466">
        <f t="shared" si="10"/>
        <v>1.4430889384615337</v>
      </c>
    </row>
    <row r="22" spans="1:22" s="24" customFormat="1" ht="22.5" customHeight="1">
      <c r="A22" s="460"/>
      <c r="B22" s="1172" t="s">
        <v>2853</v>
      </c>
      <c r="C22" s="44">
        <v>123</v>
      </c>
      <c r="D22" s="465">
        <f t="shared" si="11"/>
        <v>15.315144</v>
      </c>
      <c r="E22" s="44"/>
      <c r="F22" s="44">
        <v>123</v>
      </c>
      <c r="G22" s="466">
        <f t="shared" si="5"/>
        <v>773.41477199999997</v>
      </c>
      <c r="H22" s="393">
        <f>490.5*1.3</f>
        <v>637.65</v>
      </c>
      <c r="I22" s="466">
        <f t="shared" si="6"/>
        <v>128.10720000000001</v>
      </c>
      <c r="J22" s="393">
        <f>6.75*1.3</f>
        <v>8.7750000000000004</v>
      </c>
      <c r="K22" s="393">
        <f>7.171*1.3</f>
        <v>9.3223000000000003</v>
      </c>
      <c r="L22" s="393">
        <f>84.623*1.3</f>
        <v>110.00990000000002</v>
      </c>
      <c r="M22" s="466">
        <f t="shared" si="12"/>
        <v>7.657572</v>
      </c>
      <c r="N22" s="466">
        <f t="shared" si="7"/>
        <v>826.95887159999972</v>
      </c>
      <c r="O22" s="466">
        <f t="shared" si="13"/>
        <v>681.79499999999985</v>
      </c>
      <c r="P22" s="466">
        <f>SUM(Q22:S22)</f>
        <v>136.97615999999999</v>
      </c>
      <c r="Q22" s="466">
        <f t="shared" si="14"/>
        <v>9.3824999999999985</v>
      </c>
      <c r="R22" s="466">
        <f t="shared" si="9"/>
        <v>9.9676899999999993</v>
      </c>
      <c r="S22" s="466">
        <f t="shared" si="9"/>
        <v>117.62597</v>
      </c>
      <c r="T22" s="466">
        <f t="shared" si="15"/>
        <v>8.1877115999999983</v>
      </c>
      <c r="U22" s="466">
        <f t="shared" si="16"/>
        <v>0.53013959999999827</v>
      </c>
      <c r="V22" s="466">
        <f t="shared" si="10"/>
        <v>3.1808375999999896</v>
      </c>
    </row>
    <row r="23" spans="1:22" s="24" customFormat="1" ht="22.5" customHeight="1">
      <c r="A23" s="460"/>
      <c r="B23" s="1172" t="s">
        <v>2854</v>
      </c>
      <c r="C23" s="44">
        <v>71</v>
      </c>
      <c r="D23" s="465">
        <f t="shared" si="11"/>
        <v>6.0601139999999996</v>
      </c>
      <c r="E23" s="385"/>
      <c r="F23" s="44">
        <v>71</v>
      </c>
      <c r="G23" s="466">
        <f t="shared" si="5"/>
        <v>306.03575699999999</v>
      </c>
      <c r="H23" s="393">
        <f>267.13-4.98*1.3</f>
        <v>260.65600000000001</v>
      </c>
      <c r="I23" s="466">
        <f>SUM(J23:L23)</f>
        <v>42.349699999999999</v>
      </c>
      <c r="J23" s="393">
        <f>4.2-0.55*1.3</f>
        <v>3.4850000000000003</v>
      </c>
      <c r="K23" s="393">
        <f>1.195-0.548*1.3</f>
        <v>0.48260000000000003</v>
      </c>
      <c r="L23" s="393">
        <f>40.674-1.763*1.3</f>
        <v>38.382100000000001</v>
      </c>
      <c r="M23" s="466">
        <f t="shared" si="12"/>
        <v>3.0300569999999998</v>
      </c>
      <c r="N23" s="466">
        <f t="shared" si="7"/>
        <v>327.22284786923075</v>
      </c>
      <c r="O23" s="466">
        <f t="shared" si="13"/>
        <v>278.70141538461536</v>
      </c>
      <c r="P23" s="466">
        <f t="shared" si="8"/>
        <v>45.28160230769231</v>
      </c>
      <c r="Q23" s="466">
        <f t="shared" si="14"/>
        <v>3.7262692307692307</v>
      </c>
      <c r="R23" s="466">
        <f t="shared" si="9"/>
        <v>0.51601076923076927</v>
      </c>
      <c r="S23" s="466">
        <f t="shared" si="9"/>
        <v>41.039322307692309</v>
      </c>
      <c r="T23" s="466">
        <f t="shared" si="15"/>
        <v>3.2398301769230766</v>
      </c>
      <c r="U23" s="466">
        <f t="shared" si="16"/>
        <v>0.20977317692307684</v>
      </c>
      <c r="V23" s="466">
        <f t="shared" si="10"/>
        <v>1.2586390615384611</v>
      </c>
    </row>
    <row r="24" spans="1:22" s="24" customFormat="1" ht="22.5" customHeight="1">
      <c r="A24" s="460"/>
      <c r="B24" s="1172" t="s">
        <v>2855</v>
      </c>
      <c r="C24" s="44">
        <v>82</v>
      </c>
      <c r="D24" s="465">
        <f t="shared" si="11"/>
        <v>9.7203859999999995</v>
      </c>
      <c r="E24" s="44"/>
      <c r="F24" s="44">
        <v>82</v>
      </c>
      <c r="G24" s="466">
        <f t="shared" si="5"/>
        <v>490.87949299999997</v>
      </c>
      <c r="H24" s="393">
        <f>315.96*1.3</f>
        <v>410.74799999999999</v>
      </c>
      <c r="I24" s="466">
        <f t="shared" si="6"/>
        <v>75.271300000000011</v>
      </c>
      <c r="J24" s="393">
        <f>4.15*1.3</f>
        <v>5.3950000000000005</v>
      </c>
      <c r="K24" s="393">
        <f>3.734*1.3</f>
        <v>4.8542000000000005</v>
      </c>
      <c r="L24" s="393">
        <f>50.017*1.3</f>
        <v>65.022100000000009</v>
      </c>
      <c r="M24" s="466">
        <f>(H24+I24)*1%</f>
        <v>4.8601929999999998</v>
      </c>
      <c r="N24" s="466">
        <f t="shared" si="7"/>
        <v>524.86345789999984</v>
      </c>
      <c r="O24" s="466">
        <f t="shared" si="13"/>
        <v>439.18439999999993</v>
      </c>
      <c r="P24" s="466">
        <f t="shared" si="8"/>
        <v>80.482389999999995</v>
      </c>
      <c r="Q24" s="466">
        <f t="shared" si="14"/>
        <v>5.7685000000000004</v>
      </c>
      <c r="R24" s="466">
        <f t="shared" si="9"/>
        <v>5.1902600000000003</v>
      </c>
      <c r="S24" s="466">
        <f>(L24/1.3)*1.39</f>
        <v>69.523629999999997</v>
      </c>
      <c r="T24" s="466">
        <f>(O24+P24)*1%</f>
        <v>5.1966678999999987</v>
      </c>
      <c r="U24" s="466">
        <f>T24-M24</f>
        <v>0.33647489999999891</v>
      </c>
      <c r="V24" s="466">
        <f>U24*6</f>
        <v>2.0188493999999935</v>
      </c>
    </row>
    <row r="25" spans="1:22" s="24" customFormat="1" ht="22.5" customHeight="1">
      <c r="A25" s="460"/>
      <c r="B25" s="1172" t="s">
        <v>2856</v>
      </c>
      <c r="C25" s="44">
        <v>49</v>
      </c>
      <c r="D25" s="465">
        <f t="shared" si="11"/>
        <v>4.3446820000000006</v>
      </c>
      <c r="E25" s="44"/>
      <c r="F25" s="44">
        <v>49</v>
      </c>
      <c r="G25" s="466">
        <f t="shared" si="5"/>
        <v>219.406441</v>
      </c>
      <c r="H25" s="393">
        <f>189.86-4.98*1.3</f>
        <v>183.38600000000002</v>
      </c>
      <c r="I25" s="466">
        <f t="shared" si="6"/>
        <v>33.848100000000002</v>
      </c>
      <c r="J25" s="393">
        <f>3.3*1.3</f>
        <v>4.29</v>
      </c>
      <c r="K25" s="393">
        <f>0.976*1.3</f>
        <v>1.2687999999999999</v>
      </c>
      <c r="L25" s="393">
        <f>29.913-1.249*1.3</f>
        <v>28.289300000000001</v>
      </c>
      <c r="M25" s="466">
        <f t="shared" si="12"/>
        <v>2.1723410000000003</v>
      </c>
      <c r="N25" s="466">
        <f t="shared" si="7"/>
        <v>234.59611768461539</v>
      </c>
      <c r="O25" s="466">
        <f t="shared" si="13"/>
        <v>196.08195384615385</v>
      </c>
      <c r="P25" s="466">
        <f t="shared" si="8"/>
        <v>36.191429999999997</v>
      </c>
      <c r="Q25" s="466">
        <f t="shared" si="14"/>
        <v>4.5869999999999997</v>
      </c>
      <c r="R25" s="466">
        <f t="shared" si="9"/>
        <v>1.3566399999999996</v>
      </c>
      <c r="S25" s="466">
        <f t="shared" si="9"/>
        <v>30.247789999999998</v>
      </c>
      <c r="T25" s="466">
        <f t="shared" si="15"/>
        <v>2.3227338384615384</v>
      </c>
      <c r="U25" s="466">
        <f t="shared" si="16"/>
        <v>0.15039283846153806</v>
      </c>
      <c r="V25" s="466">
        <f t="shared" si="10"/>
        <v>0.90235703076922835</v>
      </c>
    </row>
    <row r="26" spans="1:22" s="24" customFormat="1" ht="22.5" customHeight="1">
      <c r="A26" s="460"/>
      <c r="B26" s="1172" t="s">
        <v>2857</v>
      </c>
      <c r="C26" s="44">
        <v>32</v>
      </c>
      <c r="D26" s="465">
        <f t="shared" si="11"/>
        <v>3.4702200000000007</v>
      </c>
      <c r="E26" s="44"/>
      <c r="F26" s="44">
        <v>32</v>
      </c>
      <c r="G26" s="466">
        <f>H26+I26+M26</f>
        <v>175.24611000000002</v>
      </c>
      <c r="H26" s="393">
        <f>115.56*1.3</f>
        <v>150.22800000000001</v>
      </c>
      <c r="I26" s="466">
        <f t="shared" si="6"/>
        <v>23.283000000000001</v>
      </c>
      <c r="J26" s="393">
        <f>2.1*1.3</f>
        <v>2.7300000000000004</v>
      </c>
      <c r="K26" s="393"/>
      <c r="L26" s="393">
        <f>15.81*1.3</f>
        <v>20.553000000000001</v>
      </c>
      <c r="M26" s="466">
        <f>(H26+I26)*1%</f>
        <v>1.7351100000000004</v>
      </c>
      <c r="N26" s="466">
        <f t="shared" si="7"/>
        <v>187.378533</v>
      </c>
      <c r="O26" s="466">
        <f>(H26/1.3)*1.39</f>
        <v>160.6284</v>
      </c>
      <c r="P26" s="466">
        <f t="shared" si="8"/>
        <v>24.8949</v>
      </c>
      <c r="Q26" s="466">
        <f t="shared" si="14"/>
        <v>2.919</v>
      </c>
      <c r="R26" s="466">
        <f t="shared" si="9"/>
        <v>0</v>
      </c>
      <c r="S26" s="466">
        <f>(L26/1.3)*1.39</f>
        <v>21.975899999999999</v>
      </c>
      <c r="T26" s="466">
        <f>(O26+P26)*1%</f>
        <v>1.8552330000000001</v>
      </c>
      <c r="U26" s="466">
        <f>T26-M26</f>
        <v>0.12012299999999976</v>
      </c>
      <c r="V26" s="466">
        <f>U26*6</f>
        <v>0.72073799999999855</v>
      </c>
    </row>
    <row r="27" spans="1:22" s="24" customFormat="1" ht="22.5" customHeight="1">
      <c r="A27" s="460"/>
      <c r="B27" s="1172" t="s">
        <v>2858</v>
      </c>
      <c r="C27" s="44">
        <v>65</v>
      </c>
      <c r="D27" s="465">
        <f t="shared" si="11"/>
        <v>7.6000080000000008</v>
      </c>
      <c r="E27" s="44"/>
      <c r="F27" s="44">
        <v>65</v>
      </c>
      <c r="G27" s="466">
        <f t="shared" si="5"/>
        <v>383.80040400000001</v>
      </c>
      <c r="H27" s="393">
        <f>249.09*1.3</f>
        <v>323.81700000000001</v>
      </c>
      <c r="I27" s="466">
        <f t="shared" si="6"/>
        <v>56.183399999999999</v>
      </c>
      <c r="J27" s="393">
        <f>4.4*1.3</f>
        <v>5.7200000000000006</v>
      </c>
      <c r="K27" s="393">
        <f>0.448*1.3</f>
        <v>0.58240000000000003</v>
      </c>
      <c r="L27" s="393">
        <f>38.37*1.3</f>
        <v>49.881</v>
      </c>
      <c r="M27" s="466">
        <f t="shared" si="12"/>
        <v>3.8000040000000004</v>
      </c>
      <c r="N27" s="466">
        <f t="shared" si="7"/>
        <v>410.37120119999997</v>
      </c>
      <c r="O27" s="466">
        <f t="shared" si="13"/>
        <v>346.23509999999999</v>
      </c>
      <c r="P27" s="466">
        <f t="shared" si="8"/>
        <v>60.073019999999993</v>
      </c>
      <c r="Q27" s="466">
        <f t="shared" si="14"/>
        <v>6.1159999999999997</v>
      </c>
      <c r="R27" s="466">
        <f t="shared" si="9"/>
        <v>0.62271999999999994</v>
      </c>
      <c r="S27" s="466">
        <f t="shared" si="9"/>
        <v>53.334299999999992</v>
      </c>
      <c r="T27" s="466">
        <f t="shared" si="15"/>
        <v>4.0630812000000001</v>
      </c>
      <c r="U27" s="466">
        <f t="shared" si="16"/>
        <v>0.26307719999999968</v>
      </c>
      <c r="V27" s="466">
        <f t="shared" si="10"/>
        <v>1.5784631999999981</v>
      </c>
    </row>
    <row r="28" spans="1:22" s="24" customFormat="1" ht="22.5" customHeight="1">
      <c r="A28" s="460"/>
      <c r="B28" s="1172" t="s">
        <v>2859</v>
      </c>
      <c r="C28" s="44">
        <v>50</v>
      </c>
      <c r="D28" s="465">
        <f t="shared" si="11"/>
        <v>4.1840280000000005</v>
      </c>
      <c r="E28" s="44"/>
      <c r="F28" s="44">
        <v>50</v>
      </c>
      <c r="G28" s="466">
        <f t="shared" si="5"/>
        <v>211.29341400000004</v>
      </c>
      <c r="H28" s="393">
        <f>182.71-4.98*1.3</f>
        <v>176.23600000000002</v>
      </c>
      <c r="I28" s="466">
        <f t="shared" si="6"/>
        <v>32.965400000000002</v>
      </c>
      <c r="J28" s="393">
        <f>3.45*1.3</f>
        <v>4.4850000000000003</v>
      </c>
      <c r="K28" s="393">
        <v>0</v>
      </c>
      <c r="L28" s="393">
        <f>21.908*1.3</f>
        <v>28.480400000000003</v>
      </c>
      <c r="M28" s="466">
        <f t="shared" si="12"/>
        <v>2.0920140000000003</v>
      </c>
      <c r="N28" s="466">
        <f t="shared" si="7"/>
        <v>225.92141958461539</v>
      </c>
      <c r="O28" s="466">
        <f t="shared" si="13"/>
        <v>188.43695384615387</v>
      </c>
      <c r="P28" s="466">
        <f t="shared" si="8"/>
        <v>35.247619999999998</v>
      </c>
      <c r="Q28" s="466">
        <f t="shared" si="14"/>
        <v>4.7954999999999997</v>
      </c>
      <c r="R28" s="466">
        <f t="shared" si="9"/>
        <v>0</v>
      </c>
      <c r="S28" s="466">
        <f t="shared" si="9"/>
        <v>30.452120000000001</v>
      </c>
      <c r="T28" s="466">
        <f t="shared" si="15"/>
        <v>2.2368457384615388</v>
      </c>
      <c r="U28" s="466">
        <f t="shared" si="16"/>
        <v>0.14483173846153852</v>
      </c>
      <c r="V28" s="466">
        <f t="shared" si="10"/>
        <v>0.8689904307692311</v>
      </c>
    </row>
    <row r="29" spans="1:22" s="24" customFormat="1" ht="22.5" customHeight="1">
      <c r="A29" s="460"/>
      <c r="B29" s="1172" t="s">
        <v>2860</v>
      </c>
      <c r="C29" s="44">
        <v>36</v>
      </c>
      <c r="D29" s="465">
        <f t="shared" si="11"/>
        <v>3.7438180000000001</v>
      </c>
      <c r="E29" s="44"/>
      <c r="F29" s="44">
        <v>36</v>
      </c>
      <c r="G29" s="466">
        <f t="shared" si="5"/>
        <v>189.06280899999999</v>
      </c>
      <c r="H29" s="393">
        <f>126.71*1.3</f>
        <v>164.72299999999998</v>
      </c>
      <c r="I29" s="466">
        <f t="shared" si="6"/>
        <v>22.4679</v>
      </c>
      <c r="J29" s="393">
        <f>2.55*1.3</f>
        <v>3.3149999999999999</v>
      </c>
      <c r="K29" s="393">
        <f>0.349*1.3</f>
        <v>0.45369999999999999</v>
      </c>
      <c r="L29" s="393">
        <f>14.384*1.3</f>
        <v>18.699200000000001</v>
      </c>
      <c r="M29" s="466">
        <f t="shared" si="12"/>
        <v>1.871909</v>
      </c>
      <c r="N29" s="466">
        <f t="shared" si="7"/>
        <v>202.15177269999995</v>
      </c>
      <c r="O29" s="466">
        <f t="shared" si="13"/>
        <v>176.12689999999995</v>
      </c>
      <c r="P29" s="466">
        <f t="shared" si="8"/>
        <v>24.023369999999996</v>
      </c>
      <c r="Q29" s="466">
        <f t="shared" si="14"/>
        <v>3.5444999999999993</v>
      </c>
      <c r="R29" s="466">
        <f t="shared" si="9"/>
        <v>0.48510999999999993</v>
      </c>
      <c r="S29" s="466">
        <f t="shared" si="9"/>
        <v>19.993759999999998</v>
      </c>
      <c r="T29" s="466">
        <f t="shared" si="15"/>
        <v>2.0015026999999996</v>
      </c>
      <c r="U29" s="466">
        <f t="shared" si="16"/>
        <v>0.12959369999999959</v>
      </c>
      <c r="V29" s="466">
        <f t="shared" si="10"/>
        <v>0.77756219999999754</v>
      </c>
    </row>
    <row r="30" spans="1:22" s="24" customFormat="1" ht="22.5" customHeight="1">
      <c r="A30" s="460"/>
      <c r="B30" s="1172" t="s">
        <v>2861</v>
      </c>
      <c r="C30" s="44">
        <v>69</v>
      </c>
      <c r="D30" s="465">
        <f t="shared" si="11"/>
        <v>8.1429399999999994</v>
      </c>
      <c r="E30" s="44"/>
      <c r="F30" s="44">
        <v>69</v>
      </c>
      <c r="G30" s="466">
        <f t="shared" si="5"/>
        <v>411.21846999999997</v>
      </c>
      <c r="H30" s="393">
        <f>264.27*1.3</f>
        <v>343.55099999999999</v>
      </c>
      <c r="I30" s="466">
        <f t="shared" si="6"/>
        <v>63.596000000000004</v>
      </c>
      <c r="J30" s="393">
        <f>4.2*1.3</f>
        <v>5.4600000000000009</v>
      </c>
      <c r="K30" s="393">
        <f>2.775*1.3</f>
        <v>3.6074999999999999</v>
      </c>
      <c r="L30" s="393">
        <f>41.945*1.3</f>
        <v>54.528500000000001</v>
      </c>
      <c r="M30" s="466">
        <f t="shared" si="12"/>
        <v>4.0714699999999997</v>
      </c>
      <c r="N30" s="466">
        <f t="shared" si="7"/>
        <v>439.68744099999992</v>
      </c>
      <c r="O30" s="466">
        <f t="shared" si="13"/>
        <v>367.33529999999996</v>
      </c>
      <c r="P30" s="466">
        <f t="shared" si="8"/>
        <v>67.998799999999989</v>
      </c>
      <c r="Q30" s="466">
        <f t="shared" si="14"/>
        <v>5.8380000000000001</v>
      </c>
      <c r="R30" s="466">
        <f t="shared" si="9"/>
        <v>3.8572499999999996</v>
      </c>
      <c r="S30" s="466">
        <f t="shared" si="9"/>
        <v>58.303549999999994</v>
      </c>
      <c r="T30" s="466">
        <f t="shared" si="15"/>
        <v>4.3533409999999995</v>
      </c>
      <c r="U30" s="466">
        <f t="shared" si="16"/>
        <v>0.28187099999999976</v>
      </c>
      <c r="V30" s="466">
        <f t="shared" si="10"/>
        <v>1.6912259999999986</v>
      </c>
    </row>
    <row r="31" spans="1:22" s="24" customFormat="1" ht="22.5" customHeight="1">
      <c r="A31" s="460"/>
      <c r="B31" s="1172" t="s">
        <v>2862</v>
      </c>
      <c r="C31" s="44">
        <v>36</v>
      </c>
      <c r="D31" s="465">
        <f t="shared" si="11"/>
        <v>3.6259600000000001</v>
      </c>
      <c r="E31" s="44"/>
      <c r="F31" s="44">
        <v>36</v>
      </c>
      <c r="G31" s="466">
        <f t="shared" si="5"/>
        <v>183.11098000000001</v>
      </c>
      <c r="H31" s="393">
        <f>123.45*1.3</f>
        <v>160.48500000000001</v>
      </c>
      <c r="I31" s="466">
        <f t="shared" si="6"/>
        <v>20.812999999999999</v>
      </c>
      <c r="J31" s="393">
        <f>2.35*1.3</f>
        <v>3.0550000000000002</v>
      </c>
      <c r="K31" s="393"/>
      <c r="L31" s="393">
        <f>13.66*1.3</f>
        <v>17.757999999999999</v>
      </c>
      <c r="M31" s="466">
        <f t="shared" si="12"/>
        <v>1.81298</v>
      </c>
      <c r="N31" s="466">
        <f t="shared" si="7"/>
        <v>195.78789399999997</v>
      </c>
      <c r="O31" s="466">
        <f t="shared" si="13"/>
        <v>171.59549999999999</v>
      </c>
      <c r="P31" s="466">
        <f t="shared" si="8"/>
        <v>22.253899999999998</v>
      </c>
      <c r="Q31" s="466">
        <f t="shared" si="14"/>
        <v>3.2664999999999997</v>
      </c>
      <c r="R31" s="466">
        <f t="shared" si="9"/>
        <v>0</v>
      </c>
      <c r="S31" s="466">
        <f t="shared" si="9"/>
        <v>18.987399999999997</v>
      </c>
      <c r="T31" s="466">
        <f t="shared" si="15"/>
        <v>1.9384939999999997</v>
      </c>
      <c r="U31" s="466">
        <f t="shared" si="16"/>
        <v>0.12551399999999968</v>
      </c>
      <c r="V31" s="466">
        <f t="shared" si="10"/>
        <v>0.75308399999999809</v>
      </c>
    </row>
    <row r="32" spans="1:22" s="24" customFormat="1" ht="22.5" customHeight="1">
      <c r="A32" s="460"/>
      <c r="B32" s="1172" t="s">
        <v>2863</v>
      </c>
      <c r="C32" s="44">
        <v>47</v>
      </c>
      <c r="D32" s="465">
        <f t="shared" si="11"/>
        <v>3.8058940000000003</v>
      </c>
      <c r="E32" s="44"/>
      <c r="F32" s="44">
        <v>47</v>
      </c>
      <c r="G32" s="466">
        <f t="shared" si="5"/>
        <v>192.19764700000002</v>
      </c>
      <c r="H32" s="393">
        <f>172.14-4.98*1.3</f>
        <v>165.666</v>
      </c>
      <c r="I32" s="466">
        <f t="shared" si="6"/>
        <v>24.628700000000002</v>
      </c>
      <c r="J32" s="393">
        <f>3.86-0.6*1.3</f>
        <v>3.08</v>
      </c>
      <c r="K32" s="393">
        <f>0.25*1.3</f>
        <v>0.32500000000000001</v>
      </c>
      <c r="L32" s="393">
        <f>24.02-2.151*1.3</f>
        <v>21.223700000000001</v>
      </c>
      <c r="M32" s="466">
        <f t="shared" si="12"/>
        <v>1.9029470000000002</v>
      </c>
      <c r="N32" s="466">
        <f t="shared" si="7"/>
        <v>205.50363794615384</v>
      </c>
      <c r="O32" s="466">
        <f t="shared" si="13"/>
        <v>177.13518461538459</v>
      </c>
      <c r="P32" s="466">
        <f t="shared" si="8"/>
        <v>26.333763846153843</v>
      </c>
      <c r="Q32" s="466">
        <f t="shared" si="14"/>
        <v>3.2932307692307692</v>
      </c>
      <c r="R32" s="466">
        <f t="shared" si="9"/>
        <v>0.34749999999999998</v>
      </c>
      <c r="S32" s="466">
        <f t="shared" si="9"/>
        <v>22.693033076923072</v>
      </c>
      <c r="T32" s="466">
        <f t="shared" si="15"/>
        <v>2.0346894846153845</v>
      </c>
      <c r="U32" s="466">
        <f t="shared" si="16"/>
        <v>0.13174248461538429</v>
      </c>
      <c r="V32" s="466">
        <f t="shared" si="10"/>
        <v>0.79045490769230575</v>
      </c>
    </row>
    <row r="33" spans="1:22" s="24" customFormat="1" ht="22.5" customHeight="1">
      <c r="A33" s="460"/>
      <c r="B33" s="1172" t="s">
        <v>2864</v>
      </c>
      <c r="C33" s="44">
        <v>68</v>
      </c>
      <c r="D33" s="465">
        <f t="shared" si="11"/>
        <v>6.4478539999999995</v>
      </c>
      <c r="E33" s="44"/>
      <c r="F33" s="44">
        <v>68</v>
      </c>
      <c r="G33" s="466">
        <f t="shared" si="5"/>
        <v>325.61662699999999</v>
      </c>
      <c r="H33" s="393">
        <f>265.09-4.98*1.3</f>
        <v>258.61599999999999</v>
      </c>
      <c r="I33" s="466">
        <f t="shared" si="6"/>
        <v>63.776700000000005</v>
      </c>
      <c r="J33" s="393">
        <f>4.2*1.3</f>
        <v>5.4600000000000009</v>
      </c>
      <c r="K33" s="393">
        <f>2.58*1.3</f>
        <v>3.3540000000000001</v>
      </c>
      <c r="L33" s="393">
        <f>42.279*1.3</f>
        <v>54.962700000000005</v>
      </c>
      <c r="M33" s="466">
        <f t="shared" si="12"/>
        <v>3.2239269999999998</v>
      </c>
      <c r="N33" s="466">
        <f t="shared" si="7"/>
        <v>348.15931656153845</v>
      </c>
      <c r="O33" s="466">
        <f t="shared" si="13"/>
        <v>276.52018461538461</v>
      </c>
      <c r="P33" s="466">
        <f t="shared" si="8"/>
        <v>68.192009999999996</v>
      </c>
      <c r="Q33" s="466">
        <f t="shared" si="14"/>
        <v>5.8380000000000001</v>
      </c>
      <c r="R33" s="466">
        <f t="shared" si="9"/>
        <v>3.5861999999999998</v>
      </c>
      <c r="S33" s="466">
        <f t="shared" si="9"/>
        <v>58.767809999999997</v>
      </c>
      <c r="T33" s="466">
        <f t="shared" si="15"/>
        <v>3.447121946153846</v>
      </c>
      <c r="U33" s="466">
        <f t="shared" si="16"/>
        <v>0.22319494615384627</v>
      </c>
      <c r="V33" s="466">
        <f t="shared" si="10"/>
        <v>1.3391696769230776</v>
      </c>
    </row>
    <row r="34" spans="1:22" s="24" customFormat="1" ht="22.5" customHeight="1">
      <c r="A34" s="460"/>
      <c r="B34" s="1172" t="s">
        <v>2865</v>
      </c>
      <c r="C34" s="44">
        <v>77</v>
      </c>
      <c r="D34" s="465">
        <f t="shared" si="11"/>
        <v>8.9184160000000006</v>
      </c>
      <c r="E34" s="44"/>
      <c r="F34" s="44">
        <v>77</v>
      </c>
      <c r="G34" s="466">
        <f t="shared" si="5"/>
        <v>450.38000800000003</v>
      </c>
      <c r="H34" s="393">
        <f>293.61*1.3</f>
        <v>381.69300000000004</v>
      </c>
      <c r="I34" s="466">
        <f t="shared" si="6"/>
        <v>64.227800000000002</v>
      </c>
      <c r="J34" s="393">
        <f>3.55*1.3</f>
        <v>4.6150000000000002</v>
      </c>
      <c r="K34" s="393">
        <f>0.989*1.3</f>
        <v>1.2857000000000001</v>
      </c>
      <c r="L34" s="393">
        <f>44.867*1.3</f>
        <v>58.327100000000002</v>
      </c>
      <c r="M34" s="466">
        <f t="shared" si="12"/>
        <v>4.4592080000000003</v>
      </c>
      <c r="N34" s="466">
        <f t="shared" si="7"/>
        <v>481.56016239999991</v>
      </c>
      <c r="O34" s="466">
        <f t="shared" si="13"/>
        <v>408.11789999999996</v>
      </c>
      <c r="P34" s="466">
        <f t="shared" si="8"/>
        <v>68.674339999999987</v>
      </c>
      <c r="Q34" s="466">
        <f t="shared" si="14"/>
        <v>4.934499999999999</v>
      </c>
      <c r="R34" s="466">
        <f t="shared" si="9"/>
        <v>1.3747099999999999</v>
      </c>
      <c r="S34" s="466">
        <f t="shared" si="9"/>
        <v>62.365129999999994</v>
      </c>
      <c r="T34" s="466">
        <f t="shared" si="15"/>
        <v>4.7679223999999998</v>
      </c>
      <c r="U34" s="466">
        <f>T34-M34</f>
        <v>0.3087143999999995</v>
      </c>
      <c r="V34" s="466">
        <f t="shared" si="10"/>
        <v>1.852286399999997</v>
      </c>
    </row>
    <row r="35" spans="1:22" s="24" customFormat="1" ht="22.5" customHeight="1">
      <c r="A35" s="460"/>
      <c r="B35" s="1172" t="s">
        <v>2866</v>
      </c>
      <c r="C35" s="44">
        <v>57</v>
      </c>
      <c r="D35" s="465">
        <f t="shared" si="11"/>
        <v>6.4382500000000009</v>
      </c>
      <c r="E35" s="44"/>
      <c r="F35" s="44">
        <v>57</v>
      </c>
      <c r="G35" s="466">
        <f t="shared" si="5"/>
        <v>325.13162500000004</v>
      </c>
      <c r="H35" s="393">
        <f>210.99*1.3</f>
        <v>274.28700000000003</v>
      </c>
      <c r="I35" s="466">
        <f t="shared" si="6"/>
        <v>47.625499999999995</v>
      </c>
      <c r="J35" s="393">
        <f>3*1.3</f>
        <v>3.9000000000000004</v>
      </c>
      <c r="K35" s="393">
        <f>1.046*1.3</f>
        <v>1.3598000000000001</v>
      </c>
      <c r="L35" s="393">
        <f>32.589*1.3</f>
        <v>42.365699999999997</v>
      </c>
      <c r="M35" s="466">
        <f t="shared" si="12"/>
        <v>3.2191250000000005</v>
      </c>
      <c r="N35" s="466">
        <f t="shared" si="7"/>
        <v>347.64073749999994</v>
      </c>
      <c r="O35" s="466">
        <f t="shared" si="13"/>
        <v>293.27609999999999</v>
      </c>
      <c r="P35" s="466">
        <f t="shared" si="8"/>
        <v>50.92264999999999</v>
      </c>
      <c r="Q35" s="466">
        <f t="shared" si="14"/>
        <v>4.17</v>
      </c>
      <c r="R35" s="466">
        <f t="shared" si="14"/>
        <v>1.45394</v>
      </c>
      <c r="S35" s="466">
        <f t="shared" si="14"/>
        <v>45.298709999999993</v>
      </c>
      <c r="T35" s="466">
        <f t="shared" si="15"/>
        <v>3.4419874999999998</v>
      </c>
      <c r="U35" s="466">
        <f t="shared" si="16"/>
        <v>0.2228624999999993</v>
      </c>
      <c r="V35" s="466">
        <f t="shared" si="10"/>
        <v>1.3371749999999958</v>
      </c>
    </row>
    <row r="36" spans="1:22" s="24" customFormat="1" ht="22.5" customHeight="1">
      <c r="A36" s="460"/>
      <c r="B36" s="1172" t="s">
        <v>2867</v>
      </c>
      <c r="C36" s="44">
        <v>69</v>
      </c>
      <c r="D36" s="465">
        <f t="shared" si="11"/>
        <v>7.5421579999999997</v>
      </c>
      <c r="E36" s="44"/>
      <c r="F36" s="44">
        <v>69</v>
      </c>
      <c r="G36" s="466">
        <f t="shared" si="5"/>
        <v>380.87897899999996</v>
      </c>
      <c r="H36" s="393">
        <f>251.72*1.3</f>
        <v>327.23599999999999</v>
      </c>
      <c r="I36" s="466">
        <f t="shared" si="6"/>
        <v>49.871899999999997</v>
      </c>
      <c r="J36" s="393">
        <f>3.25*1.3</f>
        <v>4.2250000000000005</v>
      </c>
      <c r="K36" s="393">
        <f>0.847*1.3</f>
        <v>1.1011</v>
      </c>
      <c r="L36" s="393">
        <f>34.266*1.3</f>
        <v>44.5458</v>
      </c>
      <c r="M36" s="466">
        <f t="shared" si="12"/>
        <v>3.7710789999999998</v>
      </c>
      <c r="N36" s="466">
        <f t="shared" si="7"/>
        <v>407.24752369999993</v>
      </c>
      <c r="O36" s="466">
        <f t="shared" si="13"/>
        <v>349.89079999999996</v>
      </c>
      <c r="P36" s="466">
        <f t="shared" si="8"/>
        <v>53.324569999999994</v>
      </c>
      <c r="Q36" s="466">
        <f t="shared" si="14"/>
        <v>4.5175000000000001</v>
      </c>
      <c r="R36" s="466">
        <f t="shared" si="14"/>
        <v>1.17733</v>
      </c>
      <c r="S36" s="466">
        <f t="shared" si="14"/>
        <v>47.629739999999991</v>
      </c>
      <c r="T36" s="466">
        <f t="shared" si="15"/>
        <v>4.0321536999999994</v>
      </c>
      <c r="U36" s="466">
        <f t="shared" si="16"/>
        <v>0.26107469999999955</v>
      </c>
      <c r="V36" s="466">
        <f t="shared" si="10"/>
        <v>1.5664481999999973</v>
      </c>
    </row>
    <row r="37" spans="1:22" s="24" customFormat="1" ht="22.5" customHeight="1">
      <c r="A37" s="460"/>
      <c r="B37" s="1172" t="s">
        <v>2868</v>
      </c>
      <c r="C37" s="44">
        <v>54</v>
      </c>
      <c r="D37" s="465">
        <f t="shared" si="11"/>
        <v>4.5489720000000009</v>
      </c>
      <c r="E37" s="44"/>
      <c r="F37" s="44">
        <v>54</v>
      </c>
      <c r="G37" s="466">
        <f t="shared" si="5"/>
        <v>229.72308600000002</v>
      </c>
      <c r="H37" s="393">
        <f>201.09-4.65*1.3</f>
        <v>195.04500000000002</v>
      </c>
      <c r="I37" s="466">
        <f t="shared" si="6"/>
        <v>32.403600000000004</v>
      </c>
      <c r="J37" s="393">
        <f>3.4-0.6*1.3</f>
        <v>2.62</v>
      </c>
      <c r="K37" s="393">
        <f>1.79*1.3</f>
        <v>2.327</v>
      </c>
      <c r="L37" s="393">
        <f>28.754-0.998*1.3</f>
        <v>27.456600000000002</v>
      </c>
      <c r="M37" s="466">
        <f t="shared" si="12"/>
        <v>2.2744860000000005</v>
      </c>
      <c r="N37" s="466">
        <f t="shared" si="7"/>
        <v>245.62699195384616</v>
      </c>
      <c r="O37" s="466">
        <f t="shared" si="13"/>
        <v>208.54811538461539</v>
      </c>
      <c r="P37" s="466">
        <f t="shared" si="8"/>
        <v>34.646926153846152</v>
      </c>
      <c r="Q37" s="466">
        <f t="shared" si="14"/>
        <v>2.8013846153846149</v>
      </c>
      <c r="R37" s="466">
        <f t="shared" si="14"/>
        <v>2.4880999999999998</v>
      </c>
      <c r="S37" s="466">
        <f t="shared" si="14"/>
        <v>29.357441538461536</v>
      </c>
      <c r="T37" s="466">
        <f t="shared" si="15"/>
        <v>2.4319504153846156</v>
      </c>
      <c r="U37" s="466">
        <f t="shared" si="16"/>
        <v>0.1574644153846152</v>
      </c>
      <c r="V37" s="466">
        <f t="shared" si="10"/>
        <v>0.94478649230769118</v>
      </c>
    </row>
    <row r="38" spans="1:22" s="24" customFormat="1" ht="22.5" customHeight="1">
      <c r="A38" s="460"/>
      <c r="B38" s="1172" t="s">
        <v>2869</v>
      </c>
      <c r="C38" s="44">
        <v>31</v>
      </c>
      <c r="D38" s="465">
        <f t="shared" si="11"/>
        <v>3.2758180000000006</v>
      </c>
      <c r="E38" s="44"/>
      <c r="F38" s="44">
        <v>31</v>
      </c>
      <c r="G38" s="466">
        <f t="shared" si="5"/>
        <v>165.42880900000003</v>
      </c>
      <c r="H38" s="393">
        <f>109.65*1.3</f>
        <v>142.54500000000002</v>
      </c>
      <c r="I38" s="466">
        <f t="shared" si="6"/>
        <v>21.245899999999999</v>
      </c>
      <c r="J38" s="393">
        <f>2.3*1.3</f>
        <v>2.9899999999999998</v>
      </c>
      <c r="K38" s="393">
        <f>0.299*1.3</f>
        <v>0.38869999999999999</v>
      </c>
      <c r="L38" s="393">
        <f>13.744*1.3</f>
        <v>17.8672</v>
      </c>
      <c r="M38" s="466">
        <f t="shared" si="12"/>
        <v>1.6379090000000003</v>
      </c>
      <c r="N38" s="466">
        <f t="shared" si="7"/>
        <v>176.88157269999999</v>
      </c>
      <c r="O38" s="466">
        <f t="shared" si="13"/>
        <v>152.4135</v>
      </c>
      <c r="P38" s="466">
        <f t="shared" si="8"/>
        <v>22.716769999999997</v>
      </c>
      <c r="Q38" s="466">
        <f t="shared" si="14"/>
        <v>3.1969999999999996</v>
      </c>
      <c r="R38" s="466">
        <f t="shared" si="14"/>
        <v>0.41560999999999998</v>
      </c>
      <c r="S38" s="466">
        <f t="shared" si="14"/>
        <v>19.104159999999997</v>
      </c>
      <c r="T38" s="466">
        <f t="shared" si="15"/>
        <v>1.7513027000000001</v>
      </c>
      <c r="U38" s="466">
        <f t="shared" si="16"/>
        <v>0.11339369999999982</v>
      </c>
      <c r="V38" s="466">
        <f t="shared" si="10"/>
        <v>0.68036219999999892</v>
      </c>
    </row>
    <row r="39" spans="1:22" s="24" customFormat="1" ht="22.5" customHeight="1">
      <c r="A39" s="460"/>
      <c r="B39" s="1172" t="s">
        <v>2870</v>
      </c>
      <c r="C39" s="44">
        <v>47</v>
      </c>
      <c r="D39" s="465">
        <f t="shared" si="11"/>
        <v>5.0260600000000002</v>
      </c>
      <c r="E39" s="44"/>
      <c r="F39" s="44">
        <v>47</v>
      </c>
      <c r="G39" s="466">
        <f t="shared" si="5"/>
        <v>253.81603000000001</v>
      </c>
      <c r="H39" s="393">
        <f>168.15*1.3</f>
        <v>218.59500000000003</v>
      </c>
      <c r="I39" s="466">
        <f t="shared" si="6"/>
        <v>32.707999999999998</v>
      </c>
      <c r="J39" s="393">
        <f>2.85*1.3</f>
        <v>3.7050000000000001</v>
      </c>
      <c r="K39" s="393">
        <f>0.99*1.3</f>
        <v>1.2869999999999999</v>
      </c>
      <c r="L39" s="393">
        <f>21.32*1.3</f>
        <v>27.716000000000001</v>
      </c>
      <c r="M39" s="466">
        <f t="shared" si="12"/>
        <v>2.5130300000000001</v>
      </c>
      <c r="N39" s="466">
        <f t="shared" si="7"/>
        <v>271.38790899999998</v>
      </c>
      <c r="O39" s="466">
        <f t="shared" si="13"/>
        <v>233.7285</v>
      </c>
      <c r="P39" s="466">
        <f t="shared" si="8"/>
        <v>34.9724</v>
      </c>
      <c r="Q39" s="466">
        <f t="shared" si="14"/>
        <v>3.9615</v>
      </c>
      <c r="R39" s="466">
        <f t="shared" si="14"/>
        <v>1.3760999999999997</v>
      </c>
      <c r="S39" s="466">
        <f t="shared" si="14"/>
        <v>29.634799999999998</v>
      </c>
      <c r="T39" s="466">
        <f t="shared" si="15"/>
        <v>2.6870089999999998</v>
      </c>
      <c r="U39" s="466">
        <f t="shared" si="16"/>
        <v>0.17397899999999966</v>
      </c>
      <c r="V39" s="466">
        <f t="shared" si="10"/>
        <v>1.043873999999998</v>
      </c>
    </row>
    <row r="40" spans="1:22" s="24" customFormat="1" ht="22.5" customHeight="1">
      <c r="A40" s="460"/>
      <c r="B40" s="1172" t="s">
        <v>2871</v>
      </c>
      <c r="C40" s="44">
        <v>41</v>
      </c>
      <c r="D40" s="465">
        <f t="shared" si="11"/>
        <v>4.6320560000000004</v>
      </c>
      <c r="E40" s="44"/>
      <c r="F40" s="44">
        <v>41</v>
      </c>
      <c r="G40" s="466">
        <f t="shared" si="5"/>
        <v>233.91882799999999</v>
      </c>
      <c r="H40" s="393">
        <f>152.57*1.3</f>
        <v>198.34100000000001</v>
      </c>
      <c r="I40" s="466">
        <f t="shared" si="6"/>
        <v>33.261800000000001</v>
      </c>
      <c r="J40" s="393">
        <f>0.3*1.3</f>
        <v>0.39</v>
      </c>
      <c r="K40" s="393">
        <f>1.561*1.3</f>
        <v>2.0293000000000001</v>
      </c>
      <c r="L40" s="393">
        <f>23.725*1.3</f>
        <v>30.842500000000001</v>
      </c>
      <c r="M40" s="466">
        <f t="shared" si="12"/>
        <v>2.3160280000000002</v>
      </c>
      <c r="N40" s="466">
        <f t="shared" si="7"/>
        <v>250.11320839999999</v>
      </c>
      <c r="O40" s="466">
        <f t="shared" si="13"/>
        <v>212.07229999999998</v>
      </c>
      <c r="P40" s="466">
        <f t="shared" si="8"/>
        <v>35.564540000000001</v>
      </c>
      <c r="Q40" s="466">
        <f t="shared" si="14"/>
        <v>0.41699999999999998</v>
      </c>
      <c r="R40" s="466">
        <f t="shared" si="14"/>
        <v>2.1697899999999999</v>
      </c>
      <c r="S40" s="466">
        <f t="shared" si="14"/>
        <v>32.97775</v>
      </c>
      <c r="T40" s="466">
        <f t="shared" si="15"/>
        <v>2.4763683999999997</v>
      </c>
      <c r="U40" s="466">
        <f t="shared" si="16"/>
        <v>0.16034039999999949</v>
      </c>
      <c r="V40" s="466">
        <f t="shared" si="10"/>
        <v>0.96204239999999697</v>
      </c>
    </row>
    <row r="41" spans="1:22" s="24" customFormat="1" ht="22.5" customHeight="1">
      <c r="A41" s="460"/>
      <c r="B41" s="1172" t="s">
        <v>2872</v>
      </c>
      <c r="C41" s="44">
        <v>66</v>
      </c>
      <c r="D41" s="465">
        <f t="shared" si="11"/>
        <v>5.5389979999999994</v>
      </c>
      <c r="E41" s="44"/>
      <c r="F41" s="44">
        <v>66</v>
      </c>
      <c r="G41" s="466">
        <f t="shared" si="5"/>
        <v>279.71939899999995</v>
      </c>
      <c r="H41" s="393">
        <f>248.04-4.65-3.18*1.3</f>
        <v>239.25599999999997</v>
      </c>
      <c r="I41" s="466">
        <f t="shared" si="6"/>
        <v>37.693899999999999</v>
      </c>
      <c r="J41" s="393">
        <f>4.05*1.3</f>
        <v>5.2649999999999997</v>
      </c>
      <c r="K41" s="393">
        <f>0.349*1.3</f>
        <v>0.45369999999999999</v>
      </c>
      <c r="L41" s="393">
        <f>33.296-1.016*1.3</f>
        <v>31.975200000000001</v>
      </c>
      <c r="M41" s="466">
        <f t="shared" si="12"/>
        <v>2.7694989999999997</v>
      </c>
      <c r="N41" s="466">
        <f t="shared" si="7"/>
        <v>299.08458816153836</v>
      </c>
      <c r="O41" s="466">
        <f t="shared" si="13"/>
        <v>255.81987692307683</v>
      </c>
      <c r="P41" s="466">
        <f t="shared" si="8"/>
        <v>40.303477692307688</v>
      </c>
      <c r="Q41" s="466">
        <f t="shared" si="14"/>
        <v>5.6294999999999993</v>
      </c>
      <c r="R41" s="466">
        <f t="shared" si="14"/>
        <v>0.48510999999999993</v>
      </c>
      <c r="S41" s="466">
        <f t="shared" si="14"/>
        <v>34.188867692307689</v>
      </c>
      <c r="T41" s="466">
        <f t="shared" si="15"/>
        <v>2.9612335461538453</v>
      </c>
      <c r="U41" s="466">
        <f t="shared" si="16"/>
        <v>0.19173454615384555</v>
      </c>
      <c r="V41" s="466">
        <f t="shared" si="10"/>
        <v>1.1504072769230733</v>
      </c>
    </row>
    <row r="42" spans="1:22" s="24" customFormat="1" ht="22.5" customHeight="1">
      <c r="A42" s="460"/>
      <c r="B42" s="1172" t="s">
        <v>2873</v>
      </c>
      <c r="C42" s="44">
        <v>44</v>
      </c>
      <c r="D42" s="465">
        <f t="shared" si="11"/>
        <v>4.5878820000000005</v>
      </c>
      <c r="E42" s="44"/>
      <c r="F42" s="44">
        <v>44</v>
      </c>
      <c r="G42" s="466">
        <f t="shared" si="5"/>
        <v>231.688041</v>
      </c>
      <c r="H42" s="393">
        <f>153.65*1.3</f>
        <v>199.745</v>
      </c>
      <c r="I42" s="466">
        <f t="shared" si="6"/>
        <v>29.649100000000001</v>
      </c>
      <c r="J42" s="393">
        <f>2.95*1.3</f>
        <v>3.8350000000000004</v>
      </c>
      <c r="K42" s="393">
        <f>0.448*1.3</f>
        <v>0.58240000000000003</v>
      </c>
      <c r="L42" s="393">
        <f>19.409*1.3</f>
        <v>25.2317</v>
      </c>
      <c r="M42" s="466">
        <f t="shared" si="12"/>
        <v>2.2939410000000002</v>
      </c>
      <c r="N42" s="466">
        <f t="shared" si="7"/>
        <v>247.72798229999998</v>
      </c>
      <c r="O42" s="466">
        <f t="shared" si="13"/>
        <v>213.5735</v>
      </c>
      <c r="P42" s="466">
        <f t="shared" si="8"/>
        <v>31.701729999999998</v>
      </c>
      <c r="Q42" s="466">
        <f t="shared" si="14"/>
        <v>4.1005000000000003</v>
      </c>
      <c r="R42" s="466">
        <f t="shared" si="14"/>
        <v>0.62271999999999994</v>
      </c>
      <c r="S42" s="466">
        <f t="shared" si="14"/>
        <v>26.978509999999996</v>
      </c>
      <c r="T42" s="466">
        <f t="shared" si="15"/>
        <v>2.4527522999999998</v>
      </c>
      <c r="U42" s="466">
        <f t="shared" si="16"/>
        <v>0.15881129999999954</v>
      </c>
      <c r="V42" s="466">
        <f t="shared" si="10"/>
        <v>0.95286779999999727</v>
      </c>
    </row>
    <row r="43" spans="1:22" s="24" customFormat="1" ht="22.5" customHeight="1">
      <c r="A43" s="460"/>
      <c r="B43" s="1172" t="s">
        <v>2874</v>
      </c>
      <c r="C43" s="44">
        <v>57</v>
      </c>
      <c r="D43" s="465">
        <f t="shared" si="11"/>
        <v>6.1798620000000009</v>
      </c>
      <c r="E43" s="44"/>
      <c r="F43" s="44">
        <v>57</v>
      </c>
      <c r="G43" s="466">
        <f t="shared" si="5"/>
        <v>312.08303100000001</v>
      </c>
      <c r="H43" s="393">
        <f>205.72*1.3</f>
        <v>267.43600000000004</v>
      </c>
      <c r="I43" s="466">
        <f t="shared" si="6"/>
        <v>41.557100000000005</v>
      </c>
      <c r="J43" s="393">
        <f>3.1*1.3</f>
        <v>4.03</v>
      </c>
      <c r="K43" s="393">
        <f>0.697*1.3</f>
        <v>0.90610000000000002</v>
      </c>
      <c r="L43" s="393">
        <f>28.17*1.3</f>
        <v>36.621000000000002</v>
      </c>
      <c r="M43" s="466">
        <f t="shared" si="12"/>
        <v>3.0899310000000004</v>
      </c>
      <c r="N43" s="466">
        <f t="shared" si="7"/>
        <v>333.68877930000002</v>
      </c>
      <c r="O43" s="466">
        <f t="shared" si="13"/>
        <v>285.95080000000002</v>
      </c>
      <c r="P43" s="466">
        <f t="shared" si="8"/>
        <v>44.434130000000003</v>
      </c>
      <c r="Q43" s="466">
        <f t="shared" si="14"/>
        <v>4.3090000000000002</v>
      </c>
      <c r="R43" s="466">
        <f t="shared" si="14"/>
        <v>0.96882999999999986</v>
      </c>
      <c r="S43" s="466">
        <f t="shared" si="14"/>
        <v>39.156300000000002</v>
      </c>
      <c r="T43" s="466">
        <f t="shared" si="15"/>
        <v>3.3038493</v>
      </c>
      <c r="U43" s="466">
        <f t="shared" si="16"/>
        <v>0.21391829999999956</v>
      </c>
      <c r="V43" s="466">
        <f t="shared" si="10"/>
        <v>1.2835097999999974</v>
      </c>
    </row>
    <row r="44" spans="1:22" s="24" customFormat="1" ht="22.5" customHeight="1">
      <c r="A44" s="460"/>
      <c r="B44" s="1172" t="s">
        <v>2875</v>
      </c>
      <c r="C44" s="44">
        <v>38</v>
      </c>
      <c r="D44" s="465">
        <f t="shared" si="11"/>
        <v>2.73387</v>
      </c>
      <c r="E44" s="44"/>
      <c r="F44" s="44">
        <v>38</v>
      </c>
      <c r="G44" s="466">
        <f t="shared" si="5"/>
        <v>138.06043500000001</v>
      </c>
      <c r="H44" s="393">
        <f>126.86-3.66*1.3</f>
        <v>122.102</v>
      </c>
      <c r="I44" s="466">
        <f t="shared" si="6"/>
        <v>14.5915</v>
      </c>
      <c r="J44" s="393">
        <f>2.8-0.45*1.3</f>
        <v>2.2149999999999999</v>
      </c>
      <c r="K44" s="393">
        <v>0</v>
      </c>
      <c r="L44" s="393">
        <f>13.124-0.575*1.3</f>
        <v>12.3765</v>
      </c>
      <c r="M44" s="466">
        <f t="shared" si="12"/>
        <v>1.366935</v>
      </c>
      <c r="N44" s="466">
        <f t="shared" si="7"/>
        <v>147.61846511538459</v>
      </c>
      <c r="O44" s="466">
        <f t="shared" si="13"/>
        <v>130.55521538461537</v>
      </c>
      <c r="P44" s="466">
        <f t="shared" si="8"/>
        <v>15.601680769230768</v>
      </c>
      <c r="Q44" s="466">
        <f t="shared" si="14"/>
        <v>2.3683461538461534</v>
      </c>
      <c r="R44" s="466">
        <f t="shared" si="14"/>
        <v>0</v>
      </c>
      <c r="S44" s="466">
        <f t="shared" si="14"/>
        <v>13.233334615384614</v>
      </c>
      <c r="T44" s="466">
        <f t="shared" si="15"/>
        <v>1.4615689615384613</v>
      </c>
      <c r="U44" s="466">
        <f t="shared" si="16"/>
        <v>9.4633961538461264E-2</v>
      </c>
      <c r="V44" s="466">
        <f t="shared" si="10"/>
        <v>0.56780376923076759</v>
      </c>
    </row>
    <row r="45" spans="1:22" s="24" customFormat="1" ht="22.5" customHeight="1">
      <c r="A45" s="460"/>
      <c r="B45" s="1172" t="s">
        <v>2876</v>
      </c>
      <c r="C45" s="44">
        <v>48</v>
      </c>
      <c r="D45" s="465">
        <f t="shared" si="11"/>
        <v>3.6976000000000004</v>
      </c>
      <c r="E45" s="44"/>
      <c r="F45" s="44">
        <v>48</v>
      </c>
      <c r="G45" s="466">
        <f t="shared" si="5"/>
        <v>186.72880000000004</v>
      </c>
      <c r="H45" s="393">
        <f>168.08-4.98*1.3</f>
        <v>161.60600000000002</v>
      </c>
      <c r="I45" s="466">
        <f t="shared" si="6"/>
        <v>23.274000000000001</v>
      </c>
      <c r="J45" s="393">
        <f>3.3*1.3</f>
        <v>4.29</v>
      </c>
      <c r="K45" s="393">
        <v>0</v>
      </c>
      <c r="L45" s="393">
        <f>21.233-1.73*1.3</f>
        <v>18.984000000000002</v>
      </c>
      <c r="M45" s="466">
        <f t="shared" si="12"/>
        <v>1.8488000000000002</v>
      </c>
      <c r="N45" s="466">
        <f t="shared" si="7"/>
        <v>199.65617846153847</v>
      </c>
      <c r="O45" s="466">
        <f t="shared" si="13"/>
        <v>172.7941076923077</v>
      </c>
      <c r="P45" s="466">
        <f t="shared" si="8"/>
        <v>24.885276923076923</v>
      </c>
      <c r="Q45" s="466">
        <f t="shared" si="14"/>
        <v>4.5869999999999997</v>
      </c>
      <c r="R45" s="466">
        <f t="shared" si="14"/>
        <v>0</v>
      </c>
      <c r="S45" s="466">
        <f t="shared" si="14"/>
        <v>20.298276923076923</v>
      </c>
      <c r="T45" s="466">
        <f t="shared" si="15"/>
        <v>1.9767938461538463</v>
      </c>
      <c r="U45" s="466">
        <f t="shared" si="16"/>
        <v>0.12799384615384612</v>
      </c>
      <c r="V45" s="466">
        <f t="shared" si="10"/>
        <v>0.76796307692307675</v>
      </c>
    </row>
    <row r="46" spans="1:22" s="24" customFormat="1" ht="22.5" customHeight="1">
      <c r="A46" s="460"/>
      <c r="B46" s="1172" t="s">
        <v>2877</v>
      </c>
      <c r="C46" s="44">
        <v>87</v>
      </c>
      <c r="D46" s="465">
        <f t="shared" si="11"/>
        <v>8.0922600000000013</v>
      </c>
      <c r="E46" s="44"/>
      <c r="F46" s="44">
        <v>87</v>
      </c>
      <c r="G46" s="466">
        <f t="shared" si="5"/>
        <v>408.65913000000006</v>
      </c>
      <c r="H46" s="393">
        <f>343.97-3.99*1.3</f>
        <v>338.78300000000002</v>
      </c>
      <c r="I46" s="466">
        <f t="shared" si="6"/>
        <v>65.830000000000013</v>
      </c>
      <c r="J46" s="393">
        <f>6.4-0.7*1.3</f>
        <v>5.49</v>
      </c>
      <c r="K46" s="393">
        <f>3.287*1.3</f>
        <v>4.2731000000000003</v>
      </c>
      <c r="L46" s="393">
        <f>57.103-0.797*1.3</f>
        <v>56.066900000000004</v>
      </c>
      <c r="M46" s="466">
        <f t="shared" si="12"/>
        <v>4.0461300000000007</v>
      </c>
      <c r="N46" s="466">
        <f t="shared" si="7"/>
        <v>436.95091592307688</v>
      </c>
      <c r="O46" s="466">
        <f t="shared" si="13"/>
        <v>362.23720769230766</v>
      </c>
      <c r="P46" s="466">
        <f t="shared" si="8"/>
        <v>70.387461538461537</v>
      </c>
      <c r="Q46" s="466">
        <f t="shared" si="14"/>
        <v>5.8700769230769225</v>
      </c>
      <c r="R46" s="466">
        <f t="shared" si="14"/>
        <v>4.5689299999999999</v>
      </c>
      <c r="S46" s="466">
        <f t="shared" si="14"/>
        <v>59.948454615384613</v>
      </c>
      <c r="T46" s="466">
        <f t="shared" si="15"/>
        <v>4.3262466923076923</v>
      </c>
      <c r="U46" s="466">
        <f t="shared" si="16"/>
        <v>0.28011669230769165</v>
      </c>
      <c r="V46" s="466">
        <f t="shared" si="10"/>
        <v>1.6807001538461499</v>
      </c>
    </row>
    <row r="47" spans="1:22" s="24" customFormat="1" ht="22.5" customHeight="1">
      <c r="A47" s="460"/>
      <c r="B47" s="1172" t="s">
        <v>2878</v>
      </c>
      <c r="C47" s="44">
        <v>47</v>
      </c>
      <c r="D47" s="465">
        <f t="shared" si="11"/>
        <v>5.3616680000000008</v>
      </c>
      <c r="E47" s="44"/>
      <c r="F47" s="44">
        <v>47</v>
      </c>
      <c r="G47" s="466">
        <f t="shared" si="5"/>
        <v>270.76423400000004</v>
      </c>
      <c r="H47" s="393">
        <f>176.78*1.3</f>
        <v>229.81400000000002</v>
      </c>
      <c r="I47" s="466">
        <f t="shared" si="6"/>
        <v>38.269399999999997</v>
      </c>
      <c r="J47" s="393">
        <f>3.7*1.3</f>
        <v>4.8100000000000005</v>
      </c>
      <c r="K47" s="393">
        <f>0.498*1.3</f>
        <v>0.64739999999999998</v>
      </c>
      <c r="L47" s="393">
        <f>25.24*1.3</f>
        <v>32.811999999999998</v>
      </c>
      <c r="M47" s="466">
        <f t="shared" si="12"/>
        <v>2.6808340000000004</v>
      </c>
      <c r="N47" s="466">
        <f t="shared" si="7"/>
        <v>289.5094502</v>
      </c>
      <c r="O47" s="466">
        <f t="shared" si="13"/>
        <v>245.7242</v>
      </c>
      <c r="P47" s="466">
        <f t="shared" si="8"/>
        <v>40.918819999999997</v>
      </c>
      <c r="Q47" s="466">
        <f t="shared" si="14"/>
        <v>5.1429999999999998</v>
      </c>
      <c r="R47" s="466">
        <f t="shared" si="14"/>
        <v>0.69221999999999984</v>
      </c>
      <c r="S47" s="466">
        <f t="shared" si="14"/>
        <v>35.083599999999997</v>
      </c>
      <c r="T47" s="466">
        <f t="shared" si="15"/>
        <v>2.8664301999999999</v>
      </c>
      <c r="U47" s="466">
        <f t="shared" si="16"/>
        <v>0.18559619999999954</v>
      </c>
      <c r="V47" s="466">
        <f t="shared" si="10"/>
        <v>1.1135771999999973</v>
      </c>
    </row>
    <row r="48" spans="1:22" s="24" customFormat="1" ht="22.5" customHeight="1">
      <c r="A48" s="460"/>
      <c r="B48" s="1172" t="s">
        <v>2879</v>
      </c>
      <c r="C48" s="44">
        <v>39</v>
      </c>
      <c r="D48" s="465">
        <f t="shared" si="11"/>
        <v>2.9569499999999995</v>
      </c>
      <c r="E48" s="44"/>
      <c r="F48" s="44">
        <v>39</v>
      </c>
      <c r="G48" s="466">
        <f t="shared" si="5"/>
        <v>149.32597499999997</v>
      </c>
      <c r="H48" s="393">
        <f>135.17-3.99*1.3</f>
        <v>129.98299999999998</v>
      </c>
      <c r="I48" s="466">
        <f t="shared" si="6"/>
        <v>17.8645</v>
      </c>
      <c r="J48" s="393">
        <f>3.1-0.45*1.3</f>
        <v>2.5150000000000001</v>
      </c>
      <c r="K48" s="393">
        <f>0.2*1.3</f>
        <v>0.26</v>
      </c>
      <c r="L48" s="393">
        <f>16.071-0.755*1.3</f>
        <v>15.089500000000001</v>
      </c>
      <c r="M48" s="466">
        <f t="shared" si="12"/>
        <v>1.4784749999999998</v>
      </c>
      <c r="N48" s="466">
        <f t="shared" si="7"/>
        <v>159.66392711538455</v>
      </c>
      <c r="O48" s="466">
        <f t="shared" si="13"/>
        <v>138.98182307692304</v>
      </c>
      <c r="P48" s="466">
        <f t="shared" si="8"/>
        <v>19.101273076923079</v>
      </c>
      <c r="Q48" s="466">
        <f t="shared" si="14"/>
        <v>2.6891153846153846</v>
      </c>
      <c r="R48" s="466">
        <f t="shared" si="14"/>
        <v>0.27799999999999997</v>
      </c>
      <c r="S48" s="466">
        <f t="shared" si="14"/>
        <v>16.134157692307692</v>
      </c>
      <c r="T48" s="466">
        <f t="shared" si="15"/>
        <v>1.580830961538461</v>
      </c>
      <c r="U48" s="466">
        <f t="shared" si="16"/>
        <v>0.10235596153846127</v>
      </c>
      <c r="V48" s="466">
        <f t="shared" si="10"/>
        <v>0.61413576923076763</v>
      </c>
    </row>
    <row r="49" spans="1:22" s="24" customFormat="1" ht="22.5" customHeight="1">
      <c r="A49" s="460"/>
      <c r="B49" s="1172" t="s">
        <v>2880</v>
      </c>
      <c r="C49" s="44">
        <v>52</v>
      </c>
      <c r="D49" s="465">
        <f t="shared" si="11"/>
        <v>5.5769479999999998</v>
      </c>
      <c r="E49" s="44"/>
      <c r="F49" s="44">
        <v>52</v>
      </c>
      <c r="G49" s="466">
        <f t="shared" si="5"/>
        <v>281.635874</v>
      </c>
      <c r="H49" s="393">
        <f>187.17*1.3</f>
        <v>243.321</v>
      </c>
      <c r="I49" s="466">
        <f t="shared" si="6"/>
        <v>35.526400000000002</v>
      </c>
      <c r="J49" s="393">
        <f>3.4*1.3</f>
        <v>4.42</v>
      </c>
      <c r="K49" s="393">
        <f>0.488*1.3</f>
        <v>0.63439999999999996</v>
      </c>
      <c r="L49" s="393">
        <f>23.44*1.3</f>
        <v>30.472000000000001</v>
      </c>
      <c r="M49" s="466">
        <f t="shared" si="12"/>
        <v>2.7884739999999999</v>
      </c>
      <c r="N49" s="466">
        <f t="shared" si="7"/>
        <v>301.13374219999997</v>
      </c>
      <c r="O49" s="466">
        <f t="shared" si="13"/>
        <v>260.16629999999998</v>
      </c>
      <c r="P49" s="466">
        <f t="shared" si="8"/>
        <v>37.98592</v>
      </c>
      <c r="Q49" s="466">
        <f t="shared" si="14"/>
        <v>4.726</v>
      </c>
      <c r="R49" s="466">
        <f t="shared" si="14"/>
        <v>0.67831999999999981</v>
      </c>
      <c r="S49" s="466">
        <f t="shared" si="14"/>
        <v>32.581600000000002</v>
      </c>
      <c r="T49" s="466">
        <f t="shared" si="15"/>
        <v>2.9815222000000001</v>
      </c>
      <c r="U49" s="466">
        <f t="shared" si="16"/>
        <v>0.19304820000000023</v>
      </c>
      <c r="V49" s="466">
        <f t="shared" si="10"/>
        <v>1.1582892000000014</v>
      </c>
    </row>
    <row r="50" spans="1:22" s="24" customFormat="1" ht="22.5" customHeight="1">
      <c r="A50" s="460"/>
      <c r="B50" s="1172" t="s">
        <v>2881</v>
      </c>
      <c r="C50" s="44">
        <v>51</v>
      </c>
      <c r="D50" s="465">
        <f t="shared" si="11"/>
        <v>4.8248619999999995</v>
      </c>
      <c r="E50" s="44"/>
      <c r="F50" s="44">
        <v>51</v>
      </c>
      <c r="G50" s="466">
        <f t="shared" si="5"/>
        <v>243.65553099999997</v>
      </c>
      <c r="H50" s="393">
        <f>196.67-3.99*1.3</f>
        <v>191.48299999999998</v>
      </c>
      <c r="I50" s="466">
        <f t="shared" si="6"/>
        <v>49.760100000000001</v>
      </c>
      <c r="J50" s="393">
        <f>3.6*1.3</f>
        <v>4.6800000000000006</v>
      </c>
      <c r="K50" s="393">
        <f>4.204*1.3</f>
        <v>5.4652000000000003</v>
      </c>
      <c r="L50" s="393">
        <f>30.473*1.3</f>
        <v>39.614899999999999</v>
      </c>
      <c r="M50" s="466">
        <f t="shared" si="12"/>
        <v>2.4124309999999998</v>
      </c>
      <c r="N50" s="466">
        <f t="shared" si="7"/>
        <v>260.52399083846149</v>
      </c>
      <c r="O50" s="466">
        <f t="shared" si="13"/>
        <v>204.73951538461532</v>
      </c>
      <c r="P50" s="466">
        <f t="shared" si="8"/>
        <v>53.205029999999994</v>
      </c>
      <c r="Q50" s="466">
        <f t="shared" si="14"/>
        <v>5.0040000000000004</v>
      </c>
      <c r="R50" s="466">
        <f t="shared" si="14"/>
        <v>5.8435599999999992</v>
      </c>
      <c r="S50" s="466">
        <f t="shared" si="14"/>
        <v>42.357469999999992</v>
      </c>
      <c r="T50" s="466">
        <f t="shared" si="15"/>
        <v>2.5794454538461533</v>
      </c>
      <c r="U50" s="466">
        <f t="shared" si="16"/>
        <v>0.16701445384615354</v>
      </c>
      <c r="V50" s="466">
        <f t="shared" si="10"/>
        <v>1.0020867230769213</v>
      </c>
    </row>
    <row r="51" spans="1:22" s="24" customFormat="1" ht="22.5" customHeight="1">
      <c r="A51" s="460"/>
      <c r="B51" s="1172" t="s">
        <v>2882</v>
      </c>
      <c r="C51" s="44">
        <v>44</v>
      </c>
      <c r="D51" s="465">
        <f t="shared" si="11"/>
        <v>3.2927320000000004</v>
      </c>
      <c r="E51" s="44"/>
      <c r="F51" s="44">
        <v>44</v>
      </c>
      <c r="G51" s="466">
        <f t="shared" si="5"/>
        <v>166.28296600000002</v>
      </c>
      <c r="H51" s="393">
        <f>149.63-4.98*1.3</f>
        <v>143.15600000000001</v>
      </c>
      <c r="I51" s="466">
        <f t="shared" si="6"/>
        <v>21.480600000000003</v>
      </c>
      <c r="J51" s="393">
        <f>3.5*1.3</f>
        <v>4.55</v>
      </c>
      <c r="K51" s="393">
        <f>1.175-0.298*1.3</f>
        <v>0.78760000000000008</v>
      </c>
      <c r="L51" s="393">
        <f>16.143</f>
        <v>16.143000000000001</v>
      </c>
      <c r="M51" s="466">
        <f t="shared" si="12"/>
        <v>1.6463660000000002</v>
      </c>
      <c r="N51" s="466">
        <f t="shared" si="7"/>
        <v>177.79486364615383</v>
      </c>
      <c r="O51" s="466">
        <f t="shared" si="13"/>
        <v>153.0668</v>
      </c>
      <c r="P51" s="466">
        <f t="shared" si="8"/>
        <v>22.96771846153846</v>
      </c>
      <c r="Q51" s="466">
        <f t="shared" si="14"/>
        <v>4.8649999999999993</v>
      </c>
      <c r="R51" s="466">
        <f t="shared" si="14"/>
        <v>0.84212615384615386</v>
      </c>
      <c r="S51" s="466">
        <f t="shared" si="14"/>
        <v>17.260592307692306</v>
      </c>
      <c r="T51" s="466">
        <f t="shared" si="15"/>
        <v>1.7603451846153846</v>
      </c>
      <c r="U51" s="466">
        <f t="shared" si="16"/>
        <v>0.11397918461538437</v>
      </c>
      <c r="V51" s="466">
        <f t="shared" si="10"/>
        <v>0.68387510769230619</v>
      </c>
    </row>
    <row r="52" spans="1:22" s="24" customFormat="1" ht="22.5" customHeight="1">
      <c r="A52" s="460"/>
      <c r="B52" s="1172" t="s">
        <v>2883</v>
      </c>
      <c r="C52" s="44">
        <v>41</v>
      </c>
      <c r="D52" s="465">
        <f t="shared" si="11"/>
        <v>3.2844279999999997</v>
      </c>
      <c r="E52" s="44"/>
      <c r="F52" s="44">
        <v>41</v>
      </c>
      <c r="G52" s="466">
        <f t="shared" si="5"/>
        <v>165.86361399999998</v>
      </c>
      <c r="H52" s="393">
        <f>148.87-3.99*1.3</f>
        <v>143.68299999999999</v>
      </c>
      <c r="I52" s="466">
        <f t="shared" si="6"/>
        <v>20.538399999999999</v>
      </c>
      <c r="J52" s="393">
        <f>4.7-0.7*1.3</f>
        <v>3.79</v>
      </c>
      <c r="K52" s="393">
        <f>0.852*1.3</f>
        <v>1.1075999999999999</v>
      </c>
      <c r="L52" s="393">
        <f>17.817-1.674*1.3</f>
        <v>15.6408</v>
      </c>
      <c r="M52" s="466">
        <f t="shared" si="12"/>
        <v>1.6422139999999998</v>
      </c>
      <c r="N52" s="466">
        <f t="shared" si="7"/>
        <v>177.34647958461537</v>
      </c>
      <c r="O52" s="466">
        <f t="shared" si="13"/>
        <v>153.6302846153846</v>
      </c>
      <c r="P52" s="466">
        <f t="shared" ref="P52:P57" si="17">SUM(Q52:S52)</f>
        <v>21.960289230769231</v>
      </c>
      <c r="Q52" s="466">
        <f t="shared" si="14"/>
        <v>4.0523846153846153</v>
      </c>
      <c r="R52" s="466">
        <f t="shared" si="14"/>
        <v>1.1842799999999998</v>
      </c>
      <c r="S52" s="466">
        <f t="shared" si="14"/>
        <v>16.723624615384615</v>
      </c>
      <c r="T52" s="466">
        <f t="shared" si="15"/>
        <v>1.7559057384615384</v>
      </c>
      <c r="U52" s="466">
        <f t="shared" si="16"/>
        <v>0.11369173846153857</v>
      </c>
      <c r="V52" s="466">
        <f t="shared" si="10"/>
        <v>0.68215043076923143</v>
      </c>
    </row>
    <row r="53" spans="1:22" s="24" customFormat="1" ht="22.5" customHeight="1">
      <c r="A53" s="460"/>
      <c r="B53" s="1172" t="s">
        <v>2884</v>
      </c>
      <c r="C53" s="44">
        <v>17</v>
      </c>
      <c r="D53" s="465">
        <f t="shared" si="11"/>
        <v>1.8187519999999999</v>
      </c>
      <c r="E53" s="44"/>
      <c r="F53" s="44">
        <v>17</v>
      </c>
      <c r="G53" s="466">
        <f t="shared" si="5"/>
        <v>91.846975999999984</v>
      </c>
      <c r="H53" s="393">
        <f>59.58*1.3</f>
        <v>77.453999999999994</v>
      </c>
      <c r="I53" s="466">
        <f t="shared" si="6"/>
        <v>13.483600000000001</v>
      </c>
      <c r="J53" s="393">
        <f>2.25*1.3</f>
        <v>2.9250000000000003</v>
      </c>
      <c r="K53" s="393">
        <f>0.698*1.3</f>
        <v>0.90739999999999998</v>
      </c>
      <c r="L53" s="393">
        <f>7.424*1.3</f>
        <v>9.6512000000000011</v>
      </c>
      <c r="M53" s="466">
        <f t="shared" si="12"/>
        <v>0.90937599999999996</v>
      </c>
      <c r="N53" s="466">
        <f t="shared" si="7"/>
        <v>98.205612799999983</v>
      </c>
      <c r="O53" s="466">
        <f t="shared" si="13"/>
        <v>82.816199999999981</v>
      </c>
      <c r="P53" s="466">
        <f t="shared" si="17"/>
        <v>14.417079999999999</v>
      </c>
      <c r="Q53" s="466">
        <f t="shared" si="14"/>
        <v>3.1274999999999999</v>
      </c>
      <c r="R53" s="466">
        <f t="shared" si="14"/>
        <v>0.97021999999999986</v>
      </c>
      <c r="S53" s="466">
        <f t="shared" si="14"/>
        <v>10.31936</v>
      </c>
      <c r="T53" s="466">
        <f t="shared" si="15"/>
        <v>0.97233279999999978</v>
      </c>
      <c r="U53" s="466">
        <f t="shared" si="16"/>
        <v>6.2956799999999813E-2</v>
      </c>
      <c r="V53" s="466">
        <f t="shared" si="10"/>
        <v>0.37774079999999888</v>
      </c>
    </row>
    <row r="54" spans="1:22" s="24" customFormat="1" ht="22.5" customHeight="1">
      <c r="A54" s="42"/>
      <c r="B54" s="1172" t="s">
        <v>2885</v>
      </c>
      <c r="C54" s="44">
        <v>37</v>
      </c>
      <c r="D54" s="465">
        <f t="shared" si="11"/>
        <v>4.4479240000000004</v>
      </c>
      <c r="E54" s="44"/>
      <c r="F54" s="44">
        <v>37</v>
      </c>
      <c r="G54" s="466">
        <f t="shared" si="5"/>
        <v>224.62016200000002</v>
      </c>
      <c r="H54" s="393">
        <f>144.19*1.3</f>
        <v>187.447</v>
      </c>
      <c r="I54" s="466">
        <f t="shared" si="6"/>
        <v>34.949200000000005</v>
      </c>
      <c r="J54" s="393">
        <f>2.8*1.3</f>
        <v>3.6399999999999997</v>
      </c>
      <c r="K54" s="393">
        <f>0.996*1.3</f>
        <v>1.2948</v>
      </c>
      <c r="L54" s="393">
        <f>23.088*1.3</f>
        <v>30.014400000000002</v>
      </c>
      <c r="M54" s="466">
        <f t="shared" si="12"/>
        <v>2.2239620000000002</v>
      </c>
      <c r="N54" s="466">
        <f t="shared" si="7"/>
        <v>240.17078859999998</v>
      </c>
      <c r="O54" s="466">
        <f t="shared" si="13"/>
        <v>200.42409999999998</v>
      </c>
      <c r="P54" s="466">
        <f t="shared" si="17"/>
        <v>37.368760000000002</v>
      </c>
      <c r="Q54" s="466">
        <f t="shared" si="14"/>
        <v>3.8919999999999995</v>
      </c>
      <c r="R54" s="466">
        <f t="shared" si="14"/>
        <v>1.3844399999999997</v>
      </c>
      <c r="S54" s="466">
        <f t="shared" si="14"/>
        <v>32.092320000000001</v>
      </c>
      <c r="T54" s="466">
        <f t="shared" si="15"/>
        <v>2.3779286000000002</v>
      </c>
      <c r="U54" s="466">
        <f t="shared" si="16"/>
        <v>0.15396659999999995</v>
      </c>
      <c r="V54" s="466">
        <f t="shared" si="10"/>
        <v>0.92379959999999972</v>
      </c>
    </row>
    <row r="55" spans="1:22" s="24" customFormat="1" ht="22.5" customHeight="1">
      <c r="A55" s="42"/>
      <c r="B55" s="1172" t="s">
        <v>2886</v>
      </c>
      <c r="C55" s="44">
        <v>25</v>
      </c>
      <c r="D55" s="465">
        <f t="shared" si="11"/>
        <v>1.9492144000000002</v>
      </c>
      <c r="E55" s="44"/>
      <c r="F55" s="44">
        <v>25</v>
      </c>
      <c r="G55" s="466">
        <f t="shared" si="5"/>
        <v>98.435327200000003</v>
      </c>
      <c r="H55" s="393">
        <f>90.68-4.98*1.3</f>
        <v>84.206000000000003</v>
      </c>
      <c r="I55" s="466">
        <f t="shared" si="6"/>
        <v>13.254720000000001</v>
      </c>
      <c r="J55" s="393">
        <f>1.25*1.3</f>
        <v>1.625</v>
      </c>
      <c r="K55" s="393">
        <f>0.448*1.3</f>
        <v>0.58240000000000003</v>
      </c>
      <c r="L55" s="393">
        <f>12.6003-1.1946*1.3</f>
        <v>11.047320000000001</v>
      </c>
      <c r="M55" s="466">
        <f t="shared" si="12"/>
        <v>0.97460720000000012</v>
      </c>
      <c r="N55" s="466">
        <f t="shared" si="7"/>
        <v>105.25008062153846</v>
      </c>
      <c r="O55" s="466">
        <f t="shared" si="13"/>
        <v>90.035646153846145</v>
      </c>
      <c r="P55" s="466">
        <f t="shared" si="17"/>
        <v>14.172354461538461</v>
      </c>
      <c r="Q55" s="466">
        <f t="shared" si="14"/>
        <v>1.7374999999999998</v>
      </c>
      <c r="R55" s="466">
        <f t="shared" si="14"/>
        <v>0.62271999999999994</v>
      </c>
      <c r="S55" s="466">
        <f t="shared" si="14"/>
        <v>11.812134461538461</v>
      </c>
      <c r="T55" s="466">
        <f t="shared" si="15"/>
        <v>1.042080006153846</v>
      </c>
      <c r="U55" s="466">
        <f t="shared" si="16"/>
        <v>6.7472806153845877E-2</v>
      </c>
      <c r="V55" s="466">
        <f t="shared" si="10"/>
        <v>0.40483683692307526</v>
      </c>
    </row>
    <row r="56" spans="1:22" s="24" customFormat="1" ht="22.5" customHeight="1">
      <c r="A56" s="42"/>
      <c r="B56" s="490" t="s">
        <v>2589</v>
      </c>
      <c r="C56" s="388"/>
      <c r="D56" s="389"/>
      <c r="E56" s="388">
        <v>12</v>
      </c>
      <c r="F56" s="388">
        <v>11</v>
      </c>
      <c r="G56" s="491">
        <f t="shared" si="5"/>
        <v>62.62</v>
      </c>
      <c r="H56" s="390">
        <v>56</v>
      </c>
      <c r="I56" s="491">
        <f>SUM(J56:L56)</f>
        <v>6</v>
      </c>
      <c r="J56" s="390">
        <v>1.5</v>
      </c>
      <c r="K56" s="390">
        <v>0.5</v>
      </c>
      <c r="L56" s="390">
        <v>4</v>
      </c>
      <c r="M56" s="491">
        <f t="shared" si="12"/>
        <v>0.62</v>
      </c>
      <c r="N56" s="491">
        <f t="shared" si="7"/>
        <v>66.9529</v>
      </c>
      <c r="O56" s="390">
        <v>59.88</v>
      </c>
      <c r="P56" s="491">
        <f t="shared" si="17"/>
        <v>6.41</v>
      </c>
      <c r="Q56" s="390">
        <v>1.6</v>
      </c>
      <c r="R56" s="390">
        <v>0.53</v>
      </c>
      <c r="S56" s="390">
        <v>4.28</v>
      </c>
      <c r="T56" s="491">
        <f t="shared" si="15"/>
        <v>0.66290000000000004</v>
      </c>
      <c r="U56" s="491">
        <f t="shared" si="16"/>
        <v>4.2900000000000049E-2</v>
      </c>
      <c r="V56" s="491">
        <f t="shared" si="10"/>
        <v>0.2574000000000003</v>
      </c>
    </row>
    <row r="57" spans="1:22" s="24" customFormat="1" ht="22.5" customHeight="1">
      <c r="A57" s="42">
        <v>2</v>
      </c>
      <c r="B57" s="1172" t="s">
        <v>2590</v>
      </c>
      <c r="C57" s="386"/>
      <c r="D57" s="392"/>
      <c r="E57" s="386">
        <v>100</v>
      </c>
      <c r="F57" s="386">
        <v>90</v>
      </c>
      <c r="G57" s="491">
        <f t="shared" si="5"/>
        <v>365.48050890000002</v>
      </c>
      <c r="H57" s="468">
        <f>(254.16*1.3)</f>
        <v>330.40800000000002</v>
      </c>
      <c r="I57" s="491">
        <f>SUM(J57:L57)</f>
        <v>31.453890000000001</v>
      </c>
      <c r="J57" s="468">
        <f>(4.85*1.3)</f>
        <v>6.3049999999999997</v>
      </c>
      <c r="K57" s="468">
        <f>(0.7968*1.3)</f>
        <v>1.0358399999999999</v>
      </c>
      <c r="L57" s="468">
        <f>(18.5485*1.3)</f>
        <v>24.113050000000001</v>
      </c>
      <c r="M57" s="491">
        <f t="shared" si="12"/>
        <v>3.6186189000000004</v>
      </c>
      <c r="N57" s="491">
        <f t="shared" si="7"/>
        <v>390.78300566999997</v>
      </c>
      <c r="O57" s="468">
        <f>(254.16*1.39)</f>
        <v>353.2824</v>
      </c>
      <c r="P57" s="491">
        <f t="shared" si="17"/>
        <v>33.631467000000001</v>
      </c>
      <c r="Q57" s="468">
        <f>(4.85*1.39)</f>
        <v>6.7414999999999994</v>
      </c>
      <c r="R57" s="468">
        <f>(0.7968*1.39)</f>
        <v>1.1075519999999999</v>
      </c>
      <c r="S57" s="468">
        <f>(18.5485*1.39)</f>
        <v>25.782415</v>
      </c>
      <c r="T57" s="491">
        <f t="shared" si="15"/>
        <v>3.8691386699999999</v>
      </c>
      <c r="U57" s="491">
        <f>T57-M57</f>
        <v>0.25051976999999948</v>
      </c>
      <c r="V57" s="491">
        <f>U57*6</f>
        <v>1.5031186199999969</v>
      </c>
    </row>
    <row r="58" spans="1:22" s="399" customFormat="1" ht="22.5" customHeight="1">
      <c r="A58" s="469"/>
      <c r="B58" s="470" t="s">
        <v>2529</v>
      </c>
      <c r="C58" s="431">
        <f>C56</f>
        <v>0</v>
      </c>
      <c r="D58" s="431">
        <f t="shared" ref="D58:T58" si="18">D56</f>
        <v>0</v>
      </c>
      <c r="E58" s="471">
        <f>E56</f>
        <v>12</v>
      </c>
      <c r="F58" s="471">
        <f t="shared" si="18"/>
        <v>11</v>
      </c>
      <c r="G58" s="431">
        <f>G56</f>
        <v>62.62</v>
      </c>
      <c r="H58" s="431">
        <f t="shared" si="18"/>
        <v>56</v>
      </c>
      <c r="I58" s="431">
        <f t="shared" si="18"/>
        <v>6</v>
      </c>
      <c r="J58" s="431">
        <f t="shared" si="18"/>
        <v>1.5</v>
      </c>
      <c r="K58" s="431">
        <f t="shared" si="18"/>
        <v>0.5</v>
      </c>
      <c r="L58" s="431">
        <f t="shared" si="18"/>
        <v>4</v>
      </c>
      <c r="M58" s="431">
        <f t="shared" si="18"/>
        <v>0.62</v>
      </c>
      <c r="N58" s="431">
        <f t="shared" si="18"/>
        <v>66.9529</v>
      </c>
      <c r="O58" s="431">
        <f t="shared" si="18"/>
        <v>59.88</v>
      </c>
      <c r="P58" s="431">
        <f t="shared" si="18"/>
        <v>6.41</v>
      </c>
      <c r="Q58" s="431">
        <f t="shared" si="18"/>
        <v>1.6</v>
      </c>
      <c r="R58" s="431">
        <f t="shared" si="18"/>
        <v>0.53</v>
      </c>
      <c r="S58" s="431">
        <f t="shared" si="18"/>
        <v>4.28</v>
      </c>
      <c r="T58" s="431">
        <f t="shared" si="18"/>
        <v>0.66290000000000004</v>
      </c>
      <c r="U58" s="431">
        <f>U56</f>
        <v>4.2900000000000049E-2</v>
      </c>
      <c r="V58" s="431">
        <f>V56</f>
        <v>0.2574000000000003</v>
      </c>
    </row>
    <row r="59" spans="1:22" s="476" customFormat="1" ht="22.5" customHeight="1">
      <c r="A59" s="472"/>
      <c r="B59" s="473" t="s">
        <v>2887</v>
      </c>
      <c r="C59" s="474" t="s">
        <v>2888</v>
      </c>
      <c r="D59" s="474">
        <f t="shared" ref="D59:V59" si="19">SUM(D60:D67)</f>
        <v>0</v>
      </c>
      <c r="E59" s="474">
        <f t="shared" si="19"/>
        <v>235</v>
      </c>
      <c r="F59" s="474">
        <f t="shared" si="19"/>
        <v>1094</v>
      </c>
      <c r="G59" s="475">
        <f t="shared" si="19"/>
        <v>4849.8622133559993</v>
      </c>
      <c r="H59" s="475">
        <f t="shared" si="19"/>
        <v>4404.6119999999992</v>
      </c>
      <c r="I59" s="475">
        <f t="shared" si="19"/>
        <v>397.23177559999999</v>
      </c>
      <c r="J59" s="475">
        <f t="shared" si="19"/>
        <v>117.27999999999999</v>
      </c>
      <c r="K59" s="475">
        <f t="shared" si="19"/>
        <v>9.431359999999998</v>
      </c>
      <c r="L59" s="475">
        <f t="shared" si="19"/>
        <v>270.52041560000004</v>
      </c>
      <c r="M59" s="475">
        <f t="shared" si="19"/>
        <v>48.018437756000012</v>
      </c>
      <c r="N59" s="475">
        <f t="shared" si="19"/>
        <v>5185.5418673668</v>
      </c>
      <c r="O59" s="475">
        <f t="shared" si="19"/>
        <v>4709.543999999999</v>
      </c>
      <c r="P59" s="475">
        <f t="shared" si="19"/>
        <v>424.65586868000008</v>
      </c>
      <c r="Q59" s="475">
        <f t="shared" si="19"/>
        <v>125.40449999999998</v>
      </c>
      <c r="R59" s="475">
        <f t="shared" si="19"/>
        <v>10.005932</v>
      </c>
      <c r="S59" s="475">
        <f t="shared" si="19"/>
        <v>289.24543667999995</v>
      </c>
      <c r="T59" s="475">
        <f t="shared" si="19"/>
        <v>51.341998686800004</v>
      </c>
      <c r="U59" s="475">
        <f t="shared" si="19"/>
        <v>3.3235609308000043</v>
      </c>
      <c r="V59" s="475">
        <f t="shared" si="19"/>
        <v>19.941365584800028</v>
      </c>
    </row>
    <row r="60" spans="1:22" s="24" customFormat="1" ht="22.5" customHeight="1">
      <c r="A60" s="42">
        <v>3</v>
      </c>
      <c r="B60" s="55" t="s">
        <v>2591</v>
      </c>
      <c r="C60" s="386"/>
      <c r="D60" s="392"/>
      <c r="E60" s="386"/>
      <c r="F60" s="386">
        <v>875</v>
      </c>
      <c r="G60" s="466">
        <f t="shared" ref="G60:G67" si="20">H60+I60+M60</f>
        <v>3786.0859999999998</v>
      </c>
      <c r="H60" s="387">
        <v>3454</v>
      </c>
      <c r="I60" s="466">
        <f>SUM(J60:L60)</f>
        <v>294.60000000000002</v>
      </c>
      <c r="J60" s="387">
        <v>84</v>
      </c>
      <c r="K60" s="387">
        <v>5.6</v>
      </c>
      <c r="L60" s="387">
        <v>205</v>
      </c>
      <c r="M60" s="466">
        <f t="shared" ref="M60:M67" si="21">(H60+I60)*1%</f>
        <v>37.485999999999997</v>
      </c>
      <c r="N60" s="466">
        <f t="shared" ref="N60:N67" si="22">O60+P60+T60</f>
        <v>4048.2012</v>
      </c>
      <c r="O60" s="387">
        <v>3693.12</v>
      </c>
      <c r="P60" s="466">
        <f>SUM(Q60:S60)</f>
        <v>315</v>
      </c>
      <c r="Q60" s="387">
        <v>89.82</v>
      </c>
      <c r="R60" s="387">
        <v>5.99</v>
      </c>
      <c r="S60" s="387">
        <v>219.19</v>
      </c>
      <c r="T60" s="466">
        <f t="shared" ref="T60:T67" si="23">(O60+P60)*1%</f>
        <v>40.081200000000003</v>
      </c>
      <c r="U60" s="466">
        <f t="shared" ref="U60:U67" si="24">T60-M60</f>
        <v>2.5952000000000055</v>
      </c>
      <c r="V60" s="466">
        <f t="shared" ref="V60:V67" si="25">U60*6</f>
        <v>15.571200000000033</v>
      </c>
    </row>
    <row r="61" spans="1:22" s="24" customFormat="1" ht="22.5" customHeight="1">
      <c r="A61" s="42">
        <v>4</v>
      </c>
      <c r="B61" s="55" t="s">
        <v>2592</v>
      </c>
      <c r="C61" s="386"/>
      <c r="D61" s="392"/>
      <c r="E61" s="386">
        <f>49-3</f>
        <v>46</v>
      </c>
      <c r="F61" s="386">
        <v>44</v>
      </c>
      <c r="G61" s="492">
        <f t="shared" si="20"/>
        <v>246.23739400000002</v>
      </c>
      <c r="H61" s="493">
        <f>(173.1-6.78)*1.3</f>
        <v>216.21600000000001</v>
      </c>
      <c r="I61" s="492">
        <f>SUM(J61:L61)</f>
        <v>27.583400000000001</v>
      </c>
      <c r="J61" s="493">
        <f>(7.3-0.9)*1.3</f>
        <v>8.32</v>
      </c>
      <c r="K61" s="493">
        <f>(1.594-0.949)*1.3</f>
        <v>0.83850000000000025</v>
      </c>
      <c r="L61" s="493">
        <f>(14.173*1.3)</f>
        <v>18.424900000000001</v>
      </c>
      <c r="M61" s="492">
        <f t="shared" si="21"/>
        <v>2.4379940000000002</v>
      </c>
      <c r="N61" s="492">
        <f t="shared" si="22"/>
        <v>263.28459819999995</v>
      </c>
      <c r="O61" s="493">
        <f>(173.1-6.78)*1.39</f>
        <v>231.18479999999997</v>
      </c>
      <c r="P61" s="492">
        <f>SUM(Q61:S61)</f>
        <v>29.493019999999998</v>
      </c>
      <c r="Q61" s="493">
        <f>(7.3-0.9)*1.39</f>
        <v>8.895999999999999</v>
      </c>
      <c r="R61" s="493">
        <f>(1.594-0.949)*1.39</f>
        <v>0.89655000000000007</v>
      </c>
      <c r="S61" s="493">
        <f>(14.173*1.39)</f>
        <v>19.700469999999999</v>
      </c>
      <c r="T61" s="492">
        <f t="shared" si="23"/>
        <v>2.6067781999999995</v>
      </c>
      <c r="U61" s="492">
        <f t="shared" si="24"/>
        <v>0.16878419999999927</v>
      </c>
      <c r="V61" s="492">
        <f t="shared" si="25"/>
        <v>1.0127051999999956</v>
      </c>
    </row>
    <row r="62" spans="1:22" s="24" customFormat="1" ht="25.5">
      <c r="A62" s="42">
        <v>5</v>
      </c>
      <c r="B62" s="55" t="s">
        <v>2593</v>
      </c>
      <c r="C62" s="388"/>
      <c r="D62" s="389"/>
      <c r="E62" s="388">
        <v>43</v>
      </c>
      <c r="F62" s="388">
        <v>37</v>
      </c>
      <c r="G62" s="390">
        <f t="shared" si="20"/>
        <v>181.40812000000003</v>
      </c>
      <c r="H62" s="390">
        <v>166.06200000000001</v>
      </c>
      <c r="I62" s="390">
        <f>J62+K62+L62</f>
        <v>13.55</v>
      </c>
      <c r="J62" s="390">
        <v>6.5650000000000004</v>
      </c>
      <c r="K62" s="390"/>
      <c r="L62" s="390">
        <v>6.9850000000000003</v>
      </c>
      <c r="M62" s="390">
        <f t="shared" si="21"/>
        <v>1.7961200000000002</v>
      </c>
      <c r="N62" s="390">
        <f t="shared" si="22"/>
        <v>193.96746999999999</v>
      </c>
      <c r="O62" s="390">
        <v>177.559</v>
      </c>
      <c r="P62" s="390">
        <f>Q62+R62+S62</f>
        <v>14.488</v>
      </c>
      <c r="Q62" s="390">
        <v>7.02</v>
      </c>
      <c r="R62" s="390"/>
      <c r="S62" s="390">
        <v>7.468</v>
      </c>
      <c r="T62" s="390">
        <f t="shared" si="23"/>
        <v>1.9204699999999999</v>
      </c>
      <c r="U62" s="390">
        <f t="shared" si="24"/>
        <v>0.12434999999999974</v>
      </c>
      <c r="V62" s="391">
        <f t="shared" si="25"/>
        <v>0.74609999999999843</v>
      </c>
    </row>
    <row r="63" spans="1:22" s="24" customFormat="1" ht="21" customHeight="1">
      <c r="A63" s="42">
        <v>6</v>
      </c>
      <c r="B63" s="55" t="s">
        <v>2594</v>
      </c>
      <c r="C63" s="386"/>
      <c r="D63" s="392"/>
      <c r="E63" s="386">
        <v>45</v>
      </c>
      <c r="F63" s="386">
        <v>44</v>
      </c>
      <c r="G63" s="387">
        <f t="shared" si="20"/>
        <v>209.43006500000001</v>
      </c>
      <c r="H63" s="387">
        <f>(156.26-9.25-5.42)*1.3</f>
        <v>184.06700000000001</v>
      </c>
      <c r="I63" s="387">
        <f>SUM(J63:L63)</f>
        <v>23.2895</v>
      </c>
      <c r="J63" s="387">
        <f>(5.65-0.9)*1.3</f>
        <v>6.1749999999999998</v>
      </c>
      <c r="K63" s="387">
        <f>0.609*1.3</f>
        <v>0.79169999999999996</v>
      </c>
      <c r="L63" s="387">
        <f>12.556*1.3</f>
        <v>16.322800000000001</v>
      </c>
      <c r="M63" s="387">
        <f t="shared" si="21"/>
        <v>2.0735650000000003</v>
      </c>
      <c r="N63" s="387">
        <f t="shared" si="22"/>
        <v>223.92906949999997</v>
      </c>
      <c r="O63" s="387">
        <f>(156.26-9.25-5.42)*1.39</f>
        <v>196.81009999999998</v>
      </c>
      <c r="P63" s="387">
        <f>SUM(Q63:S63)</f>
        <v>24.901849999999996</v>
      </c>
      <c r="Q63" s="387">
        <f>(5.65-0.9)*1.39</f>
        <v>6.6024999999999991</v>
      </c>
      <c r="R63" s="387">
        <f>0.609*1.39</f>
        <v>0.84650999999999987</v>
      </c>
      <c r="S63" s="387">
        <f>12.556*1.39</f>
        <v>17.452839999999998</v>
      </c>
      <c r="T63" s="387">
        <f t="shared" si="23"/>
        <v>2.2171194999999999</v>
      </c>
      <c r="U63" s="492">
        <f t="shared" si="24"/>
        <v>0.14355449999999959</v>
      </c>
      <c r="V63" s="393">
        <f t="shared" si="25"/>
        <v>0.86132699999999751</v>
      </c>
    </row>
    <row r="64" spans="1:22" s="24" customFormat="1" ht="21" customHeight="1">
      <c r="A64" s="42">
        <v>7</v>
      </c>
      <c r="B64" s="55" t="s">
        <v>2595</v>
      </c>
      <c r="C64" s="388"/>
      <c r="D64" s="389"/>
      <c r="E64" s="388">
        <f>70</f>
        <v>70</v>
      </c>
      <c r="F64" s="388">
        <v>64</v>
      </c>
      <c r="G64" s="492">
        <f t="shared" si="20"/>
        <v>299.449885956</v>
      </c>
      <c r="H64" s="494">
        <f>(210.82-6.1)*1.3</f>
        <v>266.13600000000002</v>
      </c>
      <c r="I64" s="492">
        <f>SUM(J64:L64)</f>
        <v>30.349035599999997</v>
      </c>
      <c r="J64" s="494">
        <f>(7.8-0.8)*1.3</f>
        <v>9.1</v>
      </c>
      <c r="K64" s="494">
        <v>1.1653200000000001</v>
      </c>
      <c r="L64" s="494">
        <v>20.083715599999998</v>
      </c>
      <c r="M64" s="492">
        <f t="shared" si="21"/>
        <v>2.9648503559999999</v>
      </c>
      <c r="N64" s="492">
        <f t="shared" si="22"/>
        <v>320.09954914679997</v>
      </c>
      <c r="O64" s="494">
        <f>(210.82-6.1)*1.39</f>
        <v>284.56079999999997</v>
      </c>
      <c r="P64" s="492">
        <f>SUM(Q64:S64)</f>
        <v>32.369446679999996</v>
      </c>
      <c r="Q64" s="494">
        <f>(7.8-0.8)*1.39</f>
        <v>9.7299999999999986</v>
      </c>
      <c r="R64" s="494">
        <v>1.1653200000000001</v>
      </c>
      <c r="S64" s="494">
        <f>(20.0837156/1.3)*1.39</f>
        <v>21.474126679999998</v>
      </c>
      <c r="T64" s="492">
        <f t="shared" si="23"/>
        <v>3.1693024668000001</v>
      </c>
      <c r="U64" s="492">
        <f t="shared" si="24"/>
        <v>0.20445211080000014</v>
      </c>
      <c r="V64" s="492">
        <f t="shared" si="25"/>
        <v>1.2267126648000009</v>
      </c>
    </row>
    <row r="65" spans="1:23" s="24" customFormat="1" ht="25.5">
      <c r="A65" s="42">
        <v>8</v>
      </c>
      <c r="B65" s="55" t="s">
        <v>2596</v>
      </c>
      <c r="C65" s="388"/>
      <c r="D65" s="389"/>
      <c r="E65" s="388">
        <v>23</v>
      </c>
      <c r="F65" s="388">
        <v>23</v>
      </c>
      <c r="G65" s="390">
        <f t="shared" si="20"/>
        <v>95.913640000000001</v>
      </c>
      <c r="H65" s="477">
        <v>88.53</v>
      </c>
      <c r="I65" s="390">
        <f>J65+K65+L65</f>
        <v>6.4340000000000002</v>
      </c>
      <c r="J65" s="477">
        <v>2.73</v>
      </c>
      <c r="K65" s="390"/>
      <c r="L65" s="477">
        <v>3.7040000000000002</v>
      </c>
      <c r="M65" s="390">
        <f t="shared" si="21"/>
        <v>0.94964000000000004</v>
      </c>
      <c r="N65" s="390">
        <f t="shared" si="22"/>
        <v>102.55338</v>
      </c>
      <c r="O65" s="477">
        <v>94.659000000000006</v>
      </c>
      <c r="P65" s="390">
        <f>Q65+R65+S65</f>
        <v>6.8789999999999996</v>
      </c>
      <c r="Q65" s="477">
        <v>2.919</v>
      </c>
      <c r="R65" s="390"/>
      <c r="S65" s="477">
        <v>3.96</v>
      </c>
      <c r="T65" s="390">
        <f t="shared" si="23"/>
        <v>1.0153800000000002</v>
      </c>
      <c r="U65" s="390">
        <f t="shared" si="24"/>
        <v>6.5740000000000132E-2</v>
      </c>
      <c r="V65" s="391">
        <f t="shared" si="25"/>
        <v>0.39444000000000079</v>
      </c>
    </row>
    <row r="66" spans="1:23" s="24" customFormat="1" ht="25.5">
      <c r="A66" s="42">
        <v>9</v>
      </c>
      <c r="B66" s="55" t="s">
        <v>2597</v>
      </c>
      <c r="C66" s="386"/>
      <c r="D66" s="392"/>
      <c r="E66" s="386">
        <v>5</v>
      </c>
      <c r="F66" s="386">
        <v>5</v>
      </c>
      <c r="G66" s="387">
        <f t="shared" si="20"/>
        <v>20.914514400000002</v>
      </c>
      <c r="H66" s="387">
        <f>15.33*1.3</f>
        <v>19.929000000000002</v>
      </c>
      <c r="I66" s="387">
        <f>J66+K66+L66</f>
        <v>0.77844000000000002</v>
      </c>
      <c r="J66" s="387">
        <f>0.3*1.3</f>
        <v>0.39</v>
      </c>
      <c r="K66" s="387">
        <f>0.2988*1.3</f>
        <v>0.38844000000000001</v>
      </c>
      <c r="L66" s="387"/>
      <c r="M66" s="387">
        <f t="shared" si="21"/>
        <v>0.20707440000000002</v>
      </c>
      <c r="N66" s="387">
        <f t="shared" si="22"/>
        <v>22.36244232</v>
      </c>
      <c r="O66" s="387">
        <f>15.33*1.39</f>
        <v>21.308699999999998</v>
      </c>
      <c r="P66" s="387">
        <f>Q66+R66+S66</f>
        <v>0.83233199999999996</v>
      </c>
      <c r="Q66" s="387">
        <f>0.3*1.39</f>
        <v>0.41699999999999998</v>
      </c>
      <c r="R66" s="387">
        <f>0.2988*1.39</f>
        <v>0.41533199999999998</v>
      </c>
      <c r="S66" s="387"/>
      <c r="T66" s="387">
        <f t="shared" si="23"/>
        <v>0.22141031999999999</v>
      </c>
      <c r="U66" s="387">
        <f t="shared" si="24"/>
        <v>1.4335919999999974E-2</v>
      </c>
      <c r="V66" s="393">
        <f t="shared" si="25"/>
        <v>8.6015519999999845E-2</v>
      </c>
    </row>
    <row r="67" spans="1:23" s="24" customFormat="1" ht="25.5">
      <c r="A67" s="42">
        <v>10</v>
      </c>
      <c r="B67" s="55" t="s">
        <v>2598</v>
      </c>
      <c r="C67" s="386"/>
      <c r="D67" s="392"/>
      <c r="E67" s="386">
        <v>3</v>
      </c>
      <c r="F67" s="386">
        <v>2</v>
      </c>
      <c r="G67" s="387">
        <f t="shared" si="20"/>
        <v>10.422594</v>
      </c>
      <c r="H67" s="387">
        <f>7.44*1.3</f>
        <v>9.6720000000000006</v>
      </c>
      <c r="I67" s="387">
        <f>J67+K67+L67</f>
        <v>0.64739999999999998</v>
      </c>
      <c r="J67" s="387"/>
      <c r="K67" s="387">
        <f>0.498*1.3</f>
        <v>0.64739999999999998</v>
      </c>
      <c r="L67" s="387"/>
      <c r="M67" s="387">
        <f t="shared" si="21"/>
        <v>0.10319400000000001</v>
      </c>
      <c r="N67" s="387">
        <f t="shared" si="22"/>
        <v>11.1441582</v>
      </c>
      <c r="O67" s="387">
        <f>7.44*1.39</f>
        <v>10.3416</v>
      </c>
      <c r="P67" s="387">
        <f>Q67+R67+S67</f>
        <v>0.69221999999999995</v>
      </c>
      <c r="Q67" s="387"/>
      <c r="R67" s="387">
        <f>0.498*1.39</f>
        <v>0.69221999999999995</v>
      </c>
      <c r="S67" s="387"/>
      <c r="T67" s="387">
        <f t="shared" si="23"/>
        <v>0.11033820000000001</v>
      </c>
      <c r="U67" s="387">
        <f t="shared" si="24"/>
        <v>7.1442000000000033E-3</v>
      </c>
      <c r="V67" s="393">
        <f t="shared" si="25"/>
        <v>4.286520000000002E-2</v>
      </c>
    </row>
    <row r="68" spans="1:23" s="399" customFormat="1" ht="22.5" customHeight="1">
      <c r="A68" s="469"/>
      <c r="B68" s="470" t="s">
        <v>2529</v>
      </c>
      <c r="C68" s="394">
        <f>C63+C60</f>
        <v>0</v>
      </c>
      <c r="D68" s="394">
        <f t="shared" ref="D68:U68" si="26">D63+D60</f>
        <v>0</v>
      </c>
      <c r="E68" s="394">
        <f t="shared" si="26"/>
        <v>45</v>
      </c>
      <c r="F68" s="394">
        <f t="shared" si="26"/>
        <v>919</v>
      </c>
      <c r="G68" s="395">
        <f t="shared" si="26"/>
        <v>3995.5160649999998</v>
      </c>
      <c r="H68" s="396">
        <f t="shared" si="26"/>
        <v>3638.067</v>
      </c>
      <c r="I68" s="397">
        <f t="shared" si="26"/>
        <v>317.8895</v>
      </c>
      <c r="J68" s="395">
        <f t="shared" si="26"/>
        <v>90.174999999999997</v>
      </c>
      <c r="K68" s="395">
        <f t="shared" si="26"/>
        <v>6.3916999999999993</v>
      </c>
      <c r="L68" s="395">
        <f>L63+L60</f>
        <v>221.3228</v>
      </c>
      <c r="M68" s="397">
        <f t="shared" si="26"/>
        <v>39.559564999999999</v>
      </c>
      <c r="N68" s="397">
        <f t="shared" si="26"/>
        <v>4272.1302694999995</v>
      </c>
      <c r="O68" s="397">
        <f t="shared" si="26"/>
        <v>3889.9301</v>
      </c>
      <c r="P68" s="398">
        <f t="shared" si="26"/>
        <v>339.90184999999997</v>
      </c>
      <c r="Q68" s="398">
        <f t="shared" si="26"/>
        <v>96.422499999999985</v>
      </c>
      <c r="R68" s="398">
        <f t="shared" si="26"/>
        <v>6.8365100000000005</v>
      </c>
      <c r="S68" s="398">
        <f t="shared" si="26"/>
        <v>236.64284000000001</v>
      </c>
      <c r="T68" s="398">
        <f t="shared" si="26"/>
        <v>42.298319500000005</v>
      </c>
      <c r="U68" s="398">
        <f t="shared" si="26"/>
        <v>2.7387545000000051</v>
      </c>
      <c r="V68" s="398">
        <f>V63+V60</f>
        <v>16.432527000000029</v>
      </c>
    </row>
    <row r="69" spans="1:23" s="383" customFormat="1" ht="28.5" customHeight="1">
      <c r="A69" s="462">
        <v>2</v>
      </c>
      <c r="B69" s="463" t="s">
        <v>2237</v>
      </c>
      <c r="C69" s="381">
        <f>C70+C115</f>
        <v>0</v>
      </c>
      <c r="D69" s="381">
        <f t="shared" ref="D69:V69" si="27">D70+D115</f>
        <v>0</v>
      </c>
      <c r="E69" s="380">
        <f t="shared" si="27"/>
        <v>3189</v>
      </c>
      <c r="F69" s="380">
        <f t="shared" si="27"/>
        <v>2405</v>
      </c>
      <c r="G69" s="381">
        <f t="shared" si="27"/>
        <v>9647.3037700000004</v>
      </c>
      <c r="H69" s="381">
        <f t="shared" si="27"/>
        <v>9795.2517000000007</v>
      </c>
      <c r="I69" s="381">
        <f t="shared" si="27"/>
        <v>344.6339000000001</v>
      </c>
      <c r="J69" s="381">
        <f t="shared" si="27"/>
        <v>221.78</v>
      </c>
      <c r="K69" s="381">
        <f t="shared" si="27"/>
        <v>122.85390000000001</v>
      </c>
      <c r="L69" s="381">
        <f t="shared" si="27"/>
        <v>0</v>
      </c>
      <c r="M69" s="381">
        <f t="shared" si="27"/>
        <v>100.02627699999999</v>
      </c>
      <c r="N69" s="381">
        <f t="shared" si="27"/>
        <v>10316.6616347</v>
      </c>
      <c r="O69" s="381">
        <f t="shared" si="27"/>
        <v>10473.38451</v>
      </c>
      <c r="P69" s="381">
        <f t="shared" si="27"/>
        <v>368.49316999999996</v>
      </c>
      <c r="Q69" s="381">
        <f t="shared" si="27"/>
        <v>237.13399999999993</v>
      </c>
      <c r="R69" s="381">
        <f t="shared" si="27"/>
        <v>131.35916999999998</v>
      </c>
      <c r="S69" s="381">
        <f t="shared" si="27"/>
        <v>0</v>
      </c>
      <c r="T69" s="381">
        <f t="shared" si="27"/>
        <v>108.41877679999999</v>
      </c>
      <c r="U69" s="381">
        <f t="shared" si="27"/>
        <v>8.3924997999999942</v>
      </c>
      <c r="V69" s="381">
        <f t="shared" si="27"/>
        <v>50.354998799999962</v>
      </c>
    </row>
    <row r="70" spans="1:23" s="24" customFormat="1" ht="24.75" customHeight="1">
      <c r="A70" s="460">
        <v>11</v>
      </c>
      <c r="B70" s="101" t="s">
        <v>2293</v>
      </c>
      <c r="C70" s="369">
        <f>SUM(C71:C79,C89:C91,C94,C100:C103,C115)</f>
        <v>0</v>
      </c>
      <c r="D70" s="369">
        <f t="shared" ref="D70:V70" si="28">SUM(D71:D79,D89:D91,D94,D100:D103,D115)</f>
        <v>0</v>
      </c>
      <c r="E70" s="400">
        <f t="shared" si="28"/>
        <v>3134</v>
      </c>
      <c r="F70" s="400">
        <f t="shared" si="28"/>
        <v>2350</v>
      </c>
      <c r="G70" s="369">
        <f t="shared" si="28"/>
        <v>9492.0152600000001</v>
      </c>
      <c r="H70" s="369">
        <f t="shared" si="28"/>
        <v>9643.9706999999999</v>
      </c>
      <c r="I70" s="369">
        <f t="shared" si="28"/>
        <v>342.16390000000007</v>
      </c>
      <c r="J70" s="369">
        <f t="shared" si="28"/>
        <v>219.31</v>
      </c>
      <c r="K70" s="369">
        <f t="shared" si="28"/>
        <v>122.85390000000001</v>
      </c>
      <c r="L70" s="369">
        <f t="shared" si="28"/>
        <v>0</v>
      </c>
      <c r="M70" s="369">
        <f t="shared" si="28"/>
        <v>98.488766999999996</v>
      </c>
      <c r="N70" s="369">
        <f t="shared" si="28"/>
        <v>10150.622381699999</v>
      </c>
      <c r="O70" s="369">
        <f t="shared" si="28"/>
        <v>10311.630209999999</v>
      </c>
      <c r="P70" s="369">
        <f t="shared" si="28"/>
        <v>365.85216999999994</v>
      </c>
      <c r="Q70" s="369">
        <f t="shared" si="28"/>
        <v>234.49299999999994</v>
      </c>
      <c r="R70" s="369">
        <f t="shared" si="28"/>
        <v>131.35916999999998</v>
      </c>
      <c r="S70" s="369">
        <f t="shared" si="28"/>
        <v>0</v>
      </c>
      <c r="T70" s="369">
        <f t="shared" si="28"/>
        <v>106.77482379999999</v>
      </c>
      <c r="U70" s="369">
        <f t="shared" si="28"/>
        <v>8.2860567999999937</v>
      </c>
      <c r="V70" s="369">
        <f t="shared" si="28"/>
        <v>49.716340799999962</v>
      </c>
    </row>
    <row r="71" spans="1:23" s="24" customFormat="1" ht="26.25" hidden="1" customHeight="1">
      <c r="A71" s="460"/>
      <c r="B71" s="495" t="s">
        <v>2889</v>
      </c>
      <c r="C71" s="368"/>
      <c r="D71" s="367"/>
      <c r="E71" s="368"/>
      <c r="F71" s="368"/>
      <c r="G71" s="369">
        <f t="shared" ref="G71:G82" si="29">H71+I71+M71</f>
        <v>0</v>
      </c>
      <c r="H71" s="369"/>
      <c r="I71" s="369"/>
      <c r="J71" s="369"/>
      <c r="K71" s="369"/>
      <c r="L71" s="369"/>
      <c r="M71" s="369"/>
      <c r="N71" s="369">
        <f t="shared" ref="N71:N82" si="30">O71+P71+T71</f>
        <v>0</v>
      </c>
      <c r="O71" s="369"/>
      <c r="P71" s="369"/>
      <c r="Q71" s="369"/>
      <c r="R71" s="369"/>
      <c r="S71" s="369"/>
      <c r="T71" s="369"/>
      <c r="U71" s="369">
        <f>N71-G71</f>
        <v>0</v>
      </c>
      <c r="V71" s="370">
        <f t="shared" ref="V71:V82" si="31">U71*6</f>
        <v>0</v>
      </c>
    </row>
    <row r="72" spans="1:23" s="24" customFormat="1" ht="26.25" hidden="1" customHeight="1">
      <c r="A72" s="460"/>
      <c r="B72" s="495" t="s">
        <v>2600</v>
      </c>
      <c r="C72" s="368"/>
      <c r="D72" s="367"/>
      <c r="E72" s="368"/>
      <c r="F72" s="368"/>
      <c r="G72" s="369">
        <f t="shared" si="29"/>
        <v>0</v>
      </c>
      <c r="H72" s="369"/>
      <c r="I72" s="369"/>
      <c r="J72" s="369"/>
      <c r="K72" s="369"/>
      <c r="L72" s="369"/>
      <c r="M72" s="369"/>
      <c r="N72" s="369">
        <f t="shared" si="30"/>
        <v>0</v>
      </c>
      <c r="O72" s="369"/>
      <c r="P72" s="369"/>
      <c r="Q72" s="369"/>
      <c r="R72" s="369"/>
      <c r="S72" s="369"/>
      <c r="T72" s="369"/>
      <c r="U72" s="369">
        <f>N72-G72</f>
        <v>0</v>
      </c>
      <c r="V72" s="370">
        <f t="shared" si="31"/>
        <v>0</v>
      </c>
    </row>
    <row r="73" spans="1:23" s="24" customFormat="1" ht="26.25" customHeight="1">
      <c r="A73" s="460"/>
      <c r="B73" s="495" t="s">
        <v>2601</v>
      </c>
      <c r="C73" s="368"/>
      <c r="D73" s="367"/>
      <c r="E73" s="401">
        <v>121</v>
      </c>
      <c r="F73" s="368"/>
      <c r="G73" s="369">
        <f t="shared" si="29"/>
        <v>511.05216240000004</v>
      </c>
      <c r="H73" s="369">
        <v>490.38340000000005</v>
      </c>
      <c r="I73" s="369">
        <f t="shared" ref="I73:I78" si="32">J73+K73+L73</f>
        <v>15.608839999999997</v>
      </c>
      <c r="J73" s="369">
        <v>11.959999999999997</v>
      </c>
      <c r="K73" s="369">
        <v>3.6488400000000003</v>
      </c>
      <c r="L73" s="369"/>
      <c r="M73" s="369">
        <f>(H73+I73)*1%</f>
        <v>5.0599224000000005</v>
      </c>
      <c r="N73" s="369">
        <f t="shared" si="30"/>
        <v>546.43269671999997</v>
      </c>
      <c r="O73" s="369">
        <v>524.33302000000003</v>
      </c>
      <c r="P73" s="369">
        <f t="shared" ref="P73:P78" si="33">Q73+R73+S73</f>
        <v>16.689451999999996</v>
      </c>
      <c r="Q73" s="369">
        <v>12.787999999999995</v>
      </c>
      <c r="R73" s="369">
        <v>3.9014519999999995</v>
      </c>
      <c r="S73" s="369"/>
      <c r="T73" s="369">
        <f>(O73+P73)*1%</f>
        <v>5.4102247200000004</v>
      </c>
      <c r="U73" s="369">
        <f>T73-M73</f>
        <v>0.35030231999999994</v>
      </c>
      <c r="V73" s="370">
        <f t="shared" si="31"/>
        <v>2.1018139199999997</v>
      </c>
    </row>
    <row r="74" spans="1:23" s="24" customFormat="1" ht="26.25" hidden="1" customHeight="1">
      <c r="A74" s="460"/>
      <c r="B74" s="495" t="s">
        <v>2602</v>
      </c>
      <c r="C74" s="368"/>
      <c r="D74" s="367"/>
      <c r="E74" s="401">
        <v>0</v>
      </c>
      <c r="F74" s="368"/>
      <c r="G74" s="369">
        <f t="shared" si="29"/>
        <v>0</v>
      </c>
      <c r="H74" s="369">
        <v>0</v>
      </c>
      <c r="I74" s="369">
        <f t="shared" si="32"/>
        <v>0</v>
      </c>
      <c r="J74" s="369">
        <v>0</v>
      </c>
      <c r="K74" s="369">
        <v>0</v>
      </c>
      <c r="L74" s="369"/>
      <c r="M74" s="369"/>
      <c r="N74" s="369">
        <f t="shared" si="30"/>
        <v>0</v>
      </c>
      <c r="O74" s="369">
        <v>0</v>
      </c>
      <c r="P74" s="369">
        <f t="shared" si="33"/>
        <v>0</v>
      </c>
      <c r="Q74" s="369">
        <v>0</v>
      </c>
      <c r="R74" s="369">
        <v>0</v>
      </c>
      <c r="S74" s="369"/>
      <c r="T74" s="369">
        <f t="shared" ref="T74:T88" si="34">(O74+P74)*1%</f>
        <v>0</v>
      </c>
      <c r="U74" s="369">
        <f t="shared" ref="U74:U88" si="35">T74-M74</f>
        <v>0</v>
      </c>
      <c r="V74" s="370">
        <f t="shared" si="31"/>
        <v>0</v>
      </c>
    </row>
    <row r="75" spans="1:23" s="24" customFormat="1" ht="26.25" customHeight="1">
      <c r="A75" s="460"/>
      <c r="B75" s="495" t="s">
        <v>2603</v>
      </c>
      <c r="C75" s="368"/>
      <c r="D75" s="367"/>
      <c r="E75" s="401">
        <v>29</v>
      </c>
      <c r="F75" s="368"/>
      <c r="G75" s="369">
        <f t="shared" si="29"/>
        <v>92.304679999999991</v>
      </c>
      <c r="H75" s="369">
        <v>90.297999999999988</v>
      </c>
      <c r="I75" s="369">
        <f t="shared" si="32"/>
        <v>2.0066799999999998</v>
      </c>
      <c r="J75" s="369">
        <v>1.69</v>
      </c>
      <c r="K75" s="369">
        <v>0.31668000000000002</v>
      </c>
      <c r="L75" s="369"/>
      <c r="M75" s="369"/>
      <c r="N75" s="369">
        <f t="shared" si="30"/>
        <v>99.681954039999994</v>
      </c>
      <c r="O75" s="369">
        <v>96.549399999999991</v>
      </c>
      <c r="P75" s="369">
        <f t="shared" si="33"/>
        <v>2.1456039999999996</v>
      </c>
      <c r="Q75" s="369">
        <v>1.8069999999999997</v>
      </c>
      <c r="R75" s="369">
        <v>0.33860400000000002</v>
      </c>
      <c r="S75" s="369"/>
      <c r="T75" s="369">
        <f t="shared" si="34"/>
        <v>0.98695003999999997</v>
      </c>
      <c r="U75" s="369">
        <f t="shared" si="35"/>
        <v>0.98695003999999997</v>
      </c>
      <c r="V75" s="370">
        <f t="shared" si="31"/>
        <v>5.9217002399999998</v>
      </c>
    </row>
    <row r="76" spans="1:23" s="24" customFormat="1" ht="26.25" hidden="1" customHeight="1">
      <c r="A76" s="460"/>
      <c r="B76" s="495" t="s">
        <v>2604</v>
      </c>
      <c r="C76" s="368"/>
      <c r="D76" s="367"/>
      <c r="E76" s="401">
        <v>0</v>
      </c>
      <c r="F76" s="368"/>
      <c r="G76" s="369">
        <f t="shared" si="29"/>
        <v>0</v>
      </c>
      <c r="H76" s="369">
        <v>0</v>
      </c>
      <c r="I76" s="369">
        <f t="shared" si="32"/>
        <v>0</v>
      </c>
      <c r="J76" s="369">
        <v>0</v>
      </c>
      <c r="K76" s="369">
        <v>0</v>
      </c>
      <c r="L76" s="369"/>
      <c r="M76" s="369"/>
      <c r="N76" s="369">
        <f t="shared" si="30"/>
        <v>0</v>
      </c>
      <c r="O76" s="369">
        <v>0</v>
      </c>
      <c r="P76" s="369">
        <f t="shared" si="33"/>
        <v>0</v>
      </c>
      <c r="Q76" s="369">
        <v>0</v>
      </c>
      <c r="R76" s="369">
        <v>0</v>
      </c>
      <c r="S76" s="369"/>
      <c r="T76" s="369">
        <f t="shared" si="34"/>
        <v>0</v>
      </c>
      <c r="U76" s="369">
        <f t="shared" si="35"/>
        <v>0</v>
      </c>
      <c r="V76" s="370">
        <f t="shared" si="31"/>
        <v>0</v>
      </c>
    </row>
    <row r="77" spans="1:23" s="24" customFormat="1" ht="26.25" hidden="1" customHeight="1">
      <c r="A77" s="460"/>
      <c r="B77" s="495" t="s">
        <v>2605</v>
      </c>
      <c r="C77" s="368"/>
      <c r="D77" s="367"/>
      <c r="E77" s="401">
        <v>0</v>
      </c>
      <c r="F77" s="368"/>
      <c r="G77" s="369">
        <f t="shared" si="29"/>
        <v>0</v>
      </c>
      <c r="H77" s="369">
        <v>0</v>
      </c>
      <c r="I77" s="369">
        <f t="shared" si="32"/>
        <v>0</v>
      </c>
      <c r="J77" s="369">
        <v>0</v>
      </c>
      <c r="K77" s="369">
        <v>0</v>
      </c>
      <c r="L77" s="369"/>
      <c r="M77" s="369"/>
      <c r="N77" s="369">
        <f t="shared" si="30"/>
        <v>0</v>
      </c>
      <c r="O77" s="369">
        <v>0</v>
      </c>
      <c r="P77" s="369">
        <f t="shared" si="33"/>
        <v>0</v>
      </c>
      <c r="Q77" s="369">
        <v>0</v>
      </c>
      <c r="R77" s="369">
        <v>0</v>
      </c>
      <c r="S77" s="369"/>
      <c r="T77" s="369">
        <f t="shared" si="34"/>
        <v>0</v>
      </c>
      <c r="U77" s="369">
        <f t="shared" si="35"/>
        <v>0</v>
      </c>
      <c r="V77" s="370">
        <f t="shared" si="31"/>
        <v>0</v>
      </c>
    </row>
    <row r="78" spans="1:23" s="24" customFormat="1" ht="26.25" customHeight="1">
      <c r="A78" s="460"/>
      <c r="B78" s="495" t="s">
        <v>2606</v>
      </c>
      <c r="C78" s="368"/>
      <c r="D78" s="367"/>
      <c r="E78" s="401">
        <v>11</v>
      </c>
      <c r="F78" s="368"/>
      <c r="G78" s="369">
        <f t="shared" si="29"/>
        <v>44.953219999999995</v>
      </c>
      <c r="H78" s="369">
        <v>42.378699999999995</v>
      </c>
      <c r="I78" s="369">
        <f t="shared" si="32"/>
        <v>2.5745199999999997</v>
      </c>
      <c r="J78" s="369">
        <v>0.78</v>
      </c>
      <c r="K78" s="369">
        <v>1.7945199999999999</v>
      </c>
      <c r="L78" s="369"/>
      <c r="M78" s="369"/>
      <c r="N78" s="369">
        <f t="shared" si="30"/>
        <v>48.546019659999992</v>
      </c>
      <c r="O78" s="369">
        <v>45.312609999999992</v>
      </c>
      <c r="P78" s="369">
        <f t="shared" si="33"/>
        <v>2.7527559999999998</v>
      </c>
      <c r="Q78" s="369">
        <v>0.83399999999999996</v>
      </c>
      <c r="R78" s="369">
        <v>1.9187559999999997</v>
      </c>
      <c r="S78" s="369"/>
      <c r="T78" s="369">
        <f t="shared" si="34"/>
        <v>0.48065365999999993</v>
      </c>
      <c r="U78" s="369">
        <f t="shared" si="35"/>
        <v>0.48065365999999993</v>
      </c>
      <c r="V78" s="370">
        <f t="shared" si="31"/>
        <v>2.8839219599999995</v>
      </c>
    </row>
    <row r="79" spans="1:23" s="24" customFormat="1" ht="26.25" customHeight="1">
      <c r="A79" s="460"/>
      <c r="B79" s="496" t="s">
        <v>2607</v>
      </c>
      <c r="C79" s="401">
        <f>SUM(C80:C88)</f>
        <v>0</v>
      </c>
      <c r="D79" s="401">
        <f>SUM(D80:D88)</f>
        <v>0</v>
      </c>
      <c r="E79" s="401">
        <f>SUM(E80:E88)</f>
        <v>932</v>
      </c>
      <c r="F79" s="401">
        <f t="shared" ref="F79:U79" si="36">SUM(F80:F88)</f>
        <v>847</v>
      </c>
      <c r="G79" s="369">
        <f t="shared" si="36"/>
        <v>2914.5687765999996</v>
      </c>
      <c r="H79" s="369">
        <f t="shared" si="36"/>
        <v>3332.8021999999996</v>
      </c>
      <c r="I79" s="369">
        <f t="shared" si="36"/>
        <v>139.65016000000003</v>
      </c>
      <c r="J79" s="369">
        <f t="shared" si="36"/>
        <v>93.73</v>
      </c>
      <c r="K79" s="369">
        <f t="shared" si="36"/>
        <v>45.920159999999996</v>
      </c>
      <c r="L79" s="369">
        <f t="shared" si="36"/>
        <v>0</v>
      </c>
      <c r="M79" s="369">
        <f t="shared" si="36"/>
        <v>34.724523599999998</v>
      </c>
      <c r="N79" s="369">
        <f t="shared" si="36"/>
        <v>3116.3466149799992</v>
      </c>
      <c r="O79" s="369">
        <f t="shared" si="36"/>
        <v>3563.5346599999993</v>
      </c>
      <c r="P79" s="369">
        <f t="shared" si="36"/>
        <v>149.31824799999998</v>
      </c>
      <c r="Q79" s="369">
        <f t="shared" si="36"/>
        <v>100.21899999999999</v>
      </c>
      <c r="R79" s="369">
        <f t="shared" si="36"/>
        <v>49.099247999999996</v>
      </c>
      <c r="S79" s="369">
        <f t="shared" si="36"/>
        <v>0</v>
      </c>
      <c r="T79" s="369">
        <f t="shared" si="36"/>
        <v>37.12852908</v>
      </c>
      <c r="U79" s="369">
        <f t="shared" si="36"/>
        <v>2.4040054799999959</v>
      </c>
      <c r="V79" s="369">
        <f>SUM(V80:V88)</f>
        <v>14.424032879999976</v>
      </c>
      <c r="W79" s="402">
        <f>U79*6</f>
        <v>14.424032879999976</v>
      </c>
    </row>
    <row r="80" spans="1:23" s="24" customFormat="1" ht="26.25" customHeight="1">
      <c r="A80" s="460"/>
      <c r="B80" s="101" t="s">
        <v>2608</v>
      </c>
      <c r="C80" s="368"/>
      <c r="D80" s="367"/>
      <c r="E80" s="401">
        <v>144</v>
      </c>
      <c r="F80" s="401">
        <v>135</v>
      </c>
      <c r="G80" s="369">
        <f t="shared" si="29"/>
        <v>538.76355260000003</v>
      </c>
      <c r="H80" s="369">
        <v>512.95399999999995</v>
      </c>
      <c r="I80" s="369">
        <f>J80+K80+L80</f>
        <v>20.475259999999999</v>
      </c>
      <c r="J80" s="369">
        <v>11.57</v>
      </c>
      <c r="K80" s="369">
        <v>8.9052600000000002</v>
      </c>
      <c r="L80" s="369"/>
      <c r="M80" s="369">
        <f t="shared" ref="M80:M88" si="37">(H80+I80)*1%</f>
        <v>5.3342926000000004</v>
      </c>
      <c r="N80" s="369">
        <f t="shared" si="30"/>
        <v>576.06256777999988</v>
      </c>
      <c r="O80" s="369">
        <v>548.46619999999984</v>
      </c>
      <c r="P80" s="369">
        <f>Q80+R80+S80</f>
        <v>21.892778</v>
      </c>
      <c r="Q80" s="369">
        <v>12.371</v>
      </c>
      <c r="R80" s="369">
        <v>9.5217779999999994</v>
      </c>
      <c r="S80" s="369"/>
      <c r="T80" s="369">
        <f t="shared" si="34"/>
        <v>5.7035897799999988</v>
      </c>
      <c r="U80" s="369">
        <f t="shared" si="35"/>
        <v>0.36929717999999845</v>
      </c>
      <c r="V80" s="370">
        <f t="shared" si="31"/>
        <v>2.2157830799999907</v>
      </c>
    </row>
    <row r="81" spans="1:22" s="24" customFormat="1" ht="26.25" customHeight="1">
      <c r="A81" s="460"/>
      <c r="B81" s="101" t="s">
        <v>2609</v>
      </c>
      <c r="C81" s="368"/>
      <c r="D81" s="367"/>
      <c r="E81" s="401">
        <v>201</v>
      </c>
      <c r="F81" s="401">
        <v>181</v>
      </c>
      <c r="G81" s="369">
        <f t="shared" si="29"/>
        <v>721.47065379999992</v>
      </c>
      <c r="H81" s="369">
        <v>688.66849999999999</v>
      </c>
      <c r="I81" s="369">
        <f t="shared" ref="I81:I88" si="38">J81+K81+L81</f>
        <v>25.658879999999996</v>
      </c>
      <c r="J81" s="369">
        <v>20.149999999999999</v>
      </c>
      <c r="K81" s="369">
        <v>5.5088799999999996</v>
      </c>
      <c r="L81" s="369"/>
      <c r="M81" s="369">
        <f t="shared" si="37"/>
        <v>7.1432737999999993</v>
      </c>
      <c r="N81" s="369">
        <f t="shared" si="30"/>
        <v>771.41862213999991</v>
      </c>
      <c r="O81" s="369">
        <v>736.34555</v>
      </c>
      <c r="P81" s="369">
        <f t="shared" ref="P81:P88" si="39">Q81+R81+S81</f>
        <v>27.435263999999993</v>
      </c>
      <c r="Q81" s="369">
        <v>21.544999999999995</v>
      </c>
      <c r="R81" s="369">
        <v>5.8902639999999993</v>
      </c>
      <c r="S81" s="369"/>
      <c r="T81" s="369">
        <f t="shared" si="34"/>
        <v>7.6378081399999997</v>
      </c>
      <c r="U81" s="369">
        <f t="shared" si="35"/>
        <v>0.49453434000000041</v>
      </c>
      <c r="V81" s="370">
        <f t="shared" si="31"/>
        <v>2.9672060400000024</v>
      </c>
    </row>
    <row r="82" spans="1:22" s="24" customFormat="1" ht="26.25" customHeight="1">
      <c r="A82" s="460"/>
      <c r="B82" s="101" t="s">
        <v>2610</v>
      </c>
      <c r="C82" s="368"/>
      <c r="D82" s="367"/>
      <c r="E82" s="401">
        <v>158</v>
      </c>
      <c r="F82" s="401">
        <v>145</v>
      </c>
      <c r="G82" s="369">
        <f t="shared" si="29"/>
        <v>617.13389659999984</v>
      </c>
      <c r="H82" s="369">
        <v>585.06499999999983</v>
      </c>
      <c r="I82" s="369">
        <f t="shared" si="38"/>
        <v>25.958660000000002</v>
      </c>
      <c r="J82" s="369">
        <v>18.2</v>
      </c>
      <c r="K82" s="369">
        <v>7.7586600000000008</v>
      </c>
      <c r="L82" s="369"/>
      <c r="M82" s="369">
        <f t="shared" si="37"/>
        <v>6.1102365999999986</v>
      </c>
      <c r="N82" s="369">
        <f t="shared" si="30"/>
        <v>659.85855097999979</v>
      </c>
      <c r="O82" s="369">
        <v>625.56949999999972</v>
      </c>
      <c r="P82" s="369">
        <f t="shared" si="39"/>
        <v>27.755797999999999</v>
      </c>
      <c r="Q82" s="369">
        <v>19.459999999999997</v>
      </c>
      <c r="R82" s="369">
        <v>8.2957979999999996</v>
      </c>
      <c r="S82" s="369"/>
      <c r="T82" s="369">
        <f t="shared" si="34"/>
        <v>6.5332529799999977</v>
      </c>
      <c r="U82" s="369">
        <f t="shared" si="35"/>
        <v>0.42301637999999908</v>
      </c>
      <c r="V82" s="370">
        <f t="shared" si="31"/>
        <v>2.5380982799999945</v>
      </c>
    </row>
    <row r="83" spans="1:22" s="24" customFormat="1" ht="26.25" customHeight="1">
      <c r="A83" s="460"/>
      <c r="B83" s="101" t="s">
        <v>2611</v>
      </c>
      <c r="C83" s="368"/>
      <c r="D83" s="367"/>
      <c r="E83" s="401">
        <v>117</v>
      </c>
      <c r="F83" s="401">
        <v>117</v>
      </c>
      <c r="G83" s="369">
        <f>H83+I83+M83</f>
        <v>476.91783880000003</v>
      </c>
      <c r="H83" s="369">
        <v>453.64800000000002</v>
      </c>
      <c r="I83" s="369">
        <f t="shared" si="38"/>
        <v>18.547879999999999</v>
      </c>
      <c r="J83" s="369">
        <v>11.310000000000002</v>
      </c>
      <c r="K83" s="369">
        <v>7.2378799999999988</v>
      </c>
      <c r="L83" s="369"/>
      <c r="M83" s="369">
        <f t="shared" si="37"/>
        <v>4.7219588000000003</v>
      </c>
      <c r="N83" s="369">
        <f>O83+P83+T83</f>
        <v>509.93522763999994</v>
      </c>
      <c r="O83" s="369">
        <v>485.05439999999993</v>
      </c>
      <c r="P83" s="369">
        <f t="shared" si="39"/>
        <v>19.831963999999999</v>
      </c>
      <c r="Q83" s="369">
        <v>12.093</v>
      </c>
      <c r="R83" s="369">
        <v>7.7389639999999975</v>
      </c>
      <c r="S83" s="369"/>
      <c r="T83" s="369">
        <f t="shared" si="34"/>
        <v>5.0488636399999995</v>
      </c>
      <c r="U83" s="369">
        <f t="shared" si="35"/>
        <v>0.3269048399999992</v>
      </c>
      <c r="V83" s="370">
        <f>U83*6</f>
        <v>1.9614290399999952</v>
      </c>
    </row>
    <row r="84" spans="1:22" s="24" customFormat="1" ht="26.25" customHeight="1">
      <c r="A84" s="460"/>
      <c r="B84" s="101" t="s">
        <v>2612</v>
      </c>
      <c r="C84" s="368"/>
      <c r="D84" s="367"/>
      <c r="E84" s="401">
        <v>47</v>
      </c>
      <c r="F84" s="401">
        <v>36</v>
      </c>
      <c r="G84" s="369">
        <f>H84+I84+M84</f>
        <v>158.6581932</v>
      </c>
      <c r="H84" s="369">
        <v>151.91800000000001</v>
      </c>
      <c r="I84" s="369">
        <f t="shared" si="38"/>
        <v>5.1693199999999999</v>
      </c>
      <c r="J84" s="369">
        <v>4.03</v>
      </c>
      <c r="K84" s="369">
        <v>1.1393199999999999</v>
      </c>
      <c r="L84" s="369"/>
      <c r="M84" s="369">
        <f t="shared" si="37"/>
        <v>1.5708732000000001</v>
      </c>
      <c r="N84" s="369">
        <f>O84+P84+T84</f>
        <v>169.64222196</v>
      </c>
      <c r="O84" s="369">
        <v>162.43539999999999</v>
      </c>
      <c r="P84" s="369">
        <f t="shared" si="39"/>
        <v>5.527196</v>
      </c>
      <c r="Q84" s="369">
        <v>4.3090000000000002</v>
      </c>
      <c r="R84" s="369">
        <v>1.2181959999999996</v>
      </c>
      <c r="S84" s="369"/>
      <c r="T84" s="369">
        <f t="shared" si="34"/>
        <v>1.6796259599999999</v>
      </c>
      <c r="U84" s="369">
        <f t="shared" si="35"/>
        <v>0.10875275999999978</v>
      </c>
      <c r="V84" s="370">
        <f>U84*6</f>
        <v>0.65251655999999869</v>
      </c>
    </row>
    <row r="85" spans="1:22" s="24" customFormat="1" ht="26.25" customHeight="1">
      <c r="A85" s="460"/>
      <c r="B85" s="101" t="s">
        <v>2613</v>
      </c>
      <c r="C85" s="368"/>
      <c r="D85" s="367"/>
      <c r="E85" s="401">
        <v>152</v>
      </c>
      <c r="F85" s="401">
        <v>139</v>
      </c>
      <c r="G85" s="369"/>
      <c r="H85" s="369">
        <v>565.21400000000006</v>
      </c>
      <c r="I85" s="369">
        <f t="shared" si="38"/>
        <v>21.526699999999998</v>
      </c>
      <c r="J85" s="369">
        <v>13.259999999999998</v>
      </c>
      <c r="K85" s="369">
        <v>8.2667000000000002</v>
      </c>
      <c r="L85" s="369"/>
      <c r="M85" s="369">
        <f t="shared" si="37"/>
        <v>5.8674070000000009</v>
      </c>
      <c r="N85" s="369"/>
      <c r="O85" s="369">
        <v>604.3442</v>
      </c>
      <c r="P85" s="369">
        <f t="shared" si="39"/>
        <v>23.017009999999996</v>
      </c>
      <c r="Q85" s="369">
        <v>14.177999999999995</v>
      </c>
      <c r="R85" s="369">
        <v>8.83901</v>
      </c>
      <c r="S85" s="369"/>
      <c r="T85" s="369">
        <f t="shared" si="34"/>
        <v>6.2736121000000002</v>
      </c>
      <c r="U85" s="369">
        <f t="shared" si="35"/>
        <v>0.40620509999999932</v>
      </c>
      <c r="V85" s="370">
        <f>U85*6</f>
        <v>2.4372305999999959</v>
      </c>
    </row>
    <row r="86" spans="1:22" s="24" customFormat="1" ht="26.25" customHeight="1">
      <c r="A86" s="460"/>
      <c r="B86" s="101" t="s">
        <v>2614</v>
      </c>
      <c r="C86" s="368"/>
      <c r="D86" s="367"/>
      <c r="E86" s="401">
        <v>37</v>
      </c>
      <c r="F86" s="401">
        <v>30</v>
      </c>
      <c r="G86" s="369">
        <f t="shared" ref="G86:G95" si="40">H86+I86+M86</f>
        <v>133.06204599999998</v>
      </c>
      <c r="H86" s="369">
        <v>125.099</v>
      </c>
      <c r="I86" s="369">
        <f t="shared" si="38"/>
        <v>6.6456</v>
      </c>
      <c r="J86" s="369">
        <v>5.59</v>
      </c>
      <c r="K86" s="369">
        <v>1.0556000000000001</v>
      </c>
      <c r="L86" s="369"/>
      <c r="M86" s="369">
        <f t="shared" si="37"/>
        <v>1.3174459999999999</v>
      </c>
      <c r="N86" s="369">
        <f t="shared" ref="N86:N95" si="41">O86+P86+T86</f>
        <v>142.27403380000001</v>
      </c>
      <c r="O86" s="369">
        <v>133.75970000000001</v>
      </c>
      <c r="P86" s="369">
        <f t="shared" si="39"/>
        <v>7.1056799999999996</v>
      </c>
      <c r="Q86" s="369">
        <v>5.9769999999999994</v>
      </c>
      <c r="R86" s="369">
        <v>1.1286799999999999</v>
      </c>
      <c r="S86" s="369"/>
      <c r="T86" s="369">
        <f t="shared" si="34"/>
        <v>1.4086538000000002</v>
      </c>
      <c r="U86" s="369">
        <f t="shared" si="35"/>
        <v>9.1207800000000283E-2</v>
      </c>
      <c r="V86" s="370">
        <f t="shared" ref="V86:V95" si="42">U86*6</f>
        <v>0.5472468000000017</v>
      </c>
    </row>
    <row r="87" spans="1:22" s="24" customFormat="1" ht="26.25" customHeight="1">
      <c r="A87" s="460"/>
      <c r="B87" s="101" t="s">
        <v>2615</v>
      </c>
      <c r="C87" s="368"/>
      <c r="D87" s="367"/>
      <c r="E87" s="401">
        <v>32</v>
      </c>
      <c r="F87" s="401">
        <v>24</v>
      </c>
      <c r="G87" s="369">
        <f t="shared" si="40"/>
        <v>95.011043399999977</v>
      </c>
      <c r="H87" s="369">
        <v>89.46599999999998</v>
      </c>
      <c r="I87" s="369">
        <f t="shared" si="38"/>
        <v>4.6043399999999988</v>
      </c>
      <c r="J87" s="369">
        <v>2.9899999999999993</v>
      </c>
      <c r="K87" s="369">
        <v>1.6143399999999999</v>
      </c>
      <c r="L87" s="369"/>
      <c r="M87" s="369">
        <f t="shared" si="37"/>
        <v>0.94070339999999975</v>
      </c>
      <c r="N87" s="369">
        <f t="shared" si="41"/>
        <v>101.58873101999995</v>
      </c>
      <c r="O87" s="369">
        <v>95.659799999999962</v>
      </c>
      <c r="P87" s="369">
        <f t="shared" si="39"/>
        <v>4.9231019999999983</v>
      </c>
      <c r="Q87" s="369">
        <v>3.1969999999999987</v>
      </c>
      <c r="R87" s="369">
        <v>1.7261019999999996</v>
      </c>
      <c r="S87" s="369"/>
      <c r="T87" s="369">
        <f t="shared" si="34"/>
        <v>1.0058290199999997</v>
      </c>
      <c r="U87" s="369">
        <f t="shared" si="35"/>
        <v>6.5125619999999995E-2</v>
      </c>
      <c r="V87" s="370">
        <f t="shared" si="42"/>
        <v>0.39075371999999997</v>
      </c>
    </row>
    <row r="88" spans="1:22" s="24" customFormat="1" ht="26.25" customHeight="1">
      <c r="A88" s="460"/>
      <c r="B88" s="101" t="s">
        <v>2616</v>
      </c>
      <c r="C88" s="368"/>
      <c r="D88" s="367"/>
      <c r="E88" s="401">
        <v>44</v>
      </c>
      <c r="F88" s="401">
        <v>40</v>
      </c>
      <c r="G88" s="369">
        <f t="shared" si="40"/>
        <v>173.55155219999997</v>
      </c>
      <c r="H88" s="369">
        <v>160.76969999999997</v>
      </c>
      <c r="I88" s="369">
        <f t="shared" si="38"/>
        <v>11.06352</v>
      </c>
      <c r="J88" s="369">
        <v>6.629999999999999</v>
      </c>
      <c r="K88" s="369">
        <v>4.4335200000000006</v>
      </c>
      <c r="L88" s="369"/>
      <c r="M88" s="369">
        <f t="shared" si="37"/>
        <v>1.7183321999999999</v>
      </c>
      <c r="N88" s="369">
        <f t="shared" si="41"/>
        <v>185.56665965999994</v>
      </c>
      <c r="O88" s="369">
        <v>171.89990999999995</v>
      </c>
      <c r="P88" s="369">
        <f t="shared" si="39"/>
        <v>11.829455999999997</v>
      </c>
      <c r="Q88" s="369">
        <v>7.0889999999999977</v>
      </c>
      <c r="R88" s="369">
        <v>4.740456</v>
      </c>
      <c r="S88" s="369"/>
      <c r="T88" s="369">
        <f t="shared" si="34"/>
        <v>1.8372936599999994</v>
      </c>
      <c r="U88" s="369">
        <f t="shared" si="35"/>
        <v>0.11896145999999952</v>
      </c>
      <c r="V88" s="370">
        <f t="shared" si="42"/>
        <v>0.71376875999999712</v>
      </c>
    </row>
    <row r="89" spans="1:22" s="24" customFormat="1" ht="26.25" hidden="1" customHeight="1">
      <c r="A89" s="460"/>
      <c r="B89" s="495" t="s">
        <v>2617</v>
      </c>
      <c r="C89" s="368"/>
      <c r="D89" s="367"/>
      <c r="E89" s="401">
        <v>0</v>
      </c>
      <c r="F89" s="368"/>
      <c r="G89" s="369">
        <f t="shared" si="40"/>
        <v>0</v>
      </c>
      <c r="H89" s="369"/>
      <c r="I89" s="369"/>
      <c r="J89" s="369"/>
      <c r="K89" s="369"/>
      <c r="L89" s="369"/>
      <c r="M89" s="369"/>
      <c r="N89" s="369">
        <f t="shared" si="41"/>
        <v>0</v>
      </c>
      <c r="O89" s="369"/>
      <c r="P89" s="369"/>
      <c r="Q89" s="369"/>
      <c r="R89" s="369"/>
      <c r="S89" s="369"/>
      <c r="T89" s="369"/>
      <c r="U89" s="369">
        <f t="shared" ref="U89:U95" si="43">N89-G89</f>
        <v>0</v>
      </c>
      <c r="V89" s="370">
        <f t="shared" si="42"/>
        <v>0</v>
      </c>
    </row>
    <row r="90" spans="1:22" s="24" customFormat="1" ht="26.25" hidden="1" customHeight="1">
      <c r="A90" s="460"/>
      <c r="B90" s="496" t="s">
        <v>2618</v>
      </c>
      <c r="C90" s="368"/>
      <c r="D90" s="367"/>
      <c r="E90" s="401">
        <v>527</v>
      </c>
      <c r="F90" s="368"/>
      <c r="G90" s="369">
        <f t="shared" si="40"/>
        <v>0</v>
      </c>
      <c r="H90" s="369"/>
      <c r="I90" s="369"/>
      <c r="J90" s="369"/>
      <c r="K90" s="369"/>
      <c r="L90" s="369"/>
      <c r="M90" s="369"/>
      <c r="N90" s="369">
        <f t="shared" si="41"/>
        <v>0</v>
      </c>
      <c r="O90" s="369"/>
      <c r="P90" s="369"/>
      <c r="Q90" s="369"/>
      <c r="R90" s="369"/>
      <c r="S90" s="369"/>
      <c r="T90" s="369"/>
      <c r="U90" s="369">
        <f t="shared" si="43"/>
        <v>0</v>
      </c>
      <c r="V90" s="370">
        <f t="shared" si="42"/>
        <v>0</v>
      </c>
    </row>
    <row r="91" spans="1:22" s="24" customFormat="1" ht="26.25" customHeight="1">
      <c r="A91" s="460"/>
      <c r="B91" s="496" t="s">
        <v>2619</v>
      </c>
      <c r="C91" s="401">
        <f>C92+C93</f>
        <v>0</v>
      </c>
      <c r="D91" s="401">
        <f>D92+D93</f>
        <v>0</v>
      </c>
      <c r="E91" s="401">
        <f>E92+E93</f>
        <v>330</v>
      </c>
      <c r="F91" s="401">
        <f t="shared" ref="F91:V91" si="44">F92+F93</f>
        <v>319</v>
      </c>
      <c r="G91" s="369">
        <f t="shared" si="44"/>
        <v>1294.8585415999999</v>
      </c>
      <c r="H91" s="369">
        <f t="shared" si="44"/>
        <v>1243.8400000000001</v>
      </c>
      <c r="I91" s="369">
        <f t="shared" si="44"/>
        <v>38.198160000000001</v>
      </c>
      <c r="J91" s="369">
        <f t="shared" si="44"/>
        <v>31.200000000000003</v>
      </c>
      <c r="K91" s="369">
        <f t="shared" si="44"/>
        <v>6.9981600000000004</v>
      </c>
      <c r="L91" s="369">
        <f t="shared" si="44"/>
        <v>0</v>
      </c>
      <c r="M91" s="369">
        <f t="shared" si="44"/>
        <v>12.820381599999999</v>
      </c>
      <c r="N91" s="369">
        <f t="shared" si="44"/>
        <v>1384.50259448</v>
      </c>
      <c r="O91" s="369">
        <f t="shared" si="44"/>
        <v>1329.9519999999998</v>
      </c>
      <c r="P91" s="369">
        <f t="shared" si="44"/>
        <v>40.842647999999997</v>
      </c>
      <c r="Q91" s="369">
        <f t="shared" si="44"/>
        <v>33.36</v>
      </c>
      <c r="R91" s="369">
        <f t="shared" si="44"/>
        <v>7.4826479999999984</v>
      </c>
      <c r="S91" s="369">
        <f t="shared" si="44"/>
        <v>0</v>
      </c>
      <c r="T91" s="369">
        <f t="shared" si="44"/>
        <v>13.70794648</v>
      </c>
      <c r="U91" s="369">
        <f t="shared" si="44"/>
        <v>0.88756488000000022</v>
      </c>
      <c r="V91" s="369">
        <f t="shared" si="44"/>
        <v>5.3253892800000013</v>
      </c>
    </row>
    <row r="92" spans="1:22" s="24" customFormat="1" ht="26.25" customHeight="1">
      <c r="A92" s="460"/>
      <c r="B92" s="496" t="s">
        <v>2620</v>
      </c>
      <c r="C92" s="368"/>
      <c r="D92" s="367"/>
      <c r="E92" s="401">
        <v>160</v>
      </c>
      <c r="F92" s="401">
        <v>154</v>
      </c>
      <c r="G92" s="369">
        <f t="shared" si="40"/>
        <v>614.03364099999988</v>
      </c>
      <c r="H92" s="369">
        <v>589.29</v>
      </c>
      <c r="I92" s="369">
        <f>J92+K92+L92</f>
        <v>18.664100000000001</v>
      </c>
      <c r="J92" s="369">
        <v>15.73</v>
      </c>
      <c r="K92" s="369">
        <v>2.9341000000000004</v>
      </c>
      <c r="L92" s="369"/>
      <c r="M92" s="369">
        <f>(H92+I92)*1%</f>
        <v>6.079540999999999</v>
      </c>
      <c r="N92" s="369">
        <f t="shared" si="41"/>
        <v>656.54366229999982</v>
      </c>
      <c r="O92" s="369">
        <v>630.08699999999988</v>
      </c>
      <c r="P92" s="369">
        <f>Q92+R92+S92</f>
        <v>19.956229999999998</v>
      </c>
      <c r="Q92" s="369">
        <v>16.818999999999999</v>
      </c>
      <c r="R92" s="369">
        <v>3.1372299999999997</v>
      </c>
      <c r="S92" s="369"/>
      <c r="T92" s="369">
        <f>(O92+P92)*1%</f>
        <v>6.5004322999999991</v>
      </c>
      <c r="U92" s="369">
        <f>T92-M92</f>
        <v>0.42089130000000008</v>
      </c>
      <c r="V92" s="370">
        <f t="shared" si="42"/>
        <v>2.5253478000000005</v>
      </c>
    </row>
    <row r="93" spans="1:22" s="24" customFormat="1" ht="26.25" customHeight="1">
      <c r="A93" s="460"/>
      <c r="B93" s="496" t="s">
        <v>2621</v>
      </c>
      <c r="C93" s="368"/>
      <c r="D93" s="367"/>
      <c r="E93" s="401">
        <v>170</v>
      </c>
      <c r="F93" s="401">
        <v>165</v>
      </c>
      <c r="G93" s="369">
        <f t="shared" si="40"/>
        <v>680.82490059999998</v>
      </c>
      <c r="H93" s="369">
        <v>654.55000000000007</v>
      </c>
      <c r="I93" s="369">
        <f>J93+K93+L93</f>
        <v>19.53406</v>
      </c>
      <c r="J93" s="369">
        <v>15.47</v>
      </c>
      <c r="K93" s="369">
        <v>4.0640599999999996</v>
      </c>
      <c r="L93" s="369"/>
      <c r="M93" s="369">
        <f>(H93+I93)*1%</f>
        <v>6.7408406000000003</v>
      </c>
      <c r="N93" s="369">
        <f t="shared" si="41"/>
        <v>727.95893218000003</v>
      </c>
      <c r="O93" s="369">
        <v>699.86500000000001</v>
      </c>
      <c r="P93" s="369">
        <f>Q93+R93+S93</f>
        <v>20.886417999999999</v>
      </c>
      <c r="Q93" s="369">
        <v>16.541</v>
      </c>
      <c r="R93" s="369">
        <v>4.3454179999999987</v>
      </c>
      <c r="S93" s="369"/>
      <c r="T93" s="369">
        <f>(O93+P93)*1%</f>
        <v>7.2075141800000004</v>
      </c>
      <c r="U93" s="369">
        <f>T93-M93</f>
        <v>0.46667358000000014</v>
      </c>
      <c r="V93" s="370">
        <f t="shared" si="42"/>
        <v>2.8000414800000009</v>
      </c>
    </row>
    <row r="94" spans="1:22" s="24" customFormat="1" ht="26.25" hidden="1" customHeight="1">
      <c r="A94" s="460"/>
      <c r="B94" s="496" t="s">
        <v>2622</v>
      </c>
      <c r="C94" s="368"/>
      <c r="D94" s="367"/>
      <c r="E94" s="368"/>
      <c r="F94" s="368"/>
      <c r="G94" s="369">
        <f t="shared" si="40"/>
        <v>0</v>
      </c>
      <c r="H94" s="369"/>
      <c r="I94" s="369"/>
      <c r="J94" s="369"/>
      <c r="K94" s="369"/>
      <c r="L94" s="369"/>
      <c r="M94" s="369"/>
      <c r="N94" s="369">
        <f t="shared" si="41"/>
        <v>0</v>
      </c>
      <c r="O94" s="369"/>
      <c r="P94" s="369"/>
      <c r="Q94" s="369"/>
      <c r="R94" s="369"/>
      <c r="S94" s="369"/>
      <c r="T94" s="369"/>
      <c r="U94" s="369">
        <f t="shared" si="43"/>
        <v>0</v>
      </c>
      <c r="V94" s="370">
        <f t="shared" si="42"/>
        <v>0</v>
      </c>
    </row>
    <row r="95" spans="1:22" s="24" customFormat="1" ht="26.25" hidden="1" customHeight="1">
      <c r="A95" s="460"/>
      <c r="B95" s="496" t="s">
        <v>2623</v>
      </c>
      <c r="C95" s="368"/>
      <c r="D95" s="367"/>
      <c r="E95" s="368"/>
      <c r="F95" s="368"/>
      <c r="G95" s="369">
        <f t="shared" si="40"/>
        <v>0</v>
      </c>
      <c r="H95" s="369"/>
      <c r="I95" s="369"/>
      <c r="J95" s="369"/>
      <c r="K95" s="369"/>
      <c r="L95" s="369"/>
      <c r="M95" s="369"/>
      <c r="N95" s="369">
        <f t="shared" si="41"/>
        <v>0</v>
      </c>
      <c r="O95" s="369"/>
      <c r="P95" s="369"/>
      <c r="Q95" s="369"/>
      <c r="R95" s="369"/>
      <c r="S95" s="369"/>
      <c r="T95" s="369"/>
      <c r="U95" s="369">
        <f t="shared" si="43"/>
        <v>0</v>
      </c>
      <c r="V95" s="370">
        <f t="shared" si="42"/>
        <v>0</v>
      </c>
    </row>
    <row r="96" spans="1:22" s="24" customFormat="1" ht="26.25" hidden="1" customHeight="1">
      <c r="A96" s="460"/>
      <c r="B96" s="496" t="s">
        <v>2624</v>
      </c>
      <c r="C96" s="368"/>
      <c r="D96" s="367"/>
      <c r="E96" s="368"/>
      <c r="F96" s="368"/>
      <c r="G96" s="369"/>
      <c r="H96" s="369"/>
      <c r="I96" s="369"/>
      <c r="J96" s="369"/>
      <c r="K96" s="369"/>
      <c r="L96" s="369"/>
      <c r="M96" s="369"/>
      <c r="N96" s="369"/>
      <c r="O96" s="369"/>
      <c r="P96" s="369"/>
      <c r="Q96" s="369"/>
      <c r="R96" s="369"/>
      <c r="S96" s="369"/>
      <c r="T96" s="369"/>
      <c r="U96" s="369"/>
      <c r="V96" s="370"/>
    </row>
    <row r="97" spans="1:22" s="24" customFormat="1" ht="26.25" hidden="1" customHeight="1">
      <c r="A97" s="460"/>
      <c r="B97" s="496" t="s">
        <v>2625</v>
      </c>
      <c r="C97" s="368"/>
      <c r="D97" s="367"/>
      <c r="E97" s="368"/>
      <c r="F97" s="368"/>
      <c r="G97" s="369"/>
      <c r="H97" s="369"/>
      <c r="I97" s="369"/>
      <c r="J97" s="369"/>
      <c r="K97" s="369"/>
      <c r="L97" s="369"/>
      <c r="M97" s="369"/>
      <c r="N97" s="369"/>
      <c r="O97" s="369"/>
      <c r="P97" s="369"/>
      <c r="Q97" s="369"/>
      <c r="R97" s="369"/>
      <c r="S97" s="369"/>
      <c r="T97" s="369"/>
      <c r="U97" s="369"/>
      <c r="V97" s="370"/>
    </row>
    <row r="98" spans="1:22" s="24" customFormat="1" ht="34.5" hidden="1" customHeight="1">
      <c r="A98" s="460"/>
      <c r="B98" s="496" t="s">
        <v>2626</v>
      </c>
      <c r="C98" s="368"/>
      <c r="D98" s="367"/>
      <c r="E98" s="368"/>
      <c r="F98" s="368"/>
      <c r="G98" s="369"/>
      <c r="H98" s="369"/>
      <c r="I98" s="369"/>
      <c r="J98" s="369"/>
      <c r="K98" s="369"/>
      <c r="L98" s="369"/>
      <c r="M98" s="369"/>
      <c r="N98" s="369"/>
      <c r="O98" s="369"/>
      <c r="P98" s="369"/>
      <c r="Q98" s="369"/>
      <c r="R98" s="369"/>
      <c r="S98" s="369"/>
      <c r="T98" s="369"/>
      <c r="U98" s="369"/>
      <c r="V98" s="370"/>
    </row>
    <row r="99" spans="1:22" s="24" customFormat="1" ht="36" hidden="1" customHeight="1">
      <c r="A99" s="460"/>
      <c r="B99" s="496" t="s">
        <v>2627</v>
      </c>
      <c r="C99" s="368"/>
      <c r="D99" s="367"/>
      <c r="E99" s="368"/>
      <c r="F99" s="368"/>
      <c r="G99" s="369"/>
      <c r="H99" s="369"/>
      <c r="I99" s="369"/>
      <c r="J99" s="369"/>
      <c r="K99" s="369"/>
      <c r="L99" s="369"/>
      <c r="M99" s="369"/>
      <c r="N99" s="369"/>
      <c r="O99" s="369"/>
      <c r="P99" s="369"/>
      <c r="Q99" s="369"/>
      <c r="R99" s="369"/>
      <c r="S99" s="369"/>
      <c r="T99" s="369"/>
      <c r="U99" s="369"/>
      <c r="V99" s="370"/>
    </row>
    <row r="100" spans="1:22" s="24" customFormat="1" ht="26.25" customHeight="1">
      <c r="A100" s="460"/>
      <c r="B100" s="495" t="s">
        <v>2628</v>
      </c>
      <c r="C100" s="368"/>
      <c r="D100" s="367"/>
      <c r="E100" s="401">
        <v>83</v>
      </c>
      <c r="F100" s="401">
        <v>83</v>
      </c>
      <c r="G100" s="369">
        <f>H100+I100+M100</f>
        <v>333.73387579999996</v>
      </c>
      <c r="H100" s="369">
        <v>317.07</v>
      </c>
      <c r="I100" s="369">
        <f>J100+K100+L100</f>
        <v>13.359580000000001</v>
      </c>
      <c r="J100" s="369">
        <v>10.14</v>
      </c>
      <c r="K100" s="369">
        <v>3.2195800000000001</v>
      </c>
      <c r="L100" s="369"/>
      <c r="M100" s="369">
        <f t="shared" ref="M100:M115" si="45">(H100+I100)*1%</f>
        <v>3.3042957999999998</v>
      </c>
      <c r="N100" s="369">
        <f>O100+P100+T100</f>
        <v>356.83852873999996</v>
      </c>
      <c r="O100" s="369">
        <v>339.02099999999996</v>
      </c>
      <c r="P100" s="369">
        <f>Q100+R100+S100</f>
        <v>14.284473999999999</v>
      </c>
      <c r="Q100" s="369">
        <v>10.841999999999999</v>
      </c>
      <c r="R100" s="369">
        <v>3.4424739999999998</v>
      </c>
      <c r="S100" s="369"/>
      <c r="T100" s="369">
        <f>(O100+P100)*1%</f>
        <v>3.5330547399999994</v>
      </c>
      <c r="U100" s="369">
        <f>T100-M100</f>
        <v>0.22875893999999963</v>
      </c>
      <c r="V100" s="370">
        <f>U100*6</f>
        <v>1.3725536399999978</v>
      </c>
    </row>
    <row r="101" spans="1:22" s="24" customFormat="1" ht="26.25" customHeight="1">
      <c r="A101" s="460"/>
      <c r="B101" s="495" t="s">
        <v>2629</v>
      </c>
      <c r="C101" s="368"/>
      <c r="D101" s="367"/>
      <c r="E101" s="401">
        <v>235</v>
      </c>
      <c r="F101" s="401">
        <v>235</v>
      </c>
      <c r="G101" s="369">
        <f>H101+I101+M101</f>
        <v>930.24080500000002</v>
      </c>
      <c r="H101" s="369">
        <v>892.22250000000008</v>
      </c>
      <c r="I101" s="369">
        <f>J101+K101+L101</f>
        <v>28.808</v>
      </c>
      <c r="J101" s="369">
        <v>21.06</v>
      </c>
      <c r="K101" s="369">
        <v>7.7480000000000002</v>
      </c>
      <c r="L101" s="369"/>
      <c r="M101" s="369">
        <f t="shared" si="45"/>
        <v>9.2103050000000017</v>
      </c>
      <c r="N101" s="369">
        <f t="shared" ref="N101:N115" si="46">O101+P101+T101</f>
        <v>994.64209150000011</v>
      </c>
      <c r="O101" s="369">
        <v>953.99175000000002</v>
      </c>
      <c r="P101" s="369">
        <f t="shared" ref="P101:P115" si="47">Q101+R101+S101</f>
        <v>30.802399999999999</v>
      </c>
      <c r="Q101" s="369">
        <v>22.517999999999997</v>
      </c>
      <c r="R101" s="369">
        <v>8.2843999999999998</v>
      </c>
      <c r="S101" s="369"/>
      <c r="T101" s="369">
        <f>(O101+P101)*1%</f>
        <v>9.847941500000001</v>
      </c>
      <c r="U101" s="369">
        <f>T101-M101</f>
        <v>0.63763649999999927</v>
      </c>
      <c r="V101" s="370">
        <f>U101*6</f>
        <v>3.8258189999999956</v>
      </c>
    </row>
    <row r="102" spans="1:22" s="24" customFormat="1" ht="26.25" customHeight="1">
      <c r="A102" s="460"/>
      <c r="B102" s="495" t="s">
        <v>2630</v>
      </c>
      <c r="C102" s="368"/>
      <c r="D102" s="367"/>
      <c r="E102" s="401">
        <v>100</v>
      </c>
      <c r="F102" s="401">
        <v>100</v>
      </c>
      <c r="G102" s="369">
        <f>H102+I102+M102</f>
        <v>323.65213660000006</v>
      </c>
      <c r="H102" s="369">
        <v>305.56890000000004</v>
      </c>
      <c r="I102" s="369">
        <f>J102+K102+L102</f>
        <v>14.878760000000002</v>
      </c>
      <c r="J102" s="369">
        <v>13.13</v>
      </c>
      <c r="K102" s="369">
        <v>1.7487600000000001</v>
      </c>
      <c r="L102" s="369"/>
      <c r="M102" s="369">
        <f t="shared" si="45"/>
        <v>3.2044766000000005</v>
      </c>
      <c r="N102" s="369">
        <f t="shared" si="46"/>
        <v>346.05882298</v>
      </c>
      <c r="O102" s="369">
        <v>326.72367000000003</v>
      </c>
      <c r="P102" s="369">
        <f t="shared" si="47"/>
        <v>15.908827999999998</v>
      </c>
      <c r="Q102" s="369">
        <v>14.038999999999998</v>
      </c>
      <c r="R102" s="369">
        <v>1.8698279999999998</v>
      </c>
      <c r="S102" s="369"/>
      <c r="T102" s="369">
        <f>(O102+P102)*1%</f>
        <v>3.42632498</v>
      </c>
      <c r="U102" s="369">
        <f>T102-M102</f>
        <v>0.22184837999999951</v>
      </c>
      <c r="V102" s="370">
        <f>U102*6</f>
        <v>1.3310902799999971</v>
      </c>
    </row>
    <row r="103" spans="1:22" s="24" customFormat="1" ht="26.25" customHeight="1">
      <c r="A103" s="460"/>
      <c r="B103" s="495" t="s">
        <v>2631</v>
      </c>
      <c r="C103" s="401">
        <f>SUM(C104:C112)</f>
        <v>0</v>
      </c>
      <c r="D103" s="401">
        <f>SUM(D104:D112)</f>
        <v>0</v>
      </c>
      <c r="E103" s="401">
        <f>SUM(E104:E112)</f>
        <v>711</v>
      </c>
      <c r="F103" s="401">
        <f t="shared" ref="F103:V103" si="48">SUM(F104:F112)</f>
        <v>711</v>
      </c>
      <c r="G103" s="369">
        <f t="shared" si="48"/>
        <v>2891.3625520000005</v>
      </c>
      <c r="H103" s="369">
        <f t="shared" si="48"/>
        <v>2778.1259999999997</v>
      </c>
      <c r="I103" s="369">
        <f t="shared" si="48"/>
        <v>84.609200000000001</v>
      </c>
      <c r="J103" s="369">
        <f t="shared" si="48"/>
        <v>33.15</v>
      </c>
      <c r="K103" s="369">
        <f t="shared" si="48"/>
        <v>51.45920000000001</v>
      </c>
      <c r="L103" s="369">
        <f t="shared" si="48"/>
        <v>0</v>
      </c>
      <c r="M103" s="369">
        <f t="shared" si="48"/>
        <v>28.627352000000002</v>
      </c>
      <c r="N103" s="369">
        <f t="shared" si="48"/>
        <v>3091.5338056000001</v>
      </c>
      <c r="O103" s="369">
        <f t="shared" si="48"/>
        <v>2970.4578000000001</v>
      </c>
      <c r="P103" s="369">
        <f t="shared" si="48"/>
        <v>90.466759999999994</v>
      </c>
      <c r="Q103" s="369">
        <f t="shared" si="48"/>
        <v>35.444999999999993</v>
      </c>
      <c r="R103" s="369">
        <f t="shared" si="48"/>
        <v>55.021759999999993</v>
      </c>
      <c r="S103" s="369">
        <f t="shared" si="48"/>
        <v>0</v>
      </c>
      <c r="T103" s="369">
        <f t="shared" si="48"/>
        <v>30.609245599999998</v>
      </c>
      <c r="U103" s="369">
        <f t="shared" si="48"/>
        <v>1.9818935999999989</v>
      </c>
      <c r="V103" s="369">
        <f t="shared" si="48"/>
        <v>11.891361599999993</v>
      </c>
    </row>
    <row r="104" spans="1:22" s="24" customFormat="1" ht="26.25" customHeight="1">
      <c r="A104" s="460"/>
      <c r="B104" s="101" t="s">
        <v>2632</v>
      </c>
      <c r="C104" s="368"/>
      <c r="D104" s="367"/>
      <c r="E104" s="401">
        <v>34</v>
      </c>
      <c r="F104" s="401">
        <v>34</v>
      </c>
      <c r="G104" s="369">
        <f>H104+I104+M104</f>
        <v>138.8666877</v>
      </c>
      <c r="H104" s="369">
        <v>131.989</v>
      </c>
      <c r="I104" s="369">
        <f>J104+K104+L104</f>
        <v>5.5027699999999999</v>
      </c>
      <c r="J104" s="369">
        <v>1.8199999999999998</v>
      </c>
      <c r="K104" s="369">
        <v>3.6827700000000001</v>
      </c>
      <c r="L104" s="369"/>
      <c r="M104" s="369">
        <f t="shared" si="45"/>
        <v>1.3749177000000001</v>
      </c>
      <c r="N104" s="369">
        <f t="shared" si="46"/>
        <v>148.48053531000002</v>
      </c>
      <c r="O104" s="369">
        <v>141.1267</v>
      </c>
      <c r="P104" s="369">
        <f t="shared" si="47"/>
        <v>5.8837309999999992</v>
      </c>
      <c r="Q104" s="369">
        <v>1.9459999999999997</v>
      </c>
      <c r="R104" s="369">
        <v>3.9377309999999999</v>
      </c>
      <c r="S104" s="369"/>
      <c r="T104" s="369">
        <f t="shared" ref="T104:T114" si="49">(O104+P104)*1%</f>
        <v>1.4701043100000002</v>
      </c>
      <c r="U104" s="369">
        <f t="shared" ref="U104:U115" si="50">T104-M104</f>
        <v>9.518661000000006E-2</v>
      </c>
      <c r="V104" s="370">
        <f t="shared" ref="V104:V115" si="51">U104*6</f>
        <v>0.57111966000000036</v>
      </c>
    </row>
    <row r="105" spans="1:22" s="24" customFormat="1" ht="26.25" customHeight="1">
      <c r="A105" s="460"/>
      <c r="B105" s="101" t="s">
        <v>2633</v>
      </c>
      <c r="C105" s="368"/>
      <c r="D105" s="367"/>
      <c r="E105" s="401">
        <v>118</v>
      </c>
      <c r="F105" s="401">
        <v>118</v>
      </c>
      <c r="G105" s="369">
        <f t="shared" ref="G105:G115" si="52">H105+I105+M105</f>
        <v>504.98058780000002</v>
      </c>
      <c r="H105" s="369">
        <v>483.54800000000006</v>
      </c>
      <c r="I105" s="369">
        <f t="shared" ref="I105:I115" si="53">J105+K105+L105</f>
        <v>16.432780000000001</v>
      </c>
      <c r="J105" s="369">
        <v>6.5</v>
      </c>
      <c r="K105" s="369">
        <v>9.9327800000000011</v>
      </c>
      <c r="L105" s="369"/>
      <c r="M105" s="369">
        <f t="shared" si="45"/>
        <v>4.9998078000000001</v>
      </c>
      <c r="N105" s="369">
        <f t="shared" si="46"/>
        <v>539.94078233999994</v>
      </c>
      <c r="O105" s="369">
        <v>517.02440000000001</v>
      </c>
      <c r="P105" s="369">
        <f t="shared" si="47"/>
        <v>17.570433999999999</v>
      </c>
      <c r="Q105" s="369">
        <v>6.9499999999999993</v>
      </c>
      <c r="R105" s="369">
        <v>10.620434000000001</v>
      </c>
      <c r="S105" s="369"/>
      <c r="T105" s="369">
        <f t="shared" si="49"/>
        <v>5.3459483399999996</v>
      </c>
      <c r="U105" s="369">
        <f t="shared" si="50"/>
        <v>0.3461405399999995</v>
      </c>
      <c r="V105" s="370">
        <f t="shared" si="51"/>
        <v>2.076843239999997</v>
      </c>
    </row>
    <row r="106" spans="1:22" s="24" customFormat="1" ht="26.25" customHeight="1">
      <c r="A106" s="460"/>
      <c r="B106" s="101" t="s">
        <v>2634</v>
      </c>
      <c r="C106" s="368"/>
      <c r="D106" s="367"/>
      <c r="E106" s="401">
        <v>120</v>
      </c>
      <c r="F106" s="401">
        <v>120</v>
      </c>
      <c r="G106" s="369">
        <f t="shared" si="52"/>
        <v>470.0416578</v>
      </c>
      <c r="H106" s="369">
        <v>452.68600000000004</v>
      </c>
      <c r="I106" s="369">
        <f t="shared" si="53"/>
        <v>12.701779999999999</v>
      </c>
      <c r="J106" s="369">
        <v>5.1349999999999998</v>
      </c>
      <c r="K106" s="369">
        <v>7.5667799999999996</v>
      </c>
      <c r="L106" s="369"/>
      <c r="M106" s="369">
        <f t="shared" si="45"/>
        <v>4.6538778000000001</v>
      </c>
      <c r="N106" s="369">
        <f t="shared" si="46"/>
        <v>502.58300334</v>
      </c>
      <c r="O106" s="369">
        <v>484.0258</v>
      </c>
      <c r="P106" s="369">
        <f t="shared" si="47"/>
        <v>13.581133999999999</v>
      </c>
      <c r="Q106" s="369">
        <v>5.490499999999999</v>
      </c>
      <c r="R106" s="369">
        <v>8.0906339999999997</v>
      </c>
      <c r="S106" s="369"/>
      <c r="T106" s="369">
        <f t="shared" si="49"/>
        <v>4.9760693400000005</v>
      </c>
      <c r="U106" s="369">
        <f t="shared" si="50"/>
        <v>0.32219154000000039</v>
      </c>
      <c r="V106" s="370">
        <f t="shared" si="51"/>
        <v>1.9331492400000023</v>
      </c>
    </row>
    <row r="107" spans="1:22" s="24" customFormat="1" ht="26.25" customHeight="1">
      <c r="A107" s="460"/>
      <c r="B107" s="101" t="s">
        <v>2635</v>
      </c>
      <c r="C107" s="368"/>
      <c r="D107" s="367"/>
      <c r="E107" s="401">
        <v>91</v>
      </c>
      <c r="F107" s="401">
        <v>91</v>
      </c>
      <c r="G107" s="369">
        <f t="shared" si="52"/>
        <v>367.76591669999999</v>
      </c>
      <c r="H107" s="369">
        <v>352.274</v>
      </c>
      <c r="I107" s="369">
        <f t="shared" si="53"/>
        <v>11.850670000000001</v>
      </c>
      <c r="J107" s="369">
        <v>3.4449999999999998</v>
      </c>
      <c r="K107" s="369">
        <v>8.4056700000000006</v>
      </c>
      <c r="L107" s="369"/>
      <c r="M107" s="369">
        <f t="shared" si="45"/>
        <v>3.6412466999999999</v>
      </c>
      <c r="N107" s="369">
        <f t="shared" si="46"/>
        <v>393.22663401</v>
      </c>
      <c r="O107" s="369">
        <v>376.66219999999998</v>
      </c>
      <c r="P107" s="369">
        <f t="shared" si="47"/>
        <v>12.671101</v>
      </c>
      <c r="Q107" s="369">
        <v>3.6834999999999996</v>
      </c>
      <c r="R107" s="369">
        <v>8.9876009999999997</v>
      </c>
      <c r="S107" s="369"/>
      <c r="T107" s="369">
        <f t="shared" si="49"/>
        <v>3.8933330100000001</v>
      </c>
      <c r="U107" s="369">
        <f t="shared" si="50"/>
        <v>0.25208631000000015</v>
      </c>
      <c r="V107" s="370">
        <f t="shared" si="51"/>
        <v>1.5125178600000009</v>
      </c>
    </row>
    <row r="108" spans="1:22" s="24" customFormat="1" ht="26.25" customHeight="1">
      <c r="A108" s="460"/>
      <c r="B108" s="101" t="s">
        <v>2636</v>
      </c>
      <c r="C108" s="368"/>
      <c r="D108" s="367"/>
      <c r="E108" s="401">
        <v>73</v>
      </c>
      <c r="F108" s="401">
        <v>73</v>
      </c>
      <c r="G108" s="369">
        <f t="shared" si="52"/>
        <v>297.91313500000001</v>
      </c>
      <c r="H108" s="369">
        <v>288.53500000000003</v>
      </c>
      <c r="I108" s="369">
        <f t="shared" si="53"/>
        <v>6.4284999999999997</v>
      </c>
      <c r="J108" s="369">
        <v>2.4700000000000002</v>
      </c>
      <c r="K108" s="369">
        <v>3.9584999999999999</v>
      </c>
      <c r="L108" s="369"/>
      <c r="M108" s="369">
        <f t="shared" si="45"/>
        <v>2.9496350000000002</v>
      </c>
      <c r="N108" s="369">
        <f t="shared" si="46"/>
        <v>318.5378905</v>
      </c>
      <c r="O108" s="369">
        <v>308.51049999999998</v>
      </c>
      <c r="P108" s="369">
        <f t="shared" si="47"/>
        <v>6.8735499999999998</v>
      </c>
      <c r="Q108" s="369">
        <v>2.641</v>
      </c>
      <c r="R108" s="369">
        <v>4.2325499999999998</v>
      </c>
      <c r="S108" s="369"/>
      <c r="T108" s="369">
        <f t="shared" si="49"/>
        <v>3.1538405000000003</v>
      </c>
      <c r="U108" s="369">
        <f t="shared" si="50"/>
        <v>0.20420550000000004</v>
      </c>
      <c r="V108" s="370">
        <f t="shared" si="51"/>
        <v>1.2252330000000002</v>
      </c>
    </row>
    <row r="109" spans="1:22" s="24" customFormat="1" ht="26.25" customHeight="1">
      <c r="A109" s="460"/>
      <c r="B109" s="101" t="s">
        <v>2637</v>
      </c>
      <c r="C109" s="368"/>
      <c r="D109" s="367"/>
      <c r="E109" s="401">
        <v>73</v>
      </c>
      <c r="F109" s="401">
        <v>73</v>
      </c>
      <c r="G109" s="369">
        <f t="shared" si="52"/>
        <v>296.44782700000002</v>
      </c>
      <c r="H109" s="369">
        <v>285.48</v>
      </c>
      <c r="I109" s="369">
        <f t="shared" si="53"/>
        <v>8.0327000000000002</v>
      </c>
      <c r="J109" s="369">
        <v>3.12</v>
      </c>
      <c r="K109" s="369">
        <v>4.9127000000000001</v>
      </c>
      <c r="L109" s="369"/>
      <c r="M109" s="369">
        <f t="shared" si="45"/>
        <v>2.935127</v>
      </c>
      <c r="N109" s="369">
        <f t="shared" si="46"/>
        <v>316.97113810000002</v>
      </c>
      <c r="O109" s="369">
        <v>305.24399999999997</v>
      </c>
      <c r="P109" s="369">
        <f t="shared" si="47"/>
        <v>8.5888099999999987</v>
      </c>
      <c r="Q109" s="369">
        <v>3.3359999999999999</v>
      </c>
      <c r="R109" s="369">
        <v>5.2528099999999993</v>
      </c>
      <c r="S109" s="369"/>
      <c r="T109" s="369">
        <f t="shared" si="49"/>
        <v>3.1383280999999998</v>
      </c>
      <c r="U109" s="369">
        <f t="shared" si="50"/>
        <v>0.2032010999999998</v>
      </c>
      <c r="V109" s="370">
        <f t="shared" si="51"/>
        <v>1.2192065999999988</v>
      </c>
    </row>
    <row r="110" spans="1:22" s="24" customFormat="1" ht="26.25" customHeight="1">
      <c r="A110" s="460"/>
      <c r="B110" s="101" t="s">
        <v>2638</v>
      </c>
      <c r="C110" s="368"/>
      <c r="D110" s="367"/>
      <c r="E110" s="401">
        <v>93</v>
      </c>
      <c r="F110" s="401">
        <v>93</v>
      </c>
      <c r="G110" s="369">
        <f t="shared" si="52"/>
        <v>394.91718109999999</v>
      </c>
      <c r="H110" s="369">
        <v>380.08100000000002</v>
      </c>
      <c r="I110" s="369">
        <f t="shared" si="53"/>
        <v>10.926110000000001</v>
      </c>
      <c r="J110" s="369">
        <v>5.2649999999999997</v>
      </c>
      <c r="K110" s="369">
        <v>5.6611100000000008</v>
      </c>
      <c r="L110" s="369"/>
      <c r="M110" s="369">
        <f t="shared" si="45"/>
        <v>3.9100711000000001</v>
      </c>
      <c r="N110" s="369">
        <f t="shared" si="46"/>
        <v>422.25760132999994</v>
      </c>
      <c r="O110" s="369">
        <v>406.39429999999999</v>
      </c>
      <c r="P110" s="369">
        <f t="shared" si="47"/>
        <v>11.682532999999999</v>
      </c>
      <c r="Q110" s="369">
        <v>5.6294999999999993</v>
      </c>
      <c r="R110" s="369">
        <v>6.0530330000000001</v>
      </c>
      <c r="S110" s="369"/>
      <c r="T110" s="369">
        <f t="shared" si="49"/>
        <v>4.1807683299999994</v>
      </c>
      <c r="U110" s="369">
        <f t="shared" si="50"/>
        <v>0.27069722999999923</v>
      </c>
      <c r="V110" s="370">
        <f t="shared" si="51"/>
        <v>1.6241833799999954</v>
      </c>
    </row>
    <row r="111" spans="1:22" s="24" customFormat="1" ht="26.25" customHeight="1">
      <c r="A111" s="460"/>
      <c r="B111" s="101" t="s">
        <v>2639</v>
      </c>
      <c r="C111" s="368"/>
      <c r="D111" s="367"/>
      <c r="E111" s="401">
        <v>48</v>
      </c>
      <c r="F111" s="401">
        <v>48</v>
      </c>
      <c r="G111" s="369">
        <f t="shared" si="52"/>
        <v>180.58187939999999</v>
      </c>
      <c r="H111" s="369">
        <v>172.86099999999999</v>
      </c>
      <c r="I111" s="369">
        <f t="shared" si="53"/>
        <v>5.9329400000000003</v>
      </c>
      <c r="J111" s="369">
        <v>2.08</v>
      </c>
      <c r="K111" s="369">
        <v>3.8529400000000003</v>
      </c>
      <c r="L111" s="369"/>
      <c r="M111" s="369">
        <f t="shared" si="45"/>
        <v>1.7879394</v>
      </c>
      <c r="N111" s="369">
        <f t="shared" si="46"/>
        <v>193.08370181999999</v>
      </c>
      <c r="O111" s="369">
        <v>184.82829999999998</v>
      </c>
      <c r="P111" s="369">
        <f t="shared" si="47"/>
        <v>6.3436819999999994</v>
      </c>
      <c r="Q111" s="369">
        <v>2.2239999999999998</v>
      </c>
      <c r="R111" s="369">
        <v>4.1196820000000001</v>
      </c>
      <c r="S111" s="369"/>
      <c r="T111" s="369">
        <f t="shared" si="49"/>
        <v>1.9117198199999998</v>
      </c>
      <c r="U111" s="369">
        <f t="shared" si="50"/>
        <v>0.12378041999999989</v>
      </c>
      <c r="V111" s="370">
        <f t="shared" si="51"/>
        <v>0.74268251999999935</v>
      </c>
    </row>
    <row r="112" spans="1:22" s="24" customFormat="1" ht="26.25" customHeight="1">
      <c r="A112" s="460"/>
      <c r="B112" s="101" t="s">
        <v>2640</v>
      </c>
      <c r="C112" s="368"/>
      <c r="D112" s="367"/>
      <c r="E112" s="401">
        <v>61</v>
      </c>
      <c r="F112" s="401">
        <v>61</v>
      </c>
      <c r="G112" s="369">
        <f t="shared" si="52"/>
        <v>239.8476795</v>
      </c>
      <c r="H112" s="369">
        <v>230.672</v>
      </c>
      <c r="I112" s="369">
        <f t="shared" si="53"/>
        <v>6.8009500000000003</v>
      </c>
      <c r="J112" s="369">
        <v>3.3149999999999995</v>
      </c>
      <c r="K112" s="369">
        <v>3.4859500000000003</v>
      </c>
      <c r="L112" s="369"/>
      <c r="M112" s="369">
        <f t="shared" si="45"/>
        <v>2.3747294999999999</v>
      </c>
      <c r="N112" s="369">
        <f t="shared" si="46"/>
        <v>256.45251884999999</v>
      </c>
      <c r="O112" s="369">
        <v>246.64159999999998</v>
      </c>
      <c r="P112" s="369">
        <f t="shared" si="47"/>
        <v>7.2717849999999995</v>
      </c>
      <c r="Q112" s="369">
        <v>3.5444999999999989</v>
      </c>
      <c r="R112" s="369">
        <v>3.7272850000000002</v>
      </c>
      <c r="S112" s="369"/>
      <c r="T112" s="369">
        <f t="shared" si="49"/>
        <v>2.5391338499999998</v>
      </c>
      <c r="U112" s="369">
        <f t="shared" si="50"/>
        <v>0.16440434999999987</v>
      </c>
      <c r="V112" s="370">
        <f t="shared" si="51"/>
        <v>0.9864260999999992</v>
      </c>
    </row>
    <row r="113" spans="1:22" s="24" customFormat="1" ht="26.25" customHeight="1">
      <c r="A113" s="460"/>
      <c r="B113" s="497" t="s">
        <v>2641</v>
      </c>
      <c r="C113" s="368"/>
      <c r="D113" s="367"/>
      <c r="E113" s="401">
        <v>7</v>
      </c>
      <c r="F113" s="401">
        <v>7</v>
      </c>
      <c r="G113" s="369">
        <f t="shared" si="52"/>
        <v>26.107166799999995</v>
      </c>
      <c r="H113" s="369">
        <v>25.336999999999996</v>
      </c>
      <c r="I113" s="369">
        <f t="shared" si="53"/>
        <v>0.51168000000000002</v>
      </c>
      <c r="J113" s="369">
        <v>0.19500000000000001</v>
      </c>
      <c r="K113" s="369">
        <v>0.31668000000000002</v>
      </c>
      <c r="L113" s="369"/>
      <c r="M113" s="369">
        <f t="shared" si="45"/>
        <v>0.25848679999999996</v>
      </c>
      <c r="N113" s="369">
        <f t="shared" si="46"/>
        <v>27.914586039999993</v>
      </c>
      <c r="O113" s="369">
        <v>27.09109999999999</v>
      </c>
      <c r="P113" s="369">
        <f t="shared" si="47"/>
        <v>0.54710400000000003</v>
      </c>
      <c r="Q113" s="369">
        <v>0.20849999999999999</v>
      </c>
      <c r="R113" s="369">
        <v>0.33860400000000002</v>
      </c>
      <c r="S113" s="369"/>
      <c r="T113" s="369">
        <f t="shared" si="49"/>
        <v>0.27638203999999994</v>
      </c>
      <c r="U113" s="369">
        <f t="shared" si="50"/>
        <v>1.7895239999999979E-2</v>
      </c>
      <c r="V113" s="370">
        <f t="shared" si="51"/>
        <v>0.10737143999999987</v>
      </c>
    </row>
    <row r="114" spans="1:22" s="24" customFormat="1" ht="26.25" customHeight="1">
      <c r="A114" s="460"/>
      <c r="B114" s="497" t="s">
        <v>2642</v>
      </c>
      <c r="C114" s="368"/>
      <c r="D114" s="367"/>
      <c r="E114" s="401">
        <v>13</v>
      </c>
      <c r="F114" s="401">
        <v>13</v>
      </c>
      <c r="G114" s="369">
        <f t="shared" si="52"/>
        <v>71.487072799999993</v>
      </c>
      <c r="H114" s="369">
        <v>67.846999999999994</v>
      </c>
      <c r="I114" s="369">
        <f t="shared" si="53"/>
        <v>2.9322800000000004</v>
      </c>
      <c r="J114" s="369">
        <v>1.56</v>
      </c>
      <c r="K114" s="369">
        <v>1.3722800000000002</v>
      </c>
      <c r="L114" s="369"/>
      <c r="M114" s="369">
        <f t="shared" si="45"/>
        <v>0.7077928</v>
      </c>
      <c r="N114" s="369">
        <f t="shared" si="46"/>
        <v>76.436177839999985</v>
      </c>
      <c r="O114" s="369">
        <v>72.544099999999986</v>
      </c>
      <c r="P114" s="369">
        <f t="shared" si="47"/>
        <v>3.135284</v>
      </c>
      <c r="Q114" s="369">
        <v>1.6679999999999999</v>
      </c>
      <c r="R114" s="369">
        <v>1.467284</v>
      </c>
      <c r="S114" s="369"/>
      <c r="T114" s="369">
        <f t="shared" si="49"/>
        <v>0.75679383999999983</v>
      </c>
      <c r="U114" s="369">
        <f t="shared" si="50"/>
        <v>4.9001039999999829E-2</v>
      </c>
      <c r="V114" s="370">
        <f t="shared" si="51"/>
        <v>0.29400623999999898</v>
      </c>
    </row>
    <row r="115" spans="1:22" s="24" customFormat="1" ht="26.25" customHeight="1">
      <c r="A115" s="460">
        <v>12</v>
      </c>
      <c r="B115" s="75" t="s">
        <v>2643</v>
      </c>
      <c r="C115" s="368"/>
      <c r="D115" s="367"/>
      <c r="E115" s="368">
        <v>55</v>
      </c>
      <c r="F115" s="368">
        <v>55</v>
      </c>
      <c r="G115" s="369">
        <f t="shared" si="52"/>
        <v>155.28851</v>
      </c>
      <c r="H115" s="369">
        <v>151.28100000000001</v>
      </c>
      <c r="I115" s="369">
        <f t="shared" si="53"/>
        <v>2.4699999999999998</v>
      </c>
      <c r="J115" s="369">
        <v>2.4699999999999998</v>
      </c>
      <c r="K115" s="369"/>
      <c r="L115" s="369"/>
      <c r="M115" s="369">
        <f t="shared" si="45"/>
        <v>1.5375100000000002</v>
      </c>
      <c r="N115" s="369">
        <f t="shared" si="46"/>
        <v>166.039253</v>
      </c>
      <c r="O115" s="369">
        <v>161.7543</v>
      </c>
      <c r="P115" s="369">
        <f t="shared" si="47"/>
        <v>2.6409999999999996</v>
      </c>
      <c r="Q115" s="369">
        <v>2.6409999999999996</v>
      </c>
      <c r="R115" s="369"/>
      <c r="S115" s="369"/>
      <c r="T115" s="369">
        <f>(O115+P115)*1%</f>
        <v>1.643953</v>
      </c>
      <c r="U115" s="369">
        <f t="shared" si="50"/>
        <v>0.10644299999999984</v>
      </c>
      <c r="V115" s="370">
        <f t="shared" si="51"/>
        <v>0.63865799999999906</v>
      </c>
    </row>
    <row r="116" spans="1:22" s="399" customFormat="1" ht="27" customHeight="1">
      <c r="A116" s="469"/>
      <c r="B116" s="470" t="s">
        <v>2529</v>
      </c>
      <c r="C116" s="398">
        <f>C114+C101+C100+C92+C93</f>
        <v>0</v>
      </c>
      <c r="D116" s="398">
        <f t="shared" ref="D116:V116" si="54">D114+D101+D100+D92+D93</f>
        <v>0</v>
      </c>
      <c r="E116" s="403">
        <f>E114+E101+E100+E92+E93</f>
        <v>661</v>
      </c>
      <c r="F116" s="403">
        <f t="shared" si="54"/>
        <v>650</v>
      </c>
      <c r="G116" s="397">
        <f t="shared" si="54"/>
        <v>2630.3202952000001</v>
      </c>
      <c r="H116" s="397">
        <f t="shared" si="54"/>
        <v>2520.9794999999999</v>
      </c>
      <c r="I116" s="397">
        <f t="shared" si="54"/>
        <v>83.298019999999994</v>
      </c>
      <c r="J116" s="397">
        <f t="shared" si="54"/>
        <v>63.959999999999994</v>
      </c>
      <c r="K116" s="397">
        <f t="shared" si="54"/>
        <v>19.33802</v>
      </c>
      <c r="L116" s="397">
        <f t="shared" si="54"/>
        <v>0</v>
      </c>
      <c r="M116" s="397">
        <f t="shared" si="54"/>
        <v>26.042775200000001</v>
      </c>
      <c r="N116" s="397">
        <f t="shared" si="54"/>
        <v>2812.4193925599998</v>
      </c>
      <c r="O116" s="397">
        <f t="shared" si="54"/>
        <v>2695.5088500000002</v>
      </c>
      <c r="P116" s="397">
        <f t="shared" si="54"/>
        <v>89.064805999999976</v>
      </c>
      <c r="Q116" s="397">
        <f t="shared" si="54"/>
        <v>68.387999999999991</v>
      </c>
      <c r="R116" s="397">
        <f t="shared" si="54"/>
        <v>20.676805999999996</v>
      </c>
      <c r="S116" s="397">
        <f t="shared" si="54"/>
        <v>0</v>
      </c>
      <c r="T116" s="397">
        <f t="shared" si="54"/>
        <v>27.845736559999999</v>
      </c>
      <c r="U116" s="397">
        <f>U114+U101+U100+U92+U93</f>
        <v>1.802961359999999</v>
      </c>
      <c r="V116" s="397">
        <f t="shared" si="54"/>
        <v>10.817768159999993</v>
      </c>
    </row>
    <row r="117" spans="1:22" s="383" customFormat="1" ht="34.5" customHeight="1">
      <c r="A117" s="462">
        <v>3</v>
      </c>
      <c r="B117" s="463" t="s">
        <v>2531</v>
      </c>
      <c r="C117" s="404">
        <f>C118</f>
        <v>0</v>
      </c>
      <c r="D117" s="404">
        <f t="shared" ref="D117:V117" si="55">D118</f>
        <v>0</v>
      </c>
      <c r="E117" s="404">
        <f t="shared" si="55"/>
        <v>37</v>
      </c>
      <c r="F117" s="404">
        <f t="shared" si="55"/>
        <v>36</v>
      </c>
      <c r="G117" s="381">
        <f t="shared" si="55"/>
        <v>128.09995639999997</v>
      </c>
      <c r="H117" s="381">
        <f t="shared" si="55"/>
        <v>124.19939999999998</v>
      </c>
      <c r="I117" s="381">
        <f t="shared" si="55"/>
        <v>2.6322400000000004</v>
      </c>
      <c r="J117" s="381">
        <f t="shared" si="55"/>
        <v>2.6</v>
      </c>
      <c r="K117" s="381">
        <f t="shared" si="55"/>
        <v>0.42224</v>
      </c>
      <c r="L117" s="381">
        <f t="shared" si="55"/>
        <v>0</v>
      </c>
      <c r="M117" s="381">
        <f t="shared" si="55"/>
        <v>1.2683164</v>
      </c>
      <c r="N117" s="381">
        <f t="shared" si="55"/>
        <v>136.96841491999999</v>
      </c>
      <c r="O117" s="381">
        <f t="shared" si="55"/>
        <v>132.79781999999997</v>
      </c>
      <c r="P117" s="381">
        <f t="shared" si="55"/>
        <v>2.8144719999999999</v>
      </c>
      <c r="Q117" s="381">
        <f t="shared" si="55"/>
        <v>2.7799999999999994</v>
      </c>
      <c r="R117" s="381">
        <f t="shared" si="55"/>
        <v>0.45147199999999993</v>
      </c>
      <c r="S117" s="381">
        <f t="shared" si="55"/>
        <v>0</v>
      </c>
      <c r="T117" s="381">
        <f t="shared" si="55"/>
        <v>1.35612292</v>
      </c>
      <c r="U117" s="381">
        <f t="shared" si="55"/>
        <v>8.780651999999986E-2</v>
      </c>
      <c r="V117" s="381">
        <f t="shared" si="55"/>
        <v>0.52683911999999911</v>
      </c>
    </row>
    <row r="118" spans="1:22" s="24" customFormat="1" ht="34.5" customHeight="1">
      <c r="A118" s="460">
        <v>13</v>
      </c>
      <c r="B118" s="101" t="s">
        <v>2644</v>
      </c>
      <c r="C118" s="405">
        <f>SUM(C119:C123)</f>
        <v>0</v>
      </c>
      <c r="D118" s="405">
        <f t="shared" ref="D118:V118" si="56">SUM(D119:D123)</f>
        <v>0</v>
      </c>
      <c r="E118" s="406">
        <f t="shared" si="56"/>
        <v>37</v>
      </c>
      <c r="F118" s="406">
        <f t="shared" si="56"/>
        <v>36</v>
      </c>
      <c r="G118" s="405">
        <f t="shared" si="56"/>
        <v>128.09995639999997</v>
      </c>
      <c r="H118" s="405">
        <f t="shared" si="56"/>
        <v>124.19939999999998</v>
      </c>
      <c r="I118" s="405">
        <f t="shared" si="56"/>
        <v>2.6322400000000004</v>
      </c>
      <c r="J118" s="405">
        <f t="shared" si="56"/>
        <v>2.6</v>
      </c>
      <c r="K118" s="405">
        <f t="shared" si="56"/>
        <v>0.42224</v>
      </c>
      <c r="L118" s="405">
        <f t="shared" si="56"/>
        <v>0</v>
      </c>
      <c r="M118" s="405">
        <f t="shared" si="56"/>
        <v>1.2683164</v>
      </c>
      <c r="N118" s="405">
        <f t="shared" si="56"/>
        <v>136.96841491999999</v>
      </c>
      <c r="O118" s="405">
        <f t="shared" si="56"/>
        <v>132.79781999999997</v>
      </c>
      <c r="P118" s="405">
        <f t="shared" si="56"/>
        <v>2.8144719999999999</v>
      </c>
      <c r="Q118" s="405">
        <f t="shared" si="56"/>
        <v>2.7799999999999994</v>
      </c>
      <c r="R118" s="405">
        <f t="shared" si="56"/>
        <v>0.45147199999999993</v>
      </c>
      <c r="S118" s="405">
        <f t="shared" si="56"/>
        <v>0</v>
      </c>
      <c r="T118" s="405">
        <f t="shared" si="56"/>
        <v>1.35612292</v>
      </c>
      <c r="U118" s="405">
        <f t="shared" si="56"/>
        <v>8.780651999999986E-2</v>
      </c>
      <c r="V118" s="405">
        <f t="shared" si="56"/>
        <v>0.52683911999999911</v>
      </c>
    </row>
    <row r="119" spans="1:22" s="24" customFormat="1" ht="34.5" hidden="1" customHeight="1">
      <c r="A119" s="460"/>
      <c r="B119" s="498" t="s">
        <v>2645</v>
      </c>
      <c r="C119" s="368"/>
      <c r="D119" s="367"/>
      <c r="E119" s="368"/>
      <c r="F119" s="368"/>
      <c r="G119" s="369">
        <f>H119+I119+M119</f>
        <v>0</v>
      </c>
      <c r="H119" s="369"/>
      <c r="I119" s="369"/>
      <c r="J119" s="369"/>
      <c r="K119" s="369"/>
      <c r="L119" s="369"/>
      <c r="M119" s="369"/>
      <c r="N119" s="369">
        <f>O119+P119+T119</f>
        <v>0</v>
      </c>
      <c r="O119" s="369"/>
      <c r="P119" s="369"/>
      <c r="Q119" s="369"/>
      <c r="R119" s="369"/>
      <c r="S119" s="369"/>
      <c r="T119" s="369"/>
      <c r="U119" s="369">
        <f>N119-G119</f>
        <v>0</v>
      </c>
      <c r="V119" s="370">
        <f>U119*6</f>
        <v>0</v>
      </c>
    </row>
    <row r="120" spans="1:22" s="24" customFormat="1" ht="34.5" customHeight="1">
      <c r="A120" s="460"/>
      <c r="B120" s="55" t="s">
        <v>2646</v>
      </c>
      <c r="C120" s="368"/>
      <c r="D120" s="367"/>
      <c r="E120" s="368">
        <v>6</v>
      </c>
      <c r="F120" s="368">
        <v>6</v>
      </c>
      <c r="G120" s="369">
        <f>H120+I120+M120</f>
        <v>24.290500000000002</v>
      </c>
      <c r="H120" s="369">
        <f>18*1.3</f>
        <v>23.400000000000002</v>
      </c>
      <c r="I120" s="369">
        <f>J120+K120+L120</f>
        <v>0.65</v>
      </c>
      <c r="J120" s="369">
        <f>0.5*1.3</f>
        <v>0.65</v>
      </c>
      <c r="K120" s="369"/>
      <c r="L120" s="369"/>
      <c r="M120" s="369">
        <f>(H120+I120)*1%</f>
        <v>0.24050000000000002</v>
      </c>
      <c r="N120" s="369">
        <f>O120+P120+T120</f>
        <v>25.972149999999999</v>
      </c>
      <c r="O120" s="369">
        <f>18*1.39</f>
        <v>25.02</v>
      </c>
      <c r="P120" s="369">
        <f>Q120+R120+S120</f>
        <v>0.69499999999999995</v>
      </c>
      <c r="Q120" s="369">
        <f>0.5*1.39</f>
        <v>0.69499999999999995</v>
      </c>
      <c r="R120" s="369"/>
      <c r="S120" s="369"/>
      <c r="T120" s="369">
        <f>(O120+P120)*1%</f>
        <v>0.25714999999999999</v>
      </c>
      <c r="U120" s="369">
        <f>T120-M120</f>
        <v>1.664999999999997E-2</v>
      </c>
      <c r="V120" s="370">
        <f>U120*6</f>
        <v>9.9899999999999822E-2</v>
      </c>
    </row>
    <row r="121" spans="1:22" s="24" customFormat="1" ht="34.5" customHeight="1">
      <c r="A121" s="460"/>
      <c r="B121" s="55" t="s">
        <v>2649</v>
      </c>
      <c r="C121" s="368"/>
      <c r="D121" s="367"/>
      <c r="E121" s="368">
        <v>7</v>
      </c>
      <c r="F121" s="368">
        <v>7</v>
      </c>
      <c r="G121" s="369">
        <f>H121+I121+M121</f>
        <v>28.314582399999999</v>
      </c>
      <c r="H121" s="369">
        <f>20.74*1.3</f>
        <v>26.962</v>
      </c>
      <c r="I121" s="369">
        <f>J121+K121+L121</f>
        <v>1.0722400000000001</v>
      </c>
      <c r="J121" s="369">
        <f>0.5*1.3</f>
        <v>0.65</v>
      </c>
      <c r="K121" s="370">
        <f>0.3248*1.3</f>
        <v>0.42224</v>
      </c>
      <c r="L121" s="369"/>
      <c r="M121" s="369">
        <f>(H121+I121)*1%</f>
        <v>0.28034239999999999</v>
      </c>
      <c r="N121" s="369">
        <f>O121+P121+T121</f>
        <v>30.274822719999992</v>
      </c>
      <c r="O121" s="369">
        <f>20.74*1.39</f>
        <v>28.828599999999994</v>
      </c>
      <c r="P121" s="369">
        <f>Q121+R121+S121</f>
        <v>1.1464719999999999</v>
      </c>
      <c r="Q121" s="369">
        <f>0.5*1.39</f>
        <v>0.69499999999999995</v>
      </c>
      <c r="R121" s="370">
        <f>0.3248*1.39</f>
        <v>0.45147199999999993</v>
      </c>
      <c r="S121" s="369"/>
      <c r="T121" s="369">
        <f>(O121+P121)*1%</f>
        <v>0.29975071999999997</v>
      </c>
      <c r="U121" s="369">
        <f>T121-M121</f>
        <v>1.9408319999999979E-2</v>
      </c>
      <c r="V121" s="370">
        <f>U121*6</f>
        <v>0.11644991999999987</v>
      </c>
    </row>
    <row r="122" spans="1:22" s="24" customFormat="1" ht="34.5" customHeight="1">
      <c r="A122" s="460"/>
      <c r="B122" s="498" t="s">
        <v>2650</v>
      </c>
      <c r="C122" s="368"/>
      <c r="D122" s="367"/>
      <c r="E122" s="368">
        <v>14</v>
      </c>
      <c r="F122" s="368">
        <v>13</v>
      </c>
      <c r="G122" s="369">
        <f>H122+I122+M122</f>
        <v>45.151443999999991</v>
      </c>
      <c r="H122" s="369">
        <f>(37.678-3.99)*1.3</f>
        <v>43.794399999999996</v>
      </c>
      <c r="I122" s="369">
        <f>J122+K122+L122</f>
        <v>0.90999999999999992</v>
      </c>
      <c r="J122" s="369">
        <f>(1.2-0.5)*1.3</f>
        <v>0.90999999999999992</v>
      </c>
      <c r="K122" s="369"/>
      <c r="L122" s="369"/>
      <c r="M122" s="369">
        <f>(H122+I122)*1%</f>
        <v>0.44704399999999994</v>
      </c>
      <c r="N122" s="369">
        <f>O122+P122+T122</f>
        <v>48.277313199999988</v>
      </c>
      <c r="O122" s="369">
        <f>(37.678-3.99)*1.39</f>
        <v>46.826319999999988</v>
      </c>
      <c r="P122" s="369">
        <f>Q122+R122+S122</f>
        <v>0.97299999999999986</v>
      </c>
      <c r="Q122" s="369">
        <f>(1.2-0.5)*1.39</f>
        <v>0.97299999999999986</v>
      </c>
      <c r="R122" s="369"/>
      <c r="S122" s="369"/>
      <c r="T122" s="369">
        <f>(O122+P122)*1%</f>
        <v>0.4779931999999999</v>
      </c>
      <c r="U122" s="369">
        <f>T122-M122</f>
        <v>3.0949199999999955E-2</v>
      </c>
      <c r="V122" s="370">
        <f>U122*6</f>
        <v>0.18569519999999973</v>
      </c>
    </row>
    <row r="123" spans="1:22" s="24" customFormat="1" ht="34.5" customHeight="1">
      <c r="A123" s="460"/>
      <c r="B123" s="55" t="s">
        <v>2890</v>
      </c>
      <c r="C123" s="368"/>
      <c r="D123" s="367"/>
      <c r="E123" s="368">
        <v>10</v>
      </c>
      <c r="F123" s="368">
        <v>10</v>
      </c>
      <c r="G123" s="369">
        <f>H123+I123+M123</f>
        <v>30.343429999999994</v>
      </c>
      <c r="H123" s="369">
        <f>(35.41-12.3)*1.3</f>
        <v>30.042999999999996</v>
      </c>
      <c r="I123" s="369"/>
      <c r="J123" s="369">
        <f>0.3*1.3</f>
        <v>0.39</v>
      </c>
      <c r="K123" s="369"/>
      <c r="L123" s="369"/>
      <c r="M123" s="369">
        <f>(H123+I123)*1%</f>
        <v>0.30042999999999997</v>
      </c>
      <c r="N123" s="369">
        <f>O123+P123+T123</f>
        <v>32.444128999999997</v>
      </c>
      <c r="O123" s="369">
        <f>(35.41-12.3)*1.39</f>
        <v>32.122899999999994</v>
      </c>
      <c r="P123" s="369"/>
      <c r="Q123" s="369">
        <f>0.3*1.39</f>
        <v>0.41699999999999998</v>
      </c>
      <c r="R123" s="369"/>
      <c r="S123" s="369"/>
      <c r="T123" s="369">
        <f>(O123+P123)*1%</f>
        <v>0.32122899999999993</v>
      </c>
      <c r="U123" s="369">
        <f>T123-M123</f>
        <v>2.0798999999999956E-2</v>
      </c>
      <c r="V123" s="370">
        <f>U123*6</f>
        <v>0.12479399999999974</v>
      </c>
    </row>
    <row r="124" spans="1:22" s="383" customFormat="1" ht="24" customHeight="1">
      <c r="A124" s="462">
        <v>4</v>
      </c>
      <c r="B124" s="463" t="s">
        <v>2532</v>
      </c>
      <c r="C124" s="404">
        <f>C125</f>
        <v>0</v>
      </c>
      <c r="D124" s="404">
        <f t="shared" ref="D124:V124" si="57">D125</f>
        <v>0</v>
      </c>
      <c r="E124" s="404">
        <f t="shared" si="57"/>
        <v>140</v>
      </c>
      <c r="F124" s="404">
        <f t="shared" si="57"/>
        <v>122</v>
      </c>
      <c r="G124" s="381">
        <f t="shared" si="57"/>
        <v>578.96330999999998</v>
      </c>
      <c r="H124" s="381">
        <f t="shared" si="57"/>
        <v>547.04</v>
      </c>
      <c r="I124" s="381">
        <f t="shared" si="57"/>
        <v>26.191000000000003</v>
      </c>
      <c r="J124" s="381">
        <f t="shared" si="57"/>
        <v>15.599999999999998</v>
      </c>
      <c r="K124" s="381">
        <f t="shared" si="57"/>
        <v>10.590999999999999</v>
      </c>
      <c r="L124" s="381">
        <f t="shared" si="57"/>
        <v>0</v>
      </c>
      <c r="M124" s="381">
        <f t="shared" si="57"/>
        <v>5.73231</v>
      </c>
      <c r="N124" s="381">
        <f t="shared" si="57"/>
        <v>619.04616999999996</v>
      </c>
      <c r="O124" s="381">
        <f t="shared" si="57"/>
        <v>584.91099999999994</v>
      </c>
      <c r="P124" s="381">
        <f t="shared" si="57"/>
        <v>28.006</v>
      </c>
      <c r="Q124" s="381">
        <f t="shared" si="57"/>
        <v>16.680999999999997</v>
      </c>
      <c r="R124" s="381">
        <f t="shared" si="57"/>
        <v>11.324999999999999</v>
      </c>
      <c r="S124" s="381">
        <f t="shared" si="57"/>
        <v>0</v>
      </c>
      <c r="T124" s="381">
        <f t="shared" si="57"/>
        <v>6.1291700000000002</v>
      </c>
      <c r="U124" s="381">
        <f t="shared" si="57"/>
        <v>0.39685999999999988</v>
      </c>
      <c r="V124" s="381">
        <f t="shared" si="57"/>
        <v>2.3811599999999995</v>
      </c>
    </row>
    <row r="125" spans="1:22" s="24" customFormat="1" ht="24" customHeight="1">
      <c r="A125" s="460">
        <v>14</v>
      </c>
      <c r="B125" s="101" t="s">
        <v>2652</v>
      </c>
      <c r="C125" s="386">
        <f>SUM(C126:C131)</f>
        <v>0</v>
      </c>
      <c r="D125" s="386">
        <f t="shared" ref="D125:V125" si="58">SUM(D126:D131)</f>
        <v>0</v>
      </c>
      <c r="E125" s="386">
        <f>SUM(E126:E131)</f>
        <v>140</v>
      </c>
      <c r="F125" s="386">
        <f t="shared" si="58"/>
        <v>122</v>
      </c>
      <c r="G125" s="387">
        <f t="shared" si="58"/>
        <v>578.96330999999998</v>
      </c>
      <c r="H125" s="387">
        <f t="shared" si="58"/>
        <v>547.04</v>
      </c>
      <c r="I125" s="387">
        <f t="shared" si="58"/>
        <v>26.191000000000003</v>
      </c>
      <c r="J125" s="387">
        <f t="shared" si="58"/>
        <v>15.599999999999998</v>
      </c>
      <c r="K125" s="387">
        <f t="shared" si="58"/>
        <v>10.590999999999999</v>
      </c>
      <c r="L125" s="387">
        <f t="shared" si="58"/>
        <v>0</v>
      </c>
      <c r="M125" s="387">
        <f t="shared" si="58"/>
        <v>5.73231</v>
      </c>
      <c r="N125" s="387">
        <f t="shared" si="58"/>
        <v>619.04616999999996</v>
      </c>
      <c r="O125" s="387">
        <f t="shared" si="58"/>
        <v>584.91099999999994</v>
      </c>
      <c r="P125" s="387">
        <f t="shared" si="58"/>
        <v>28.006</v>
      </c>
      <c r="Q125" s="387">
        <f t="shared" si="58"/>
        <v>16.680999999999997</v>
      </c>
      <c r="R125" s="387">
        <f t="shared" si="58"/>
        <v>11.324999999999999</v>
      </c>
      <c r="S125" s="387">
        <f t="shared" si="58"/>
        <v>0</v>
      </c>
      <c r="T125" s="387">
        <f t="shared" si="58"/>
        <v>6.1291700000000002</v>
      </c>
      <c r="U125" s="387">
        <f t="shared" si="58"/>
        <v>0.39685999999999988</v>
      </c>
      <c r="V125" s="387">
        <f t="shared" si="58"/>
        <v>2.3811599999999995</v>
      </c>
    </row>
    <row r="126" spans="1:22" s="24" customFormat="1" ht="24" customHeight="1">
      <c r="A126" s="460"/>
      <c r="B126" s="55" t="s">
        <v>2653</v>
      </c>
      <c r="C126" s="388"/>
      <c r="D126" s="389"/>
      <c r="E126" s="388">
        <v>42</v>
      </c>
      <c r="F126" s="388">
        <v>38</v>
      </c>
      <c r="G126" s="390">
        <f t="shared" ref="G126:G131" si="59">H126+I126+M126</f>
        <v>170.23651000000001</v>
      </c>
      <c r="H126" s="390">
        <v>162.74700000000001</v>
      </c>
      <c r="I126" s="387">
        <f>J126+K126+L126</f>
        <v>5.8040000000000003</v>
      </c>
      <c r="J126" s="390">
        <v>1.69</v>
      </c>
      <c r="K126" s="390">
        <v>4.1139999999999999</v>
      </c>
      <c r="L126" s="390"/>
      <c r="M126" s="387">
        <f>(H126+I126)*1%</f>
        <v>1.6855100000000003</v>
      </c>
      <c r="N126" s="390">
        <f t="shared" ref="N126:N131" si="60">O126+P126+T126</f>
        <v>182.0222</v>
      </c>
      <c r="O126" s="390">
        <v>174.01400000000001</v>
      </c>
      <c r="P126" s="390">
        <f>Q126+R126+S126</f>
        <v>6.2059999999999995</v>
      </c>
      <c r="Q126" s="390">
        <v>1.8069999999999999</v>
      </c>
      <c r="R126" s="390">
        <v>4.399</v>
      </c>
      <c r="S126" s="390"/>
      <c r="T126" s="387">
        <f>(O126+P126)*1%</f>
        <v>1.8022</v>
      </c>
      <c r="U126" s="390">
        <f>T126-M126</f>
        <v>0.11668999999999974</v>
      </c>
      <c r="V126" s="391">
        <f t="shared" ref="V126:V131" si="61">U126*6</f>
        <v>0.70013999999999843</v>
      </c>
    </row>
    <row r="127" spans="1:22" s="24" customFormat="1" ht="24" customHeight="1">
      <c r="A127" s="460"/>
      <c r="B127" s="55" t="s">
        <v>2654</v>
      </c>
      <c r="C127" s="388"/>
      <c r="D127" s="389"/>
      <c r="E127" s="388">
        <v>24</v>
      </c>
      <c r="F127" s="388">
        <v>22</v>
      </c>
      <c r="G127" s="390">
        <f t="shared" si="59"/>
        <v>107.79528000000001</v>
      </c>
      <c r="H127" s="390">
        <v>101.92</v>
      </c>
      <c r="I127" s="387">
        <f>J127+K127+L127</f>
        <v>4.8080000000000007</v>
      </c>
      <c r="J127" s="390">
        <v>4.3550000000000004</v>
      </c>
      <c r="K127" s="390">
        <v>0.45300000000000001</v>
      </c>
      <c r="L127" s="390"/>
      <c r="M127" s="387">
        <f>(H127+I127)*1%</f>
        <v>1.06728</v>
      </c>
      <c r="N127" s="390">
        <f t="shared" si="60"/>
        <v>115.25918</v>
      </c>
      <c r="O127" s="390">
        <v>108.976</v>
      </c>
      <c r="P127" s="390">
        <f>Q127+R127+S127</f>
        <v>5.1420000000000003</v>
      </c>
      <c r="Q127" s="390">
        <v>4.657</v>
      </c>
      <c r="R127" s="390">
        <v>0.48499999999999999</v>
      </c>
      <c r="S127" s="390"/>
      <c r="T127" s="387">
        <f>(O127+P127)*1%</f>
        <v>1.1411800000000001</v>
      </c>
      <c r="U127" s="390">
        <f>T127-M127</f>
        <v>7.3900000000000077E-2</v>
      </c>
      <c r="V127" s="391">
        <f t="shared" si="61"/>
        <v>0.44340000000000046</v>
      </c>
    </row>
    <row r="128" spans="1:22" s="24" customFormat="1" ht="24" customHeight="1">
      <c r="A128" s="460"/>
      <c r="B128" s="55" t="s">
        <v>2655</v>
      </c>
      <c r="C128" s="388"/>
      <c r="D128" s="389"/>
      <c r="E128" s="388">
        <v>15</v>
      </c>
      <c r="F128" s="388">
        <v>15</v>
      </c>
      <c r="G128" s="390">
        <f t="shared" si="59"/>
        <v>76.64385</v>
      </c>
      <c r="H128" s="390">
        <v>71.188000000000002</v>
      </c>
      <c r="I128" s="387">
        <f>J128+K128+L128</f>
        <v>4.6970000000000001</v>
      </c>
      <c r="J128" s="390">
        <v>3.0550000000000002</v>
      </c>
      <c r="K128" s="390">
        <v>1.6419999999999999</v>
      </c>
      <c r="L128" s="390"/>
      <c r="M128" s="387">
        <f>(H128+I128)*1%</f>
        <v>0.75885000000000002</v>
      </c>
      <c r="N128" s="390">
        <f t="shared" si="60"/>
        <v>81.950389999999999</v>
      </c>
      <c r="O128" s="390">
        <v>76.116</v>
      </c>
      <c r="P128" s="390">
        <f>Q128+R128+S128</f>
        <v>5.0229999999999997</v>
      </c>
      <c r="Q128" s="390">
        <v>3.2669999999999999</v>
      </c>
      <c r="R128" s="390">
        <v>1.756</v>
      </c>
      <c r="S128" s="390"/>
      <c r="T128" s="387">
        <f>(O128+P128)*1%</f>
        <v>0.81138999999999994</v>
      </c>
      <c r="U128" s="390">
        <f>T128-M128</f>
        <v>5.253999999999992E-2</v>
      </c>
      <c r="V128" s="391">
        <f t="shared" si="61"/>
        <v>0.31523999999999952</v>
      </c>
    </row>
    <row r="129" spans="1:22" s="24" customFormat="1" ht="24" hidden="1" customHeight="1">
      <c r="A129" s="460"/>
      <c r="B129" s="55" t="s">
        <v>2656</v>
      </c>
      <c r="C129" s="386"/>
      <c r="D129" s="392"/>
      <c r="E129" s="386"/>
      <c r="F129" s="386"/>
      <c r="G129" s="387">
        <f t="shared" si="59"/>
        <v>0</v>
      </c>
      <c r="H129" s="387"/>
      <c r="I129" s="387"/>
      <c r="J129" s="387"/>
      <c r="K129" s="387"/>
      <c r="L129" s="387"/>
      <c r="M129" s="387"/>
      <c r="N129" s="387">
        <f t="shared" si="60"/>
        <v>0</v>
      </c>
      <c r="O129" s="387"/>
      <c r="P129" s="387"/>
      <c r="Q129" s="387"/>
      <c r="R129" s="387"/>
      <c r="S129" s="387"/>
      <c r="T129" s="387"/>
      <c r="U129" s="387">
        <f>N129-G129</f>
        <v>0</v>
      </c>
      <c r="V129" s="393">
        <f t="shared" si="61"/>
        <v>0</v>
      </c>
    </row>
    <row r="130" spans="1:22" s="24" customFormat="1" ht="24" customHeight="1">
      <c r="A130" s="460"/>
      <c r="B130" s="55" t="s">
        <v>2657</v>
      </c>
      <c r="C130" s="388"/>
      <c r="D130" s="389"/>
      <c r="E130" s="388">
        <v>21</v>
      </c>
      <c r="F130" s="388">
        <v>14</v>
      </c>
      <c r="G130" s="390">
        <f t="shared" si="59"/>
        <v>62.181660000000001</v>
      </c>
      <c r="H130" s="390">
        <v>59.228000000000002</v>
      </c>
      <c r="I130" s="387">
        <f>J130+K130+L130</f>
        <v>2.3380000000000001</v>
      </c>
      <c r="J130" s="390">
        <v>1.95</v>
      </c>
      <c r="K130" s="390">
        <v>0.38800000000000001</v>
      </c>
      <c r="L130" s="390"/>
      <c r="M130" s="387">
        <f>(H130+I130)*1%</f>
        <v>0.61565999999999999</v>
      </c>
      <c r="N130" s="390">
        <f t="shared" si="60"/>
        <v>66.486280000000008</v>
      </c>
      <c r="O130" s="390">
        <v>63.328000000000003</v>
      </c>
      <c r="P130" s="390">
        <f>Q130+R130+S130</f>
        <v>2.5</v>
      </c>
      <c r="Q130" s="390">
        <v>2.085</v>
      </c>
      <c r="R130" s="390">
        <v>0.41499999999999998</v>
      </c>
      <c r="S130" s="390"/>
      <c r="T130" s="387">
        <f>(O130+P130)*1%</f>
        <v>0.65828000000000009</v>
      </c>
      <c r="U130" s="390">
        <f>T130-M130</f>
        <v>4.2620000000000102E-2</v>
      </c>
      <c r="V130" s="391">
        <f t="shared" si="61"/>
        <v>0.25572000000000061</v>
      </c>
    </row>
    <row r="131" spans="1:22" s="24" customFormat="1" ht="24" customHeight="1">
      <c r="A131" s="460"/>
      <c r="B131" s="55" t="s">
        <v>2658</v>
      </c>
      <c r="C131" s="388"/>
      <c r="D131" s="389"/>
      <c r="E131" s="388">
        <v>38</v>
      </c>
      <c r="F131" s="388">
        <v>33</v>
      </c>
      <c r="G131" s="390">
        <f t="shared" si="59"/>
        <v>162.10601</v>
      </c>
      <c r="H131" s="390">
        <v>151.95699999999999</v>
      </c>
      <c r="I131" s="387">
        <f>J131+K131+L131</f>
        <v>8.5440000000000005</v>
      </c>
      <c r="J131" s="390">
        <v>4.55</v>
      </c>
      <c r="K131" s="390">
        <v>3.9940000000000002</v>
      </c>
      <c r="L131" s="390"/>
      <c r="M131" s="387">
        <f>(H131+I131)*1%</f>
        <v>1.60501</v>
      </c>
      <c r="N131" s="390">
        <f t="shared" si="60"/>
        <v>173.32811999999998</v>
      </c>
      <c r="O131" s="390">
        <v>162.477</v>
      </c>
      <c r="P131" s="390">
        <f>Q131+R131+S131</f>
        <v>9.1349999999999998</v>
      </c>
      <c r="Q131" s="390">
        <v>4.8650000000000002</v>
      </c>
      <c r="R131" s="390">
        <v>4.2699999999999996</v>
      </c>
      <c r="S131" s="390"/>
      <c r="T131" s="387">
        <f>(O131+P131)*1%</f>
        <v>1.7161200000000001</v>
      </c>
      <c r="U131" s="390">
        <f>T131-M131</f>
        <v>0.11111000000000004</v>
      </c>
      <c r="V131" s="391">
        <f t="shared" si="61"/>
        <v>0.66666000000000025</v>
      </c>
    </row>
    <row r="132" spans="1:22" s="383" customFormat="1" ht="24" customHeight="1">
      <c r="A132" s="462">
        <v>5</v>
      </c>
      <c r="B132" s="463" t="s">
        <v>2533</v>
      </c>
      <c r="C132" s="404">
        <f>C133</f>
        <v>0</v>
      </c>
      <c r="D132" s="404">
        <f t="shared" ref="D132:V132" si="62">D133</f>
        <v>0</v>
      </c>
      <c r="E132" s="404">
        <f t="shared" si="62"/>
        <v>126</v>
      </c>
      <c r="F132" s="404">
        <f t="shared" si="62"/>
        <v>118</v>
      </c>
      <c r="G132" s="381">
        <f t="shared" si="62"/>
        <v>573.7150873999999</v>
      </c>
      <c r="H132" s="381">
        <f t="shared" si="62"/>
        <v>551.06999999999994</v>
      </c>
      <c r="I132" s="381">
        <f t="shared" si="62"/>
        <v>16.964739999999999</v>
      </c>
      <c r="J132" s="381">
        <f t="shared" si="62"/>
        <v>10.66</v>
      </c>
      <c r="K132" s="381">
        <f t="shared" si="62"/>
        <v>6.3047400000000007</v>
      </c>
      <c r="L132" s="381">
        <f t="shared" si="62"/>
        <v>0</v>
      </c>
      <c r="M132" s="381">
        <f t="shared" si="62"/>
        <v>5.6803473999999996</v>
      </c>
      <c r="N132" s="381">
        <f t="shared" si="62"/>
        <v>613.43382421999991</v>
      </c>
      <c r="O132" s="381">
        <f t="shared" si="62"/>
        <v>589.22099999999989</v>
      </c>
      <c r="P132" s="381">
        <f t="shared" si="62"/>
        <v>18.139221999999997</v>
      </c>
      <c r="Q132" s="381">
        <f t="shared" si="62"/>
        <v>11.397999999999998</v>
      </c>
      <c r="R132" s="381">
        <f t="shared" si="62"/>
        <v>6.7412219999999996</v>
      </c>
      <c r="S132" s="381">
        <f t="shared" si="62"/>
        <v>0</v>
      </c>
      <c r="T132" s="381">
        <f t="shared" si="62"/>
        <v>6.0736022199999988</v>
      </c>
      <c r="U132" s="381">
        <f t="shared" si="62"/>
        <v>0.39325481999999923</v>
      </c>
      <c r="V132" s="381">
        <f t="shared" si="62"/>
        <v>2.3595289199999954</v>
      </c>
    </row>
    <row r="133" spans="1:22" s="24" customFormat="1" ht="24" customHeight="1">
      <c r="A133" s="460">
        <v>15</v>
      </c>
      <c r="B133" s="55" t="s">
        <v>2294</v>
      </c>
      <c r="C133" s="407"/>
      <c r="D133" s="408"/>
      <c r="E133" s="407">
        <v>126</v>
      </c>
      <c r="F133" s="407">
        <v>118</v>
      </c>
      <c r="G133" s="409">
        <f>H133+I133+M133</f>
        <v>573.7150873999999</v>
      </c>
      <c r="H133" s="409">
        <f>(441.79-12.91-4.98)*1.3</f>
        <v>551.06999999999994</v>
      </c>
      <c r="I133" s="409">
        <f>J133+K133+L133</f>
        <v>16.964739999999999</v>
      </c>
      <c r="J133" s="409">
        <f>(9.1-0.9)*1.3</f>
        <v>10.66</v>
      </c>
      <c r="K133" s="409">
        <f>(5.3809-0.249-0.2821)*1.3</f>
        <v>6.3047400000000007</v>
      </c>
      <c r="L133" s="409"/>
      <c r="M133" s="369">
        <f>(H133+I133)*1%</f>
        <v>5.6803473999999996</v>
      </c>
      <c r="N133" s="409">
        <f>O133+P133+T133</f>
        <v>613.43382421999991</v>
      </c>
      <c r="O133" s="409">
        <f>(441.79-12.91-4.98)*1.39</f>
        <v>589.22099999999989</v>
      </c>
      <c r="P133" s="409">
        <f>Q133+R133+S133</f>
        <v>18.139221999999997</v>
      </c>
      <c r="Q133" s="409">
        <f>(9.1-0.9)*1.39</f>
        <v>11.397999999999998</v>
      </c>
      <c r="R133" s="409">
        <f>(5.3809-0.249-0.2821)*1.39</f>
        <v>6.7412219999999996</v>
      </c>
      <c r="S133" s="409"/>
      <c r="T133" s="369">
        <f>(O133+P133)*1%</f>
        <v>6.0736022199999988</v>
      </c>
      <c r="U133" s="369">
        <f>T133-M133</f>
        <v>0.39325481999999923</v>
      </c>
      <c r="V133" s="410">
        <f>U133*6</f>
        <v>2.3595289199999954</v>
      </c>
    </row>
    <row r="134" spans="1:22" s="383" customFormat="1" ht="24" customHeight="1">
      <c r="A134" s="462">
        <v>6</v>
      </c>
      <c r="B134" s="463" t="s">
        <v>2534</v>
      </c>
      <c r="C134" s="404">
        <f>C135</f>
        <v>0</v>
      </c>
      <c r="D134" s="404">
        <f t="shared" ref="D134:V135" si="63">D135</f>
        <v>0</v>
      </c>
      <c r="E134" s="404">
        <f t="shared" si="63"/>
        <v>24</v>
      </c>
      <c r="F134" s="404">
        <f t="shared" si="63"/>
        <v>21</v>
      </c>
      <c r="G134" s="381">
        <f t="shared" si="63"/>
        <v>92.330159999999992</v>
      </c>
      <c r="H134" s="381">
        <f t="shared" si="63"/>
        <v>89.075999999999993</v>
      </c>
      <c r="I134" s="381">
        <f t="shared" si="63"/>
        <v>2.34</v>
      </c>
      <c r="J134" s="381">
        <f t="shared" si="63"/>
        <v>2.34</v>
      </c>
      <c r="K134" s="381">
        <f t="shared" si="63"/>
        <v>0</v>
      </c>
      <c r="L134" s="381">
        <f t="shared" si="63"/>
        <v>0</v>
      </c>
      <c r="M134" s="381">
        <f t="shared" si="63"/>
        <v>0.91415999999999997</v>
      </c>
      <c r="N134" s="381">
        <f t="shared" si="63"/>
        <v>98.722449999999995</v>
      </c>
      <c r="O134" s="381">
        <f t="shared" si="63"/>
        <v>95.242999999999995</v>
      </c>
      <c r="P134" s="381">
        <f t="shared" si="63"/>
        <v>2.5019999999999998</v>
      </c>
      <c r="Q134" s="381">
        <f t="shared" si="63"/>
        <v>2.5019999999999998</v>
      </c>
      <c r="R134" s="381">
        <f t="shared" si="63"/>
        <v>0</v>
      </c>
      <c r="S134" s="381">
        <f t="shared" si="63"/>
        <v>0</v>
      </c>
      <c r="T134" s="381">
        <f t="shared" si="63"/>
        <v>0.97744999999999993</v>
      </c>
      <c r="U134" s="381">
        <f t="shared" si="63"/>
        <v>6.3289999999999957E-2</v>
      </c>
      <c r="V134" s="381">
        <f t="shared" si="63"/>
        <v>0.37973999999999974</v>
      </c>
    </row>
    <row r="135" spans="1:22" s="24" customFormat="1" ht="24" customHeight="1">
      <c r="A135" s="460">
        <v>16</v>
      </c>
      <c r="B135" s="101" t="s">
        <v>2652</v>
      </c>
      <c r="C135" s="368">
        <f>C136</f>
        <v>0</v>
      </c>
      <c r="D135" s="368">
        <f t="shared" si="63"/>
        <v>0</v>
      </c>
      <c r="E135" s="368">
        <f t="shared" si="63"/>
        <v>24</v>
      </c>
      <c r="F135" s="368">
        <f t="shared" si="63"/>
        <v>21</v>
      </c>
      <c r="G135" s="369">
        <f t="shared" si="63"/>
        <v>92.330159999999992</v>
      </c>
      <c r="H135" s="369">
        <f t="shared" si="63"/>
        <v>89.075999999999993</v>
      </c>
      <c r="I135" s="369">
        <f t="shared" si="63"/>
        <v>2.34</v>
      </c>
      <c r="J135" s="369">
        <f t="shared" si="63"/>
        <v>2.34</v>
      </c>
      <c r="K135" s="369">
        <f t="shared" si="63"/>
        <v>0</v>
      </c>
      <c r="L135" s="369">
        <f t="shared" si="63"/>
        <v>0</v>
      </c>
      <c r="M135" s="369">
        <f t="shared" si="63"/>
        <v>0.91415999999999997</v>
      </c>
      <c r="N135" s="369">
        <f t="shared" si="63"/>
        <v>98.722449999999995</v>
      </c>
      <c r="O135" s="369">
        <f t="shared" si="63"/>
        <v>95.242999999999995</v>
      </c>
      <c r="P135" s="369">
        <f t="shared" si="63"/>
        <v>2.5019999999999998</v>
      </c>
      <c r="Q135" s="369">
        <f t="shared" si="63"/>
        <v>2.5019999999999998</v>
      </c>
      <c r="R135" s="369">
        <f t="shared" si="63"/>
        <v>0</v>
      </c>
      <c r="S135" s="369">
        <f t="shared" si="63"/>
        <v>0</v>
      </c>
      <c r="T135" s="369">
        <f t="shared" si="63"/>
        <v>0.97744999999999993</v>
      </c>
      <c r="U135" s="369">
        <f t="shared" si="63"/>
        <v>6.3289999999999957E-2</v>
      </c>
      <c r="V135" s="369">
        <f t="shared" si="63"/>
        <v>0.37973999999999974</v>
      </c>
    </row>
    <row r="136" spans="1:22" s="24" customFormat="1" ht="24" customHeight="1">
      <c r="A136" s="460"/>
      <c r="B136" s="55" t="s">
        <v>2656</v>
      </c>
      <c r="C136" s="388"/>
      <c r="D136" s="389"/>
      <c r="E136" s="388">
        <v>24</v>
      </c>
      <c r="F136" s="388">
        <v>21</v>
      </c>
      <c r="G136" s="390">
        <f>H136+I136+M136</f>
        <v>92.330159999999992</v>
      </c>
      <c r="H136" s="390">
        <v>89.075999999999993</v>
      </c>
      <c r="I136" s="387">
        <f>J136+K136+L136</f>
        <v>2.34</v>
      </c>
      <c r="J136" s="390">
        <v>2.34</v>
      </c>
      <c r="K136" s="390"/>
      <c r="L136" s="390"/>
      <c r="M136" s="387">
        <f>(H136+I136)*1%</f>
        <v>0.91415999999999997</v>
      </c>
      <c r="N136" s="390">
        <f>O136+P136+T136</f>
        <v>98.722449999999995</v>
      </c>
      <c r="O136" s="390">
        <v>95.242999999999995</v>
      </c>
      <c r="P136" s="390">
        <f>Q136+R136+S136</f>
        <v>2.5019999999999998</v>
      </c>
      <c r="Q136" s="390">
        <v>2.5019999999999998</v>
      </c>
      <c r="R136" s="390"/>
      <c r="S136" s="390"/>
      <c r="T136" s="387">
        <f>(O136+P136)*1%</f>
        <v>0.97744999999999993</v>
      </c>
      <c r="U136" s="390">
        <f>T136-M136</f>
        <v>6.3289999999999957E-2</v>
      </c>
      <c r="V136" s="391">
        <f>U136*6</f>
        <v>0.37973999999999974</v>
      </c>
    </row>
    <row r="137" spans="1:22" s="383" customFormat="1" ht="24" customHeight="1">
      <c r="A137" s="462">
        <v>7</v>
      </c>
      <c r="B137" s="463" t="s">
        <v>2535</v>
      </c>
      <c r="C137" s="404">
        <f>C138</f>
        <v>0</v>
      </c>
      <c r="D137" s="404">
        <f t="shared" ref="D137:V137" si="64">D138</f>
        <v>0</v>
      </c>
      <c r="E137" s="404">
        <f t="shared" si="64"/>
        <v>103</v>
      </c>
      <c r="F137" s="404">
        <f t="shared" si="64"/>
        <v>91</v>
      </c>
      <c r="G137" s="381">
        <f t="shared" si="64"/>
        <v>407.83496999999994</v>
      </c>
      <c r="H137" s="381">
        <f t="shared" si="64"/>
        <v>381.82299999999998</v>
      </c>
      <c r="I137" s="381">
        <f t="shared" si="64"/>
        <v>21.974</v>
      </c>
      <c r="J137" s="381">
        <f t="shared" si="64"/>
        <v>9.23</v>
      </c>
      <c r="K137" s="381">
        <f t="shared" si="64"/>
        <v>1.411</v>
      </c>
      <c r="L137" s="381">
        <f t="shared" si="64"/>
        <v>11.333</v>
      </c>
      <c r="M137" s="381">
        <f t="shared" si="64"/>
        <v>4.0379700000000005</v>
      </c>
      <c r="N137" s="381">
        <f t="shared" si="64"/>
        <v>436.06851000000006</v>
      </c>
      <c r="O137" s="381">
        <f t="shared" si="64"/>
        <v>408.25699999999995</v>
      </c>
      <c r="P137" s="381">
        <f t="shared" si="64"/>
        <v>23.494</v>
      </c>
      <c r="Q137" s="381">
        <f t="shared" si="64"/>
        <v>9.8689999999999998</v>
      </c>
      <c r="R137" s="381">
        <f t="shared" si="64"/>
        <v>1.508</v>
      </c>
      <c r="S137" s="381">
        <f t="shared" si="64"/>
        <v>12.117000000000001</v>
      </c>
      <c r="T137" s="381">
        <f t="shared" si="64"/>
        <v>4.3175100000000004</v>
      </c>
      <c r="U137" s="381">
        <f t="shared" si="64"/>
        <v>0.27954000000000023</v>
      </c>
      <c r="V137" s="381">
        <f t="shared" si="64"/>
        <v>1.6772400000000016</v>
      </c>
    </row>
    <row r="138" spans="1:22" s="24" customFormat="1">
      <c r="A138" s="460">
        <v>17</v>
      </c>
      <c r="B138" s="55" t="s">
        <v>2659</v>
      </c>
      <c r="C138" s="368">
        <f>SUM(C139:C144)</f>
        <v>0</v>
      </c>
      <c r="D138" s="368">
        <f t="shared" ref="D138:V138" si="65">SUM(D139:D144)</f>
        <v>0</v>
      </c>
      <c r="E138" s="368">
        <f t="shared" si="65"/>
        <v>103</v>
      </c>
      <c r="F138" s="368">
        <f t="shared" si="65"/>
        <v>91</v>
      </c>
      <c r="G138" s="369">
        <f t="shared" si="65"/>
        <v>407.83496999999994</v>
      </c>
      <c r="H138" s="369">
        <f t="shared" si="65"/>
        <v>381.82299999999998</v>
      </c>
      <c r="I138" s="369">
        <f t="shared" si="65"/>
        <v>21.974</v>
      </c>
      <c r="J138" s="369">
        <f t="shared" si="65"/>
        <v>9.23</v>
      </c>
      <c r="K138" s="369">
        <f t="shared" si="65"/>
        <v>1.411</v>
      </c>
      <c r="L138" s="369">
        <f t="shared" si="65"/>
        <v>11.333</v>
      </c>
      <c r="M138" s="369">
        <f t="shared" si="65"/>
        <v>4.0379700000000005</v>
      </c>
      <c r="N138" s="369">
        <f t="shared" si="65"/>
        <v>436.06851000000006</v>
      </c>
      <c r="O138" s="369">
        <f t="shared" si="65"/>
        <v>408.25699999999995</v>
      </c>
      <c r="P138" s="369">
        <f t="shared" si="65"/>
        <v>23.494</v>
      </c>
      <c r="Q138" s="369">
        <f t="shared" si="65"/>
        <v>9.8689999999999998</v>
      </c>
      <c r="R138" s="369">
        <f t="shared" si="65"/>
        <v>1.508</v>
      </c>
      <c r="S138" s="369">
        <f t="shared" si="65"/>
        <v>12.117000000000001</v>
      </c>
      <c r="T138" s="369">
        <f t="shared" si="65"/>
        <v>4.3175100000000004</v>
      </c>
      <c r="U138" s="369">
        <f t="shared" si="65"/>
        <v>0.27954000000000023</v>
      </c>
      <c r="V138" s="369">
        <f t="shared" si="65"/>
        <v>1.6772400000000016</v>
      </c>
    </row>
    <row r="139" spans="1:22" s="24" customFormat="1" ht="24.75" hidden="1" customHeight="1">
      <c r="A139" s="460"/>
      <c r="B139" s="55" t="s">
        <v>2660</v>
      </c>
      <c r="C139" s="368"/>
      <c r="D139" s="367"/>
      <c r="E139" s="368"/>
      <c r="F139" s="368"/>
      <c r="G139" s="369">
        <f t="shared" ref="G139:G144" si="66">H139+I139+M139</f>
        <v>0</v>
      </c>
      <c r="H139" s="369"/>
      <c r="I139" s="369"/>
      <c r="J139" s="369"/>
      <c r="K139" s="369"/>
      <c r="L139" s="369"/>
      <c r="M139" s="369"/>
      <c r="N139" s="369">
        <f t="shared" ref="N139:N144" si="67">O139+P139+T139</f>
        <v>0</v>
      </c>
      <c r="O139" s="369"/>
      <c r="P139" s="369"/>
      <c r="Q139" s="369"/>
      <c r="R139" s="369"/>
      <c r="S139" s="369"/>
      <c r="T139" s="369"/>
      <c r="U139" s="369">
        <f>N139-G139</f>
        <v>0</v>
      </c>
      <c r="V139" s="370">
        <f t="shared" ref="V139:V144" si="68">U139*6</f>
        <v>0</v>
      </c>
    </row>
    <row r="140" spans="1:22" s="24" customFormat="1" ht="24.75" customHeight="1">
      <c r="A140" s="460"/>
      <c r="B140" s="55" t="s">
        <v>2661</v>
      </c>
      <c r="C140" s="388"/>
      <c r="D140" s="389"/>
      <c r="E140" s="388">
        <v>13</v>
      </c>
      <c r="F140" s="388">
        <v>10</v>
      </c>
      <c r="G140" s="390">
        <f t="shared" si="66"/>
        <v>45.836829999999992</v>
      </c>
      <c r="H140" s="390">
        <v>44.472999999999999</v>
      </c>
      <c r="I140" s="387">
        <f>J140+K140+L140</f>
        <v>0.91</v>
      </c>
      <c r="J140" s="390">
        <v>0.91</v>
      </c>
      <c r="K140" s="390"/>
      <c r="L140" s="390"/>
      <c r="M140" s="387">
        <f>(H140+I140)*1%</f>
        <v>0.45382999999999996</v>
      </c>
      <c r="N140" s="390">
        <f t="shared" si="67"/>
        <v>49.010249999999999</v>
      </c>
      <c r="O140" s="390">
        <v>47.552</v>
      </c>
      <c r="P140" s="390">
        <f>Q140+R140+S140</f>
        <v>0.97299999999999998</v>
      </c>
      <c r="Q140" s="390">
        <v>0.97299999999999998</v>
      </c>
      <c r="R140" s="390"/>
      <c r="S140" s="390"/>
      <c r="T140" s="387">
        <f>(O140+P140)*1%</f>
        <v>0.48525000000000001</v>
      </c>
      <c r="U140" s="390">
        <f>T140-M140</f>
        <v>3.1420000000000059E-2</v>
      </c>
      <c r="V140" s="391">
        <f t="shared" si="68"/>
        <v>0.18852000000000035</v>
      </c>
    </row>
    <row r="141" spans="1:22" s="24" customFormat="1" ht="24.75" customHeight="1">
      <c r="A141" s="460"/>
      <c r="B141" s="55" t="s">
        <v>2662</v>
      </c>
      <c r="C141" s="388"/>
      <c r="D141" s="389"/>
      <c r="E141" s="388">
        <v>17</v>
      </c>
      <c r="F141" s="388">
        <v>15</v>
      </c>
      <c r="G141" s="390">
        <f t="shared" si="66"/>
        <v>60.673729999999999</v>
      </c>
      <c r="H141" s="390">
        <v>57.213000000000001</v>
      </c>
      <c r="I141" s="387">
        <f>J141+K141+L141</f>
        <v>2.86</v>
      </c>
      <c r="J141" s="390">
        <v>2.86</v>
      </c>
      <c r="K141" s="390"/>
      <c r="L141" s="390"/>
      <c r="M141" s="387">
        <f>(H141+I141)*1%</f>
        <v>0.60072999999999999</v>
      </c>
      <c r="N141" s="390">
        <f t="shared" si="67"/>
        <v>64.874319999999997</v>
      </c>
      <c r="O141" s="390">
        <v>61.173999999999999</v>
      </c>
      <c r="P141" s="390">
        <f>Q141+R141+S141</f>
        <v>3.0579999999999998</v>
      </c>
      <c r="Q141" s="390">
        <v>3.0579999999999998</v>
      </c>
      <c r="R141" s="390"/>
      <c r="S141" s="390"/>
      <c r="T141" s="387">
        <f>(O141+P141)*1%</f>
        <v>0.64232</v>
      </c>
      <c r="U141" s="390">
        <f>T141-M141</f>
        <v>4.1590000000000016E-2</v>
      </c>
      <c r="V141" s="391">
        <f t="shared" si="68"/>
        <v>0.2495400000000001</v>
      </c>
    </row>
    <row r="142" spans="1:22" s="24" customFormat="1" ht="24.75" customHeight="1">
      <c r="A142" s="460"/>
      <c r="B142" s="55" t="s">
        <v>2663</v>
      </c>
      <c r="C142" s="388"/>
      <c r="D142" s="389"/>
      <c r="E142" s="388">
        <v>58</v>
      </c>
      <c r="F142" s="388">
        <v>53</v>
      </c>
      <c r="G142" s="390">
        <f t="shared" si="66"/>
        <v>237.18637999999999</v>
      </c>
      <c r="H142" s="477">
        <v>219.36199999999999</v>
      </c>
      <c r="I142" s="387">
        <f>J142+K142+L142</f>
        <v>15.475999999999999</v>
      </c>
      <c r="J142" s="390">
        <v>3.51</v>
      </c>
      <c r="K142" s="390">
        <v>0.63300000000000001</v>
      </c>
      <c r="L142" s="390">
        <v>11.333</v>
      </c>
      <c r="M142" s="387">
        <f>(H142+I142)*1%</f>
        <v>2.3483800000000001</v>
      </c>
      <c r="N142" s="390">
        <f t="shared" si="67"/>
        <v>253.60696000000002</v>
      </c>
      <c r="O142" s="390">
        <v>234.54900000000001</v>
      </c>
      <c r="P142" s="390">
        <f>Q142+R142+S142</f>
        <v>16.547000000000001</v>
      </c>
      <c r="Q142" s="390">
        <v>3.7530000000000001</v>
      </c>
      <c r="R142" s="390">
        <v>0.67700000000000005</v>
      </c>
      <c r="S142" s="390">
        <v>12.117000000000001</v>
      </c>
      <c r="T142" s="387">
        <f>(O142+P142)*1%</f>
        <v>2.5109600000000003</v>
      </c>
      <c r="U142" s="390">
        <f>T142-M142</f>
        <v>0.16258000000000017</v>
      </c>
      <c r="V142" s="391">
        <f t="shared" si="68"/>
        <v>0.97548000000000101</v>
      </c>
    </row>
    <row r="143" spans="1:22" s="24" customFormat="1" ht="24.75" customHeight="1">
      <c r="A143" s="460"/>
      <c r="B143" s="55" t="s">
        <v>2664</v>
      </c>
      <c r="C143" s="388"/>
      <c r="D143" s="389"/>
      <c r="E143" s="388">
        <v>8</v>
      </c>
      <c r="F143" s="388">
        <v>7</v>
      </c>
      <c r="G143" s="390">
        <f t="shared" si="66"/>
        <v>36.500390000000003</v>
      </c>
      <c r="H143" s="390">
        <v>34.255000000000003</v>
      </c>
      <c r="I143" s="387">
        <f>J143+K143+L143</f>
        <v>1.8840000000000001</v>
      </c>
      <c r="J143" s="390">
        <v>1.56</v>
      </c>
      <c r="K143" s="390">
        <v>0.32400000000000001</v>
      </c>
      <c r="L143" s="390"/>
      <c r="M143" s="387">
        <f>(H143+I143)*1%</f>
        <v>0.36139000000000004</v>
      </c>
      <c r="N143" s="390">
        <f t="shared" si="67"/>
        <v>39.026400000000002</v>
      </c>
      <c r="O143" s="390">
        <v>36.625999999999998</v>
      </c>
      <c r="P143" s="390">
        <f>Q143+R143+S143</f>
        <v>2.0139999999999998</v>
      </c>
      <c r="Q143" s="390">
        <v>1.6679999999999999</v>
      </c>
      <c r="R143" s="390">
        <v>0.34599999999999997</v>
      </c>
      <c r="S143" s="390"/>
      <c r="T143" s="387">
        <f>(O143+P143)*1%</f>
        <v>0.38640000000000002</v>
      </c>
      <c r="U143" s="390">
        <f>T143-M143</f>
        <v>2.5009999999999977E-2</v>
      </c>
      <c r="V143" s="391">
        <f t="shared" si="68"/>
        <v>0.15005999999999986</v>
      </c>
    </row>
    <row r="144" spans="1:22" s="24" customFormat="1" ht="24.75" customHeight="1">
      <c r="A144" s="460"/>
      <c r="B144" s="55" t="s">
        <v>2665</v>
      </c>
      <c r="C144" s="388"/>
      <c r="D144" s="389"/>
      <c r="E144" s="388">
        <v>7</v>
      </c>
      <c r="F144" s="388">
        <v>6</v>
      </c>
      <c r="G144" s="390">
        <f t="shared" si="66"/>
        <v>27.637640000000001</v>
      </c>
      <c r="H144" s="390">
        <v>26.52</v>
      </c>
      <c r="I144" s="387">
        <f>J144+K144+L144</f>
        <v>0.84400000000000008</v>
      </c>
      <c r="J144" s="390">
        <v>0.39</v>
      </c>
      <c r="K144" s="390">
        <v>0.45400000000000001</v>
      </c>
      <c r="L144" s="390"/>
      <c r="M144" s="387">
        <f>(H144+I144)*1%</f>
        <v>0.27363999999999999</v>
      </c>
      <c r="N144" s="390">
        <f t="shared" si="67"/>
        <v>29.550580000000004</v>
      </c>
      <c r="O144" s="390">
        <v>28.356000000000002</v>
      </c>
      <c r="P144" s="390">
        <f>Q144+R144+S144</f>
        <v>0.90199999999999991</v>
      </c>
      <c r="Q144" s="390">
        <v>0.41699999999999998</v>
      </c>
      <c r="R144" s="390">
        <v>0.48499999999999999</v>
      </c>
      <c r="S144" s="390"/>
      <c r="T144" s="387">
        <f>(O144+P144)*1%</f>
        <v>0.29258000000000001</v>
      </c>
      <c r="U144" s="390">
        <f>T144-M144</f>
        <v>1.8940000000000012E-2</v>
      </c>
      <c r="V144" s="391">
        <f t="shared" si="68"/>
        <v>0.11364000000000007</v>
      </c>
    </row>
    <row r="145" spans="1:22" s="383" customFormat="1" ht="24" customHeight="1">
      <c r="A145" s="462">
        <v>8</v>
      </c>
      <c r="B145" s="482" t="s">
        <v>2536</v>
      </c>
      <c r="C145" s="411">
        <f>SUM(C146,C163:C173)</f>
        <v>15</v>
      </c>
      <c r="D145" s="411">
        <f t="shared" ref="D145:V145" si="69">SUM(D146,D163:D173)</f>
        <v>14.015000000000001</v>
      </c>
      <c r="E145" s="411">
        <f t="shared" si="69"/>
        <v>666</v>
      </c>
      <c r="F145" s="411">
        <f t="shared" si="69"/>
        <v>630</v>
      </c>
      <c r="G145" s="412">
        <f t="shared" si="69"/>
        <v>2697.3062727000006</v>
      </c>
      <c r="H145" s="412">
        <f t="shared" si="69"/>
        <v>2607.9325999999996</v>
      </c>
      <c r="I145" s="412">
        <f t="shared" si="69"/>
        <v>62.667669999999987</v>
      </c>
      <c r="J145" s="412">
        <f t="shared" si="69"/>
        <v>37.764999999999993</v>
      </c>
      <c r="K145" s="412">
        <f t="shared" si="69"/>
        <v>10.336170000000003</v>
      </c>
      <c r="L145" s="412">
        <f t="shared" si="69"/>
        <v>15.2165</v>
      </c>
      <c r="M145" s="412">
        <f t="shared" si="69"/>
        <v>26.706002700000006</v>
      </c>
      <c r="N145" s="412">
        <f t="shared" si="69"/>
        <v>2884.7452148100006</v>
      </c>
      <c r="O145" s="412">
        <f t="shared" si="69"/>
        <v>2788.48218</v>
      </c>
      <c r="P145" s="412">
        <f t="shared" si="69"/>
        <v>67.701200999999998</v>
      </c>
      <c r="Q145" s="412">
        <f t="shared" si="69"/>
        <v>40.3795</v>
      </c>
      <c r="R145" s="412">
        <f t="shared" si="69"/>
        <v>11.051750999999999</v>
      </c>
      <c r="S145" s="412">
        <f t="shared" si="69"/>
        <v>16.269949999999998</v>
      </c>
      <c r="T145" s="412">
        <f t="shared" si="69"/>
        <v>28.561833809999996</v>
      </c>
      <c r="U145" s="412">
        <f t="shared" si="69"/>
        <v>1.8558311099999969</v>
      </c>
      <c r="V145" s="412">
        <f t="shared" si="69"/>
        <v>11.13498665999998</v>
      </c>
    </row>
    <row r="146" spans="1:22" s="24" customFormat="1" ht="26.25" customHeight="1">
      <c r="A146" s="460">
        <v>18</v>
      </c>
      <c r="B146" s="55" t="s">
        <v>2666</v>
      </c>
      <c r="C146" s="405">
        <f>SUM(C147:C162)</f>
        <v>0</v>
      </c>
      <c r="D146" s="405">
        <f t="shared" ref="D146:V146" si="70">SUM(D147:D162)</f>
        <v>0</v>
      </c>
      <c r="E146" s="413">
        <f t="shared" si="70"/>
        <v>534</v>
      </c>
      <c r="F146" s="413">
        <f t="shared" si="70"/>
        <v>503</v>
      </c>
      <c r="G146" s="405">
        <f t="shared" si="70"/>
        <v>2155.7218709000003</v>
      </c>
      <c r="H146" s="405">
        <f t="shared" si="70"/>
        <v>2089.5732000000003</v>
      </c>
      <c r="I146" s="405">
        <f t="shared" si="70"/>
        <v>44.804889999999993</v>
      </c>
      <c r="J146" s="405">
        <f t="shared" si="70"/>
        <v>22.425000000000001</v>
      </c>
      <c r="K146" s="405">
        <f t="shared" si="70"/>
        <v>8.9040900000000018</v>
      </c>
      <c r="L146" s="405">
        <f t="shared" si="70"/>
        <v>13.4758</v>
      </c>
      <c r="M146" s="405">
        <f t="shared" si="70"/>
        <v>21.343780900000006</v>
      </c>
      <c r="N146" s="405">
        <f t="shared" si="70"/>
        <v>2304.9641542700001</v>
      </c>
      <c r="O146" s="405">
        <f t="shared" si="70"/>
        <v>2234.23596</v>
      </c>
      <c r="P146" s="405">
        <f t="shared" si="70"/>
        <v>47.906766999999995</v>
      </c>
      <c r="Q146" s="405">
        <f t="shared" si="70"/>
        <v>23.977499999999996</v>
      </c>
      <c r="R146" s="405">
        <f t="shared" si="70"/>
        <v>9.5205269999999995</v>
      </c>
      <c r="S146" s="405">
        <f t="shared" si="70"/>
        <v>14.408739999999998</v>
      </c>
      <c r="T146" s="405">
        <f t="shared" si="70"/>
        <v>22.821427269999997</v>
      </c>
      <c r="U146" s="405">
        <f t="shared" si="70"/>
        <v>1.4776463699999975</v>
      </c>
      <c r="V146" s="405">
        <f t="shared" si="70"/>
        <v>8.8658782199999848</v>
      </c>
    </row>
    <row r="147" spans="1:22" s="24" customFormat="1" ht="26.25" customHeight="1">
      <c r="A147" s="460"/>
      <c r="B147" s="55" t="s">
        <v>2667</v>
      </c>
      <c r="C147" s="386"/>
      <c r="D147" s="392"/>
      <c r="E147" s="386">
        <v>79</v>
      </c>
      <c r="F147" s="386">
        <v>77</v>
      </c>
      <c r="G147" s="387">
        <f>H147+I147+M147</f>
        <v>361.18174690000001</v>
      </c>
      <c r="H147" s="387">
        <f>(274.82-1-4.98)*1.3</f>
        <v>349.49199999999996</v>
      </c>
      <c r="I147" s="387">
        <f t="shared" ref="I147:I153" si="71">J147+K147+L147</f>
        <v>8.1136900000000001</v>
      </c>
      <c r="J147" s="387">
        <f>(5.45-0.7)*1.3</f>
        <v>6.1749999999999998</v>
      </c>
      <c r="K147" s="387">
        <f>1.4913*1.3</f>
        <v>1.9386900000000002</v>
      </c>
      <c r="L147" s="387"/>
      <c r="M147" s="387">
        <f>(H147+I147)*1%</f>
        <v>3.5760568999999998</v>
      </c>
      <c r="N147" s="387">
        <f>O147+P147+T147</f>
        <v>386.1866370699999</v>
      </c>
      <c r="O147" s="387">
        <f>(274.82-1-4.98)*1.39</f>
        <v>373.68759999999992</v>
      </c>
      <c r="P147" s="387">
        <f t="shared" ref="P147:P153" si="72">Q147+R147+S147</f>
        <v>8.6754069999999999</v>
      </c>
      <c r="Q147" s="387">
        <f>(5.45-0.7)*1.39</f>
        <v>6.6024999999999991</v>
      </c>
      <c r="R147" s="387">
        <f>1.4913*1.39</f>
        <v>2.0729069999999998</v>
      </c>
      <c r="S147" s="387"/>
      <c r="T147" s="387">
        <f>(O147+P147)*1%</f>
        <v>3.8236300699999992</v>
      </c>
      <c r="U147" s="369">
        <f>T147-M147</f>
        <v>0.24757316999999945</v>
      </c>
      <c r="V147" s="370">
        <f t="shared" ref="V147:V173" si="73">U147*6</f>
        <v>1.4854390199999967</v>
      </c>
    </row>
    <row r="148" spans="1:22" s="24" customFormat="1" ht="26.25" customHeight="1">
      <c r="A148" s="460"/>
      <c r="B148" s="55" t="s">
        <v>2668</v>
      </c>
      <c r="C148" s="386"/>
      <c r="D148" s="392"/>
      <c r="E148" s="386">
        <v>40</v>
      </c>
      <c r="F148" s="386">
        <v>38</v>
      </c>
      <c r="G148" s="387">
        <f t="shared" ref="G148:G173" si="74">H148+I148+M148</f>
        <v>178.37367600000002</v>
      </c>
      <c r="H148" s="478">
        <f>132.73*1.3</f>
        <v>172.54900000000001</v>
      </c>
      <c r="I148" s="387">
        <f t="shared" si="71"/>
        <v>4.0586000000000002</v>
      </c>
      <c r="J148" s="478">
        <f>1*1.3</f>
        <v>1.3</v>
      </c>
      <c r="K148" s="478">
        <f>2.122*1.3</f>
        <v>2.7585999999999999</v>
      </c>
      <c r="L148" s="387"/>
      <c r="M148" s="387">
        <f>(H148+I148)*1%</f>
        <v>1.7660760000000002</v>
      </c>
      <c r="N148" s="387">
        <f>O148+P148+T148</f>
        <v>190.72262279999998</v>
      </c>
      <c r="O148" s="478">
        <f>132.73*1.39</f>
        <v>184.49469999999997</v>
      </c>
      <c r="P148" s="387">
        <f t="shared" si="72"/>
        <v>4.3395799999999998</v>
      </c>
      <c r="Q148" s="478">
        <f>1*1.39</f>
        <v>1.39</v>
      </c>
      <c r="R148" s="478">
        <f>2.122*1.39</f>
        <v>2.9495799999999996</v>
      </c>
      <c r="S148" s="387"/>
      <c r="T148" s="387">
        <f>(O148+P148)*1%</f>
        <v>1.8883427999999998</v>
      </c>
      <c r="U148" s="369">
        <f t="shared" ref="U148:U172" si="75">T148-M148</f>
        <v>0.12226679999999956</v>
      </c>
      <c r="V148" s="370">
        <f t="shared" si="73"/>
        <v>0.73360079999999739</v>
      </c>
    </row>
    <row r="149" spans="1:22" s="24" customFormat="1" ht="26.25" customHeight="1">
      <c r="A149" s="460"/>
      <c r="B149" s="55" t="s">
        <v>2671</v>
      </c>
      <c r="C149" s="386"/>
      <c r="D149" s="392"/>
      <c r="E149" s="386">
        <v>89</v>
      </c>
      <c r="F149" s="386">
        <v>74</v>
      </c>
      <c r="G149" s="387">
        <f t="shared" si="74"/>
        <v>340.50134040000006</v>
      </c>
      <c r="H149" s="479">
        <f>(297.718-2.59-39.81)*1.3</f>
        <v>331.91340000000008</v>
      </c>
      <c r="I149" s="387">
        <f t="shared" si="71"/>
        <v>5.2166399999999999</v>
      </c>
      <c r="J149" s="480">
        <f>(1.5)*1.3</f>
        <v>1.9500000000000002</v>
      </c>
      <c r="K149" s="480">
        <f>2.5128*1.3</f>
        <v>3.2666400000000002</v>
      </c>
      <c r="L149" s="387"/>
      <c r="M149" s="387">
        <f>+(H149+I149)*1%</f>
        <v>3.3713004000000009</v>
      </c>
      <c r="N149" s="387">
        <f t="shared" ref="N149:N173" si="76">O149+P149+T149</f>
        <v>364.07451012000007</v>
      </c>
      <c r="O149" s="479">
        <f>(297.718-2.59-39.81)*1.39</f>
        <v>354.89202000000006</v>
      </c>
      <c r="P149" s="387">
        <f t="shared" si="72"/>
        <v>5.5777919999999996</v>
      </c>
      <c r="Q149" s="480">
        <f>(1.5)*1.39</f>
        <v>2.085</v>
      </c>
      <c r="R149" s="480">
        <f>2.5128*1.39</f>
        <v>3.4927919999999997</v>
      </c>
      <c r="S149" s="387"/>
      <c r="T149" s="387">
        <f>+(O149+P149)*1%</f>
        <v>3.6046981200000006</v>
      </c>
      <c r="U149" s="369">
        <f t="shared" si="75"/>
        <v>0.2333977199999997</v>
      </c>
      <c r="V149" s="370">
        <f t="shared" si="73"/>
        <v>1.4003863199999982</v>
      </c>
    </row>
    <row r="150" spans="1:22" s="24" customFormat="1" ht="26.25" customHeight="1">
      <c r="A150" s="460"/>
      <c r="B150" s="55" t="s">
        <v>2672</v>
      </c>
      <c r="C150" s="386"/>
      <c r="D150" s="392"/>
      <c r="E150" s="386">
        <v>29</v>
      </c>
      <c r="F150" s="386">
        <v>29</v>
      </c>
      <c r="G150" s="387">
        <f t="shared" si="74"/>
        <v>139.74364040000003</v>
      </c>
      <c r="H150" s="478">
        <f>94.54*1.3</f>
        <v>122.90200000000002</v>
      </c>
      <c r="I150" s="387">
        <f t="shared" si="71"/>
        <v>15.45804</v>
      </c>
      <c r="J150" s="478">
        <f>1.2*1.3</f>
        <v>1.56</v>
      </c>
      <c r="K150" s="478">
        <f>0.3248*1.3</f>
        <v>0.42224</v>
      </c>
      <c r="L150" s="478">
        <f>(13.1808-1.3988-1.416)*1.3</f>
        <v>13.4758</v>
      </c>
      <c r="M150" s="387">
        <f>(H150+I150)*1%</f>
        <v>1.3836004000000004</v>
      </c>
      <c r="N150" s="387">
        <f t="shared" si="76"/>
        <v>149.41820011999999</v>
      </c>
      <c r="O150" s="478">
        <f>94.54*1.39</f>
        <v>131.41059999999999</v>
      </c>
      <c r="P150" s="387">
        <f t="shared" si="72"/>
        <v>16.528211999999996</v>
      </c>
      <c r="Q150" s="478">
        <f>1.2*1.39</f>
        <v>1.6679999999999999</v>
      </c>
      <c r="R150" s="478">
        <f>0.3248*1.39</f>
        <v>0.45147199999999993</v>
      </c>
      <c r="S150" s="478">
        <f>(13.1808-1.3988-1.416)*1.39</f>
        <v>14.408739999999998</v>
      </c>
      <c r="T150" s="387">
        <f>(O150+P150)*1%</f>
        <v>1.4793881199999999</v>
      </c>
      <c r="U150" s="369">
        <f t="shared" si="75"/>
        <v>9.5787719999999466E-2</v>
      </c>
      <c r="V150" s="370">
        <f t="shared" si="73"/>
        <v>0.57472631999999679</v>
      </c>
    </row>
    <row r="151" spans="1:22" s="24" customFormat="1" ht="26.25" customHeight="1">
      <c r="A151" s="460"/>
      <c r="B151" s="55" t="s">
        <v>2674</v>
      </c>
      <c r="C151" s="386"/>
      <c r="D151" s="392"/>
      <c r="E151" s="386">
        <v>6</v>
      </c>
      <c r="F151" s="386">
        <v>6</v>
      </c>
      <c r="G151" s="387">
        <f t="shared" si="74"/>
        <v>19.918209999999998</v>
      </c>
      <c r="H151" s="478">
        <f>15.17*1.3</f>
        <v>19.721</v>
      </c>
      <c r="I151" s="387">
        <f t="shared" si="71"/>
        <v>0</v>
      </c>
      <c r="J151" s="387"/>
      <c r="K151" s="387"/>
      <c r="L151" s="387"/>
      <c r="M151" s="387">
        <f>(H151+I151)*1%</f>
        <v>0.19721</v>
      </c>
      <c r="N151" s="387">
        <f t="shared" si="76"/>
        <v>21.297162999999998</v>
      </c>
      <c r="O151" s="478">
        <f>15.17*1.39</f>
        <v>21.086299999999998</v>
      </c>
      <c r="P151" s="387">
        <f t="shared" si="72"/>
        <v>0</v>
      </c>
      <c r="Q151" s="387"/>
      <c r="R151" s="387"/>
      <c r="S151" s="387"/>
      <c r="T151" s="387">
        <f>(O151+P151)*1%</f>
        <v>0.21086299999999999</v>
      </c>
      <c r="U151" s="369">
        <f t="shared" si="75"/>
        <v>1.3652999999999998E-2</v>
      </c>
      <c r="V151" s="370">
        <f t="shared" si="73"/>
        <v>8.1917999999999991E-2</v>
      </c>
    </row>
    <row r="152" spans="1:22" s="24" customFormat="1" ht="26.25" customHeight="1">
      <c r="A152" s="460"/>
      <c r="B152" s="55" t="s">
        <v>2675</v>
      </c>
      <c r="C152" s="386"/>
      <c r="D152" s="392"/>
      <c r="E152" s="386">
        <v>10</v>
      </c>
      <c r="F152" s="386">
        <v>10</v>
      </c>
      <c r="G152" s="387">
        <f t="shared" si="74"/>
        <v>37.223550000000003</v>
      </c>
      <c r="H152" s="387">
        <f>28.05*1.3</f>
        <v>36.465000000000003</v>
      </c>
      <c r="I152" s="387">
        <f t="shared" si="71"/>
        <v>0.39</v>
      </c>
      <c r="J152" s="387">
        <f>0.3*1.3</f>
        <v>0.39</v>
      </c>
      <c r="K152" s="387"/>
      <c r="L152" s="387"/>
      <c r="M152" s="387">
        <f>(H152+I152)*1%</f>
        <v>0.36855000000000004</v>
      </c>
      <c r="N152" s="387">
        <f t="shared" si="76"/>
        <v>39.800564999999999</v>
      </c>
      <c r="O152" s="387">
        <f>28.05*1.39</f>
        <v>38.9895</v>
      </c>
      <c r="P152" s="387">
        <f t="shared" si="72"/>
        <v>0.41699999999999998</v>
      </c>
      <c r="Q152" s="387">
        <f>0.3*1.39</f>
        <v>0.41699999999999998</v>
      </c>
      <c r="R152" s="387"/>
      <c r="S152" s="387"/>
      <c r="T152" s="387">
        <f>(O152+P152)*1%</f>
        <v>0.394065</v>
      </c>
      <c r="U152" s="369">
        <f t="shared" si="75"/>
        <v>2.5514999999999954E-2</v>
      </c>
      <c r="V152" s="370">
        <f t="shared" si="73"/>
        <v>0.15308999999999973</v>
      </c>
    </row>
    <row r="153" spans="1:22" s="24" customFormat="1" ht="25.5">
      <c r="A153" s="460"/>
      <c r="B153" s="55" t="s">
        <v>2678</v>
      </c>
      <c r="C153" s="386"/>
      <c r="D153" s="392"/>
      <c r="E153" s="386">
        <v>14</v>
      </c>
      <c r="F153" s="386">
        <v>13</v>
      </c>
      <c r="G153" s="387">
        <f t="shared" si="74"/>
        <v>55.11974</v>
      </c>
      <c r="H153" s="478">
        <f>40.98*1.3</f>
        <v>53.274000000000001</v>
      </c>
      <c r="I153" s="387">
        <f t="shared" si="71"/>
        <v>1.3</v>
      </c>
      <c r="J153" s="478">
        <f>1*1.3</f>
        <v>1.3</v>
      </c>
      <c r="K153" s="387"/>
      <c r="L153" s="387"/>
      <c r="M153" s="387">
        <f>(H153+I153)*1%</f>
        <v>0.54574</v>
      </c>
      <c r="N153" s="387">
        <f t="shared" si="76"/>
        <v>58.935721999999991</v>
      </c>
      <c r="O153" s="478">
        <f>40.98*1.39</f>
        <v>56.962199999999989</v>
      </c>
      <c r="P153" s="387">
        <f t="shared" si="72"/>
        <v>1.39</v>
      </c>
      <c r="Q153" s="478">
        <f>1*1.39</f>
        <v>1.39</v>
      </c>
      <c r="R153" s="387"/>
      <c r="S153" s="387"/>
      <c r="T153" s="387">
        <f>(O153+P153)*1%</f>
        <v>0.58352199999999987</v>
      </c>
      <c r="U153" s="369">
        <f t="shared" si="75"/>
        <v>3.7781999999999871E-2</v>
      </c>
      <c r="V153" s="370">
        <f t="shared" si="73"/>
        <v>0.22669199999999923</v>
      </c>
    </row>
    <row r="154" spans="1:22" s="24" customFormat="1" ht="24.75" customHeight="1">
      <c r="A154" s="460"/>
      <c r="B154" s="55" t="s">
        <v>2679</v>
      </c>
      <c r="C154" s="386"/>
      <c r="D154" s="392"/>
      <c r="E154" s="386">
        <v>44</v>
      </c>
      <c r="F154" s="386">
        <v>43</v>
      </c>
      <c r="G154" s="387">
        <f t="shared" si="74"/>
        <v>189.42651000000001</v>
      </c>
      <c r="H154" s="479">
        <f>(146.99-5.42)*1.3</f>
        <v>184.04100000000003</v>
      </c>
      <c r="I154" s="479">
        <f>J154+K154</f>
        <v>3.5100000000000002</v>
      </c>
      <c r="J154" s="480">
        <f>(3.4-0.7)*1.3</f>
        <v>3.5100000000000002</v>
      </c>
      <c r="K154" s="387"/>
      <c r="L154" s="387"/>
      <c r="M154" s="387">
        <f>+(H154+I154)*1%</f>
        <v>1.8755100000000002</v>
      </c>
      <c r="N154" s="387">
        <f t="shared" si="76"/>
        <v>202.54065300000002</v>
      </c>
      <c r="O154" s="479">
        <f>(146.99-5.42)*1.39</f>
        <v>196.78230000000002</v>
      </c>
      <c r="P154" s="479">
        <f>Q154+R154</f>
        <v>3.7530000000000001</v>
      </c>
      <c r="Q154" s="480">
        <f>(3.4-0.7)*1.39</f>
        <v>3.7530000000000001</v>
      </c>
      <c r="R154" s="387"/>
      <c r="S154" s="387"/>
      <c r="T154" s="387">
        <f>+(O154+P154)*1%</f>
        <v>2.0053529999999999</v>
      </c>
      <c r="U154" s="369">
        <f t="shared" si="75"/>
        <v>0.12984299999999971</v>
      </c>
      <c r="V154" s="370">
        <f t="shared" si="73"/>
        <v>0.77905799999999825</v>
      </c>
    </row>
    <row r="155" spans="1:22" s="24" customFormat="1" ht="24.75" hidden="1" customHeight="1">
      <c r="A155" s="460"/>
      <c r="B155" s="55" t="s">
        <v>2680</v>
      </c>
      <c r="C155" s="368"/>
      <c r="D155" s="367"/>
      <c r="E155" s="368"/>
      <c r="F155" s="368"/>
      <c r="G155" s="369">
        <f t="shared" si="74"/>
        <v>0</v>
      </c>
      <c r="H155" s="369"/>
      <c r="I155" s="369"/>
      <c r="J155" s="369"/>
      <c r="K155" s="369"/>
      <c r="L155" s="369"/>
      <c r="M155" s="369"/>
      <c r="N155" s="369">
        <f t="shared" si="76"/>
        <v>0</v>
      </c>
      <c r="O155" s="369"/>
      <c r="P155" s="369"/>
      <c r="Q155" s="369"/>
      <c r="R155" s="369"/>
      <c r="S155" s="369"/>
      <c r="T155" s="369"/>
      <c r="U155" s="369">
        <f t="shared" si="75"/>
        <v>0</v>
      </c>
      <c r="V155" s="370">
        <f t="shared" si="73"/>
        <v>0</v>
      </c>
    </row>
    <row r="156" spans="1:22" s="24" customFormat="1" ht="24.75" customHeight="1">
      <c r="A156" s="460"/>
      <c r="B156" s="55" t="s">
        <v>2681</v>
      </c>
      <c r="C156" s="386"/>
      <c r="D156" s="392"/>
      <c r="E156" s="386">
        <v>20</v>
      </c>
      <c r="F156" s="386">
        <v>19</v>
      </c>
      <c r="G156" s="387">
        <f t="shared" si="74"/>
        <v>81.994224000000003</v>
      </c>
      <c r="H156" s="479">
        <f>+(71.058-5.53-4.98)*1.3</f>
        <v>78.712400000000002</v>
      </c>
      <c r="I156" s="479">
        <f>J156+K156</f>
        <v>2.4699999999999998</v>
      </c>
      <c r="J156" s="480">
        <f>1.9*1.3</f>
        <v>2.4699999999999998</v>
      </c>
      <c r="K156" s="387"/>
      <c r="L156" s="387"/>
      <c r="M156" s="387">
        <f>+(H156+I156)*1%</f>
        <v>0.81182399999999999</v>
      </c>
      <c r="N156" s="387">
        <f t="shared" si="76"/>
        <v>87.670747200000008</v>
      </c>
      <c r="O156" s="479">
        <f>+(71.058-5.53-4.98)*1.39</f>
        <v>84.161720000000003</v>
      </c>
      <c r="P156" s="479">
        <f>Q156+R156</f>
        <v>2.6409999999999996</v>
      </c>
      <c r="Q156" s="480">
        <f>1.9*1.39</f>
        <v>2.6409999999999996</v>
      </c>
      <c r="R156" s="387"/>
      <c r="S156" s="387"/>
      <c r="T156" s="387">
        <f>+(O156+P156)*1%</f>
        <v>0.86802720000000011</v>
      </c>
      <c r="U156" s="369">
        <f t="shared" si="75"/>
        <v>5.620320000000012E-2</v>
      </c>
      <c r="V156" s="370">
        <f t="shared" si="73"/>
        <v>0.33721920000000072</v>
      </c>
    </row>
    <row r="157" spans="1:22" s="24" customFormat="1" ht="24.75" hidden="1" customHeight="1">
      <c r="A157" s="460"/>
      <c r="B157" s="55" t="s">
        <v>2682</v>
      </c>
      <c r="C157" s="368"/>
      <c r="D157" s="367"/>
      <c r="E157" s="368"/>
      <c r="F157" s="368"/>
      <c r="G157" s="369">
        <f t="shared" si="74"/>
        <v>0</v>
      </c>
      <c r="H157" s="369"/>
      <c r="I157" s="369"/>
      <c r="J157" s="369"/>
      <c r="K157" s="369"/>
      <c r="L157" s="369"/>
      <c r="M157" s="369"/>
      <c r="N157" s="369">
        <f t="shared" si="76"/>
        <v>0</v>
      </c>
      <c r="O157" s="369"/>
      <c r="P157" s="369"/>
      <c r="Q157" s="369"/>
      <c r="R157" s="369"/>
      <c r="S157" s="369"/>
      <c r="T157" s="369"/>
      <c r="U157" s="369">
        <f t="shared" si="75"/>
        <v>0</v>
      </c>
      <c r="V157" s="370">
        <f t="shared" si="73"/>
        <v>0</v>
      </c>
    </row>
    <row r="158" spans="1:22" s="24" customFormat="1" ht="24.75" customHeight="1">
      <c r="A158" s="460"/>
      <c r="B158" s="55" t="s">
        <v>2683</v>
      </c>
      <c r="C158" s="386"/>
      <c r="D158" s="392"/>
      <c r="E158" s="386">
        <v>9</v>
      </c>
      <c r="F158" s="386">
        <v>7</v>
      </c>
      <c r="G158" s="387">
        <f t="shared" si="74"/>
        <v>33.295579200000006</v>
      </c>
      <c r="H158" s="479">
        <f>24.46*1.3</f>
        <v>31.798000000000002</v>
      </c>
      <c r="I158" s="479">
        <f>J158+K158</f>
        <v>1.1679200000000001</v>
      </c>
      <c r="J158" s="480">
        <f>0.5*1.3</f>
        <v>0.65</v>
      </c>
      <c r="K158" s="480">
        <f>0.3984*1.3</f>
        <v>0.51791999999999994</v>
      </c>
      <c r="L158" s="387"/>
      <c r="M158" s="387">
        <f>+(H158+I158)*1%</f>
        <v>0.32965920000000004</v>
      </c>
      <c r="N158" s="387">
        <f t="shared" si="76"/>
        <v>35.600657760000004</v>
      </c>
      <c r="O158" s="479">
        <f>24.46*1.39</f>
        <v>33.999400000000001</v>
      </c>
      <c r="P158" s="479">
        <f>Q158+R158</f>
        <v>1.2487759999999999</v>
      </c>
      <c r="Q158" s="480">
        <f>0.5*1.39</f>
        <v>0.69499999999999995</v>
      </c>
      <c r="R158" s="480">
        <f>0.3984*1.39</f>
        <v>0.55377599999999993</v>
      </c>
      <c r="S158" s="387"/>
      <c r="T158" s="387">
        <f>+(O158+P158)*1%</f>
        <v>0.35248176000000003</v>
      </c>
      <c r="U158" s="369">
        <f t="shared" si="75"/>
        <v>2.2822559999999992E-2</v>
      </c>
      <c r="V158" s="370">
        <f t="shared" si="73"/>
        <v>0.13693535999999995</v>
      </c>
    </row>
    <row r="159" spans="1:22" s="24" customFormat="1" ht="24.75" hidden="1" customHeight="1">
      <c r="A159" s="460"/>
      <c r="B159" s="55" t="s">
        <v>2684</v>
      </c>
      <c r="C159" s="368"/>
      <c r="D159" s="367"/>
      <c r="E159" s="368"/>
      <c r="F159" s="368"/>
      <c r="G159" s="369">
        <f t="shared" si="74"/>
        <v>0</v>
      </c>
      <c r="H159" s="369"/>
      <c r="I159" s="369"/>
      <c r="J159" s="369"/>
      <c r="K159" s="369"/>
      <c r="L159" s="369"/>
      <c r="M159" s="369"/>
      <c r="N159" s="369">
        <f t="shared" si="76"/>
        <v>0</v>
      </c>
      <c r="O159" s="369"/>
      <c r="P159" s="369"/>
      <c r="Q159" s="369"/>
      <c r="R159" s="369"/>
      <c r="S159" s="369"/>
      <c r="T159" s="369"/>
      <c r="U159" s="369">
        <f t="shared" si="75"/>
        <v>0</v>
      </c>
      <c r="V159" s="370">
        <f t="shared" si="73"/>
        <v>0</v>
      </c>
    </row>
    <row r="160" spans="1:22" s="24" customFormat="1" ht="24.75" customHeight="1">
      <c r="A160" s="460"/>
      <c r="B160" s="55" t="s">
        <v>2685</v>
      </c>
      <c r="C160" s="386"/>
      <c r="D160" s="392"/>
      <c r="E160" s="386">
        <v>37</v>
      </c>
      <c r="F160" s="386">
        <v>37</v>
      </c>
      <c r="G160" s="387">
        <f>H160+I160+M160</f>
        <v>153.65776400000001</v>
      </c>
      <c r="H160" s="387">
        <f>114.628*1.3</f>
        <v>149.0164</v>
      </c>
      <c r="I160" s="387">
        <f>J160+K160+L160</f>
        <v>3.12</v>
      </c>
      <c r="J160" s="387">
        <f>2.4*1.3</f>
        <v>3.12</v>
      </c>
      <c r="K160" s="387"/>
      <c r="L160" s="387"/>
      <c r="M160" s="387">
        <f>(H160+I160)*1%</f>
        <v>1.5213640000000002</v>
      </c>
      <c r="N160" s="387">
        <f>O160+P160+T160</f>
        <v>164.2956092</v>
      </c>
      <c r="O160" s="387">
        <f>114.628*1.39</f>
        <v>159.33292</v>
      </c>
      <c r="P160" s="387">
        <f>Q160+R160+S160</f>
        <v>3.3359999999999999</v>
      </c>
      <c r="Q160" s="387">
        <f>2.4*1.39</f>
        <v>3.3359999999999999</v>
      </c>
      <c r="R160" s="387"/>
      <c r="S160" s="387"/>
      <c r="T160" s="387">
        <f>(O160+P160)*1%</f>
        <v>1.6266892000000002</v>
      </c>
      <c r="U160" s="369">
        <f t="shared" si="75"/>
        <v>0.10532520000000001</v>
      </c>
      <c r="V160" s="370">
        <f t="shared" si="73"/>
        <v>0.63195120000000005</v>
      </c>
    </row>
    <row r="161" spans="1:22" s="24" customFormat="1" ht="24.75" hidden="1" customHeight="1">
      <c r="A161" s="460"/>
      <c r="B161" s="55" t="s">
        <v>2686</v>
      </c>
      <c r="C161" s="368"/>
      <c r="D161" s="367"/>
      <c r="E161" s="368"/>
      <c r="F161" s="368"/>
      <c r="G161" s="369">
        <f t="shared" si="74"/>
        <v>0</v>
      </c>
      <c r="H161" s="369"/>
      <c r="I161" s="369"/>
      <c r="J161" s="369"/>
      <c r="K161" s="369"/>
      <c r="L161" s="369"/>
      <c r="M161" s="369"/>
      <c r="N161" s="369">
        <f t="shared" si="76"/>
        <v>0</v>
      </c>
      <c r="O161" s="369"/>
      <c r="P161" s="369"/>
      <c r="Q161" s="369"/>
      <c r="R161" s="369"/>
      <c r="S161" s="369"/>
      <c r="T161" s="369"/>
      <c r="U161" s="369">
        <f t="shared" si="75"/>
        <v>0</v>
      </c>
      <c r="V161" s="370">
        <f t="shared" si="73"/>
        <v>0</v>
      </c>
    </row>
    <row r="162" spans="1:22" s="24" customFormat="1" ht="24.75" customHeight="1">
      <c r="A162" s="460"/>
      <c r="B162" s="55" t="s">
        <v>2687</v>
      </c>
      <c r="C162" s="386"/>
      <c r="D162" s="392"/>
      <c r="E162" s="386">
        <v>157</v>
      </c>
      <c r="F162" s="386">
        <v>150</v>
      </c>
      <c r="G162" s="387">
        <f t="shared" si="74"/>
        <v>565.28588999999999</v>
      </c>
      <c r="H162" s="479">
        <f>430.53*1.3</f>
        <v>559.68899999999996</v>
      </c>
      <c r="I162" s="387">
        <f t="shared" ref="I162:I169" si="77">J162+K162+L162</f>
        <v>0</v>
      </c>
      <c r="J162" s="387"/>
      <c r="K162" s="387"/>
      <c r="L162" s="387"/>
      <c r="M162" s="387">
        <f>+(H162+I162)*1%</f>
        <v>5.5968900000000001</v>
      </c>
      <c r="N162" s="387">
        <f t="shared" si="76"/>
        <v>604.42106699999999</v>
      </c>
      <c r="O162" s="479">
        <f>430.53*1.39</f>
        <v>598.43669999999997</v>
      </c>
      <c r="P162" s="387">
        <f t="shared" ref="P162:P172" si="78">Q162+R162+S162</f>
        <v>0</v>
      </c>
      <c r="Q162" s="387"/>
      <c r="R162" s="387"/>
      <c r="S162" s="387"/>
      <c r="T162" s="387">
        <f>+(O162+P162)*1%</f>
        <v>5.9843669999999998</v>
      </c>
      <c r="U162" s="369">
        <f t="shared" si="75"/>
        <v>0.38747699999999963</v>
      </c>
      <c r="V162" s="370">
        <f t="shared" si="73"/>
        <v>2.3248619999999978</v>
      </c>
    </row>
    <row r="163" spans="1:22" s="24" customFormat="1" ht="25.5">
      <c r="A163" s="460">
        <v>19</v>
      </c>
      <c r="B163" s="55" t="s">
        <v>2688</v>
      </c>
      <c r="C163" s="368"/>
      <c r="D163" s="367"/>
      <c r="E163" s="368">
        <v>28</v>
      </c>
      <c r="F163" s="368">
        <v>27</v>
      </c>
      <c r="G163" s="369">
        <f t="shared" si="74"/>
        <v>109.70456380000002</v>
      </c>
      <c r="H163" s="369">
        <f>(85.44-4.74)*1.3</f>
        <v>104.91000000000001</v>
      </c>
      <c r="I163" s="369">
        <f t="shared" si="77"/>
        <v>3.70838</v>
      </c>
      <c r="J163" s="369">
        <f>(2.7-0.7)*1.3</f>
        <v>2.6</v>
      </c>
      <c r="K163" s="369">
        <f>0.8526*1.3</f>
        <v>1.1083800000000001</v>
      </c>
      <c r="L163" s="369"/>
      <c r="M163" s="369">
        <f t="shared" ref="M163:M172" si="79">(H163+I163)*1%</f>
        <v>1.0861838000000001</v>
      </c>
      <c r="N163" s="369">
        <f t="shared" si="76"/>
        <v>117.29949514</v>
      </c>
      <c r="O163" s="369">
        <f>(85.44-4.74)*1.39</f>
        <v>112.173</v>
      </c>
      <c r="P163" s="369">
        <f t="shared" si="78"/>
        <v>3.9651139999999998</v>
      </c>
      <c r="Q163" s="369">
        <f>(2.7-0.7)*1.39</f>
        <v>2.78</v>
      </c>
      <c r="R163" s="369">
        <f>0.8526*1.39</f>
        <v>1.185114</v>
      </c>
      <c r="S163" s="369"/>
      <c r="T163" s="369">
        <f t="shared" ref="T163:T172" si="80">(O163+P163)*1%</f>
        <v>1.16138114</v>
      </c>
      <c r="U163" s="369">
        <f t="shared" si="75"/>
        <v>7.519733999999989E-2</v>
      </c>
      <c r="V163" s="370">
        <f t="shared" si="73"/>
        <v>0.45118403999999934</v>
      </c>
    </row>
    <row r="164" spans="1:22" s="24" customFormat="1" ht="26.25" customHeight="1">
      <c r="A164" s="460">
        <v>20</v>
      </c>
      <c r="B164" s="55" t="s">
        <v>2689</v>
      </c>
      <c r="C164" s="368"/>
      <c r="D164" s="367"/>
      <c r="E164" s="368">
        <v>3</v>
      </c>
      <c r="F164" s="368">
        <v>3</v>
      </c>
      <c r="G164" s="369">
        <f t="shared" si="74"/>
        <v>16.37311</v>
      </c>
      <c r="H164" s="369">
        <f>11.97*1.3</f>
        <v>15.561000000000002</v>
      </c>
      <c r="I164" s="369">
        <f t="shared" si="77"/>
        <v>0.65</v>
      </c>
      <c r="J164" s="369">
        <f>0.5*1.3</f>
        <v>0.65</v>
      </c>
      <c r="K164" s="369"/>
      <c r="L164" s="369"/>
      <c r="M164" s="369">
        <f t="shared" si="79"/>
        <v>0.16211000000000003</v>
      </c>
      <c r="N164" s="369">
        <f t="shared" si="76"/>
        <v>17.506633000000001</v>
      </c>
      <c r="O164" s="369">
        <f>11.97*1.39</f>
        <v>16.638300000000001</v>
      </c>
      <c r="P164" s="369">
        <f t="shared" si="78"/>
        <v>0.69499999999999995</v>
      </c>
      <c r="Q164" s="369">
        <f>0.5*1.39</f>
        <v>0.69499999999999995</v>
      </c>
      <c r="R164" s="369"/>
      <c r="S164" s="369"/>
      <c r="T164" s="369">
        <f t="shared" si="80"/>
        <v>0.17333300000000001</v>
      </c>
      <c r="U164" s="369">
        <f t="shared" si="75"/>
        <v>1.1222999999999983E-2</v>
      </c>
      <c r="V164" s="370">
        <f t="shared" si="73"/>
        <v>6.7337999999999898E-2</v>
      </c>
    </row>
    <row r="165" spans="1:22" s="24" customFormat="1" ht="25.5">
      <c r="A165" s="460">
        <v>21</v>
      </c>
      <c r="B165" s="55" t="s">
        <v>2690</v>
      </c>
      <c r="C165" s="368"/>
      <c r="D165" s="367"/>
      <c r="E165" s="368">
        <v>8</v>
      </c>
      <c r="F165" s="368">
        <v>6</v>
      </c>
      <c r="G165" s="369">
        <f t="shared" si="74"/>
        <v>29.96266</v>
      </c>
      <c r="H165" s="369">
        <f>22.32*1.3</f>
        <v>29.016000000000002</v>
      </c>
      <c r="I165" s="369">
        <f t="shared" si="77"/>
        <v>0.65</v>
      </c>
      <c r="J165" s="369">
        <f>0.5*1.3</f>
        <v>0.65</v>
      </c>
      <c r="K165" s="369"/>
      <c r="L165" s="369"/>
      <c r="M165" s="369">
        <f t="shared" si="79"/>
        <v>0.29666000000000003</v>
      </c>
      <c r="N165" s="369">
        <f t="shared" si="76"/>
        <v>32.036997999999997</v>
      </c>
      <c r="O165" s="369">
        <f>22.32*1.39</f>
        <v>31.024799999999999</v>
      </c>
      <c r="P165" s="369">
        <f t="shared" si="78"/>
        <v>0.69499999999999995</v>
      </c>
      <c r="Q165" s="369">
        <f>0.5*1.39</f>
        <v>0.69499999999999995</v>
      </c>
      <c r="R165" s="369"/>
      <c r="S165" s="369"/>
      <c r="T165" s="369">
        <f t="shared" si="80"/>
        <v>0.31719799999999998</v>
      </c>
      <c r="U165" s="369">
        <f t="shared" si="75"/>
        <v>2.0537999999999945E-2</v>
      </c>
      <c r="V165" s="370">
        <f t="shared" si="73"/>
        <v>0.12322799999999967</v>
      </c>
    </row>
    <row r="166" spans="1:22" s="24" customFormat="1" ht="25.5">
      <c r="A166" s="460">
        <v>22</v>
      </c>
      <c r="B166" s="55" t="s">
        <v>2691</v>
      </c>
      <c r="C166" s="386"/>
      <c r="D166" s="392"/>
      <c r="E166" s="386">
        <v>15</v>
      </c>
      <c r="F166" s="386">
        <v>15</v>
      </c>
      <c r="G166" s="481">
        <f>H166+I166+M166</f>
        <v>60.988850000000006</v>
      </c>
      <c r="H166" s="481">
        <f>44.85*1.3</f>
        <v>58.305000000000007</v>
      </c>
      <c r="I166" s="481">
        <f t="shared" si="77"/>
        <v>2.08</v>
      </c>
      <c r="J166" s="481">
        <f>1.6*1.3</f>
        <v>2.08</v>
      </c>
      <c r="K166" s="481"/>
      <c r="L166" s="481"/>
      <c r="M166" s="481">
        <f t="shared" si="79"/>
        <v>0.60385000000000011</v>
      </c>
      <c r="N166" s="481">
        <f>O166+P166+T166</f>
        <v>65.211155000000005</v>
      </c>
      <c r="O166" s="481">
        <f>44.85*1.39</f>
        <v>62.341499999999996</v>
      </c>
      <c r="P166" s="481">
        <f t="shared" si="78"/>
        <v>2.2239999999999998</v>
      </c>
      <c r="Q166" s="481">
        <f>1.6*1.39</f>
        <v>2.2239999999999998</v>
      </c>
      <c r="R166" s="481"/>
      <c r="S166" s="481"/>
      <c r="T166" s="481">
        <f t="shared" si="80"/>
        <v>0.64565499999999998</v>
      </c>
      <c r="U166" s="481">
        <f t="shared" si="75"/>
        <v>4.180499999999987E-2</v>
      </c>
      <c r="V166" s="446">
        <f t="shared" si="73"/>
        <v>0.25082999999999922</v>
      </c>
    </row>
    <row r="167" spans="1:22" s="24" customFormat="1" ht="25.5">
      <c r="A167" s="460">
        <v>23</v>
      </c>
      <c r="B167" s="55" t="s">
        <v>2692</v>
      </c>
      <c r="C167" s="386"/>
      <c r="D167" s="392"/>
      <c r="E167" s="386">
        <v>15</v>
      </c>
      <c r="F167" s="386">
        <v>15</v>
      </c>
      <c r="G167" s="481">
        <f>H167+I167+M167</f>
        <v>54.488186999999996</v>
      </c>
      <c r="H167" s="481">
        <f>40.199*1.3</f>
        <v>52.258699999999997</v>
      </c>
      <c r="I167" s="481">
        <f t="shared" si="77"/>
        <v>1.6900000000000002</v>
      </c>
      <c r="J167" s="481">
        <f>1.3*1.3</f>
        <v>1.6900000000000002</v>
      </c>
      <c r="K167" s="481"/>
      <c r="L167" s="481"/>
      <c r="M167" s="481">
        <f t="shared" si="79"/>
        <v>0.53948699999999994</v>
      </c>
      <c r="N167" s="481">
        <f>O167+P167+T167</f>
        <v>58.260446099999996</v>
      </c>
      <c r="O167" s="481">
        <f>40.199*1.39</f>
        <v>55.876609999999992</v>
      </c>
      <c r="P167" s="481">
        <f t="shared" si="78"/>
        <v>1.8069999999999999</v>
      </c>
      <c r="Q167" s="481">
        <f>1.3*1.39</f>
        <v>1.8069999999999999</v>
      </c>
      <c r="R167" s="481"/>
      <c r="S167" s="481"/>
      <c r="T167" s="481">
        <f t="shared" si="80"/>
        <v>0.57683609999999996</v>
      </c>
      <c r="U167" s="481">
        <f t="shared" si="75"/>
        <v>3.7349100000000024E-2</v>
      </c>
      <c r="V167" s="446">
        <f t="shared" si="73"/>
        <v>0.22409460000000014</v>
      </c>
    </row>
    <row r="168" spans="1:22" s="24" customFormat="1" ht="38.25">
      <c r="A168" s="460">
        <v>24</v>
      </c>
      <c r="B168" s="55" t="s">
        <v>2693</v>
      </c>
      <c r="C168" s="368">
        <v>15</v>
      </c>
      <c r="D168" s="367">
        <v>14.015000000000001</v>
      </c>
      <c r="E168" s="368">
        <v>15</v>
      </c>
      <c r="F168" s="368">
        <v>15</v>
      </c>
      <c r="G168" s="369">
        <f>H168+I168+M168</f>
        <v>73.317920000000015</v>
      </c>
      <c r="H168" s="369">
        <f>54.34*1.3</f>
        <v>70.64200000000001</v>
      </c>
      <c r="I168" s="369">
        <f t="shared" si="77"/>
        <v>1.9500000000000002</v>
      </c>
      <c r="J168" s="369">
        <f>1.5*1.3</f>
        <v>1.9500000000000002</v>
      </c>
      <c r="K168" s="369"/>
      <c r="L168" s="369"/>
      <c r="M168" s="369">
        <f t="shared" si="79"/>
        <v>0.72592000000000012</v>
      </c>
      <c r="N168" s="369">
        <f>O168+P168+T168</f>
        <v>78.393776000000003</v>
      </c>
      <c r="O168" s="369">
        <f>54.34*1.39</f>
        <v>75.532600000000002</v>
      </c>
      <c r="P168" s="369">
        <f t="shared" si="78"/>
        <v>2.085</v>
      </c>
      <c r="Q168" s="369">
        <f>1.5*1.39</f>
        <v>2.085</v>
      </c>
      <c r="R168" s="369"/>
      <c r="S168" s="369"/>
      <c r="T168" s="369">
        <f t="shared" si="80"/>
        <v>0.77617599999999998</v>
      </c>
      <c r="U168" s="369">
        <f t="shared" si="75"/>
        <v>5.0255999999999856E-2</v>
      </c>
      <c r="V168" s="370">
        <f t="shared" si="73"/>
        <v>0.30153599999999914</v>
      </c>
    </row>
    <row r="169" spans="1:22" s="24" customFormat="1" ht="27.75" customHeight="1">
      <c r="A169" s="460">
        <v>25</v>
      </c>
      <c r="B169" s="55" t="s">
        <v>2694</v>
      </c>
      <c r="C169" s="386"/>
      <c r="D169" s="392"/>
      <c r="E169" s="386">
        <v>5</v>
      </c>
      <c r="F169" s="386">
        <v>4</v>
      </c>
      <c r="G169" s="481">
        <f>H169+I169+M169</f>
        <v>23.959624000000002</v>
      </c>
      <c r="H169" s="481">
        <f>15.96*1.3</f>
        <v>20.748000000000001</v>
      </c>
      <c r="I169" s="481">
        <f t="shared" si="77"/>
        <v>2.9743999999999997</v>
      </c>
      <c r="J169" s="481">
        <f>0.7*1.3</f>
        <v>0.90999999999999992</v>
      </c>
      <c r="K169" s="481">
        <f>0.249*1.3</f>
        <v>0.32369999999999999</v>
      </c>
      <c r="L169" s="481">
        <f>1.339*1.3</f>
        <v>1.7406999999999999</v>
      </c>
      <c r="M169" s="481">
        <f t="shared" si="79"/>
        <v>0.23722400000000002</v>
      </c>
      <c r="N169" s="481">
        <f>O169+P169+T169</f>
        <v>25.618367199999998</v>
      </c>
      <c r="O169" s="481">
        <f>15.96*1.39</f>
        <v>22.1844</v>
      </c>
      <c r="P169" s="481">
        <f t="shared" si="78"/>
        <v>3.1803199999999996</v>
      </c>
      <c r="Q169" s="481">
        <f>0.7*1.39</f>
        <v>0.97299999999999986</v>
      </c>
      <c r="R169" s="481">
        <f>0.249*1.39</f>
        <v>0.34610999999999997</v>
      </c>
      <c r="S169" s="481">
        <f>1.339*1.39</f>
        <v>1.8612099999999998</v>
      </c>
      <c r="T169" s="481">
        <f t="shared" si="80"/>
        <v>0.25364719999999996</v>
      </c>
      <c r="U169" s="481">
        <f t="shared" si="75"/>
        <v>1.6423199999999943E-2</v>
      </c>
      <c r="V169" s="446">
        <f t="shared" si="73"/>
        <v>9.853919999999966E-2</v>
      </c>
    </row>
    <row r="170" spans="1:22" s="24" customFormat="1" ht="25.5">
      <c r="A170" s="460">
        <v>26</v>
      </c>
      <c r="B170" s="55" t="s">
        <v>2695</v>
      </c>
      <c r="C170" s="386"/>
      <c r="D170" s="392"/>
      <c r="E170" s="386">
        <v>9</v>
      </c>
      <c r="F170" s="386">
        <v>9</v>
      </c>
      <c r="G170" s="481">
        <f t="shared" si="74"/>
        <v>39.035489999999996</v>
      </c>
      <c r="H170" s="481">
        <f>(32.4-2.67)*1.3</f>
        <v>38.648999999999994</v>
      </c>
      <c r="I170" s="481"/>
      <c r="J170" s="481">
        <f>0.5*1.3</f>
        <v>0.65</v>
      </c>
      <c r="K170" s="481"/>
      <c r="L170" s="481"/>
      <c r="M170" s="481">
        <f t="shared" si="79"/>
        <v>0.38648999999999994</v>
      </c>
      <c r="N170" s="481">
        <f t="shared" si="76"/>
        <v>42.439896999999995</v>
      </c>
      <c r="O170" s="481">
        <f>(32.4-2.67)*1.39</f>
        <v>41.324699999999993</v>
      </c>
      <c r="P170" s="481">
        <f t="shared" si="78"/>
        <v>0.69499999999999995</v>
      </c>
      <c r="Q170" s="481">
        <f>0.5*1.39</f>
        <v>0.69499999999999995</v>
      </c>
      <c r="R170" s="481"/>
      <c r="S170" s="481"/>
      <c r="T170" s="481">
        <f t="shared" si="80"/>
        <v>0.42019699999999993</v>
      </c>
      <c r="U170" s="481">
        <f t="shared" si="75"/>
        <v>3.3706999999999987E-2</v>
      </c>
      <c r="V170" s="446">
        <f t="shared" si="73"/>
        <v>0.20224199999999992</v>
      </c>
    </row>
    <row r="171" spans="1:22" s="24" customFormat="1" ht="27.75" customHeight="1">
      <c r="A171" s="460">
        <v>27</v>
      </c>
      <c r="B171" s="86" t="s">
        <v>2696</v>
      </c>
      <c r="C171" s="388"/>
      <c r="D171" s="389"/>
      <c r="E171" s="388">
        <v>8</v>
      </c>
      <c r="F171" s="388">
        <v>7</v>
      </c>
      <c r="G171" s="390">
        <f t="shared" si="74"/>
        <v>30.776720000000001</v>
      </c>
      <c r="H171" s="390">
        <v>29.562000000000001</v>
      </c>
      <c r="I171" s="387">
        <f>J171+K171+L171</f>
        <v>0.91</v>
      </c>
      <c r="J171" s="390">
        <v>0.91</v>
      </c>
      <c r="K171" s="390"/>
      <c r="L171" s="390"/>
      <c r="M171" s="481">
        <f t="shared" si="79"/>
        <v>0.30472000000000005</v>
      </c>
      <c r="N171" s="390">
        <f t="shared" si="76"/>
        <v>32.907820000000001</v>
      </c>
      <c r="O171" s="390">
        <v>31.609000000000002</v>
      </c>
      <c r="P171" s="390">
        <f t="shared" si="78"/>
        <v>0.97299999999999998</v>
      </c>
      <c r="Q171" s="390">
        <v>0.97299999999999998</v>
      </c>
      <c r="R171" s="390"/>
      <c r="S171" s="390"/>
      <c r="T171" s="481">
        <f t="shared" si="80"/>
        <v>0.32582</v>
      </c>
      <c r="U171" s="390">
        <f t="shared" si="75"/>
        <v>2.1099999999999952E-2</v>
      </c>
      <c r="V171" s="391">
        <f t="shared" si="73"/>
        <v>0.12659999999999971</v>
      </c>
    </row>
    <row r="172" spans="1:22" s="24" customFormat="1" ht="25.5">
      <c r="A172" s="460">
        <v>28</v>
      </c>
      <c r="B172" s="55" t="s">
        <v>2891</v>
      </c>
      <c r="C172" s="368"/>
      <c r="D172" s="367"/>
      <c r="E172" s="368">
        <v>26</v>
      </c>
      <c r="F172" s="368">
        <v>26</v>
      </c>
      <c r="G172" s="369">
        <f t="shared" si="74"/>
        <v>102.977277</v>
      </c>
      <c r="H172" s="369">
        <f>75.929*1.3</f>
        <v>98.707700000000003</v>
      </c>
      <c r="I172" s="369">
        <f>J172+K172+L172</f>
        <v>3.25</v>
      </c>
      <c r="J172" s="369">
        <f>2.5*1.3</f>
        <v>3.25</v>
      </c>
      <c r="K172" s="369"/>
      <c r="L172" s="369"/>
      <c r="M172" s="369">
        <f t="shared" si="79"/>
        <v>1.019577</v>
      </c>
      <c r="N172" s="369">
        <f t="shared" si="76"/>
        <v>110.10647309999999</v>
      </c>
      <c r="O172" s="369">
        <f>75.929*1.39</f>
        <v>105.54131</v>
      </c>
      <c r="P172" s="369">
        <f t="shared" si="78"/>
        <v>3.4749999999999996</v>
      </c>
      <c r="Q172" s="369">
        <f>2.5*1.39</f>
        <v>3.4749999999999996</v>
      </c>
      <c r="R172" s="369"/>
      <c r="S172" s="369"/>
      <c r="T172" s="369">
        <f t="shared" si="80"/>
        <v>1.0901630999999998</v>
      </c>
      <c r="U172" s="369">
        <f t="shared" si="75"/>
        <v>7.0586099999999874E-2</v>
      </c>
      <c r="V172" s="370">
        <f t="shared" si="73"/>
        <v>0.42351659999999924</v>
      </c>
    </row>
    <row r="173" spans="1:22" s="24" customFormat="1" ht="25.5" hidden="1">
      <c r="A173" s="460">
        <v>29</v>
      </c>
      <c r="B173" s="55" t="s">
        <v>2698</v>
      </c>
      <c r="C173" s="368"/>
      <c r="D173" s="367"/>
      <c r="E173" s="368"/>
      <c r="F173" s="368"/>
      <c r="G173" s="369">
        <f t="shared" si="74"/>
        <v>0</v>
      </c>
      <c r="H173" s="369"/>
      <c r="I173" s="369"/>
      <c r="J173" s="369"/>
      <c r="K173" s="369"/>
      <c r="L173" s="369"/>
      <c r="M173" s="369"/>
      <c r="N173" s="369">
        <f t="shared" si="76"/>
        <v>0</v>
      </c>
      <c r="O173" s="369"/>
      <c r="P173" s="369"/>
      <c r="Q173" s="369"/>
      <c r="R173" s="369"/>
      <c r="S173" s="369"/>
      <c r="T173" s="369"/>
      <c r="U173" s="369">
        <f>N173-G173</f>
        <v>0</v>
      </c>
      <c r="V173" s="370">
        <f t="shared" si="73"/>
        <v>0</v>
      </c>
    </row>
    <row r="174" spans="1:22" s="383" customFormat="1" ht="24" customHeight="1">
      <c r="A174" s="462">
        <v>9</v>
      </c>
      <c r="B174" s="482" t="s">
        <v>2537</v>
      </c>
      <c r="C174" s="404">
        <f>C175</f>
        <v>0</v>
      </c>
      <c r="D174" s="404">
        <f t="shared" ref="D174:V174" si="81">D175</f>
        <v>0</v>
      </c>
      <c r="E174" s="404">
        <f t="shared" si="81"/>
        <v>0</v>
      </c>
      <c r="F174" s="404">
        <f t="shared" si="81"/>
        <v>0</v>
      </c>
      <c r="G174" s="381">
        <f t="shared" si="81"/>
        <v>0</v>
      </c>
      <c r="H174" s="381">
        <f t="shared" si="81"/>
        <v>0</v>
      </c>
      <c r="I174" s="381">
        <f t="shared" si="81"/>
        <v>0</v>
      </c>
      <c r="J174" s="381">
        <f t="shared" si="81"/>
        <v>0</v>
      </c>
      <c r="K174" s="381">
        <f t="shared" si="81"/>
        <v>0</v>
      </c>
      <c r="L174" s="381">
        <f t="shared" si="81"/>
        <v>0</v>
      </c>
      <c r="M174" s="381">
        <f t="shared" si="81"/>
        <v>0</v>
      </c>
      <c r="N174" s="381">
        <f t="shared" si="81"/>
        <v>0</v>
      </c>
      <c r="O174" s="381">
        <f t="shared" si="81"/>
        <v>0</v>
      </c>
      <c r="P174" s="381">
        <f t="shared" si="81"/>
        <v>0</v>
      </c>
      <c r="Q174" s="381">
        <f t="shared" si="81"/>
        <v>0</v>
      </c>
      <c r="R174" s="381">
        <f t="shared" si="81"/>
        <v>0</v>
      </c>
      <c r="S174" s="381">
        <f t="shared" si="81"/>
        <v>0</v>
      </c>
      <c r="T174" s="381">
        <f t="shared" si="81"/>
        <v>0</v>
      </c>
      <c r="U174" s="381">
        <f t="shared" si="81"/>
        <v>0</v>
      </c>
      <c r="V174" s="381">
        <f t="shared" si="81"/>
        <v>0</v>
      </c>
    </row>
    <row r="175" spans="1:22" s="24" customFormat="1" ht="25.5" hidden="1">
      <c r="A175" s="460">
        <v>30</v>
      </c>
      <c r="B175" s="55" t="s">
        <v>2699</v>
      </c>
      <c r="C175" s="368">
        <f>SUM(C176:C179)</f>
        <v>0</v>
      </c>
      <c r="D175" s="368">
        <f t="shared" ref="D175:V175" si="82">SUM(D176:D179)</f>
        <v>0</v>
      </c>
      <c r="E175" s="368">
        <f t="shared" si="82"/>
        <v>0</v>
      </c>
      <c r="F175" s="368">
        <f t="shared" si="82"/>
        <v>0</v>
      </c>
      <c r="G175" s="369">
        <f t="shared" si="82"/>
        <v>0</v>
      </c>
      <c r="H175" s="369">
        <f t="shared" si="82"/>
        <v>0</v>
      </c>
      <c r="I175" s="369">
        <f t="shared" si="82"/>
        <v>0</v>
      </c>
      <c r="J175" s="369">
        <f t="shared" si="82"/>
        <v>0</v>
      </c>
      <c r="K175" s="369">
        <f t="shared" si="82"/>
        <v>0</v>
      </c>
      <c r="L175" s="369">
        <f t="shared" si="82"/>
        <v>0</v>
      </c>
      <c r="M175" s="369">
        <f t="shared" si="82"/>
        <v>0</v>
      </c>
      <c r="N175" s="369">
        <f t="shared" si="82"/>
        <v>0</v>
      </c>
      <c r="O175" s="369">
        <f t="shared" si="82"/>
        <v>0</v>
      </c>
      <c r="P175" s="369">
        <f t="shared" si="82"/>
        <v>0</v>
      </c>
      <c r="Q175" s="369">
        <f t="shared" si="82"/>
        <v>0</v>
      </c>
      <c r="R175" s="369">
        <f t="shared" si="82"/>
        <v>0</v>
      </c>
      <c r="S175" s="369">
        <f t="shared" si="82"/>
        <v>0</v>
      </c>
      <c r="T175" s="369">
        <f t="shared" si="82"/>
        <v>0</v>
      </c>
      <c r="U175" s="369">
        <f t="shared" si="82"/>
        <v>0</v>
      </c>
      <c r="V175" s="369">
        <f t="shared" si="82"/>
        <v>0</v>
      </c>
    </row>
    <row r="176" spans="1:22" s="24" customFormat="1" ht="28.5" hidden="1" customHeight="1">
      <c r="A176" s="460"/>
      <c r="B176" s="55" t="s">
        <v>2700</v>
      </c>
      <c r="C176" s="368"/>
      <c r="D176" s="367"/>
      <c r="E176" s="368"/>
      <c r="F176" s="368"/>
      <c r="G176" s="369">
        <f>H176+I176+M176</f>
        <v>0</v>
      </c>
      <c r="H176" s="369"/>
      <c r="I176" s="369"/>
      <c r="J176" s="369"/>
      <c r="K176" s="369"/>
      <c r="L176" s="369"/>
      <c r="M176" s="369"/>
      <c r="N176" s="369">
        <f>O176+P176+T176</f>
        <v>0</v>
      </c>
      <c r="O176" s="369"/>
      <c r="P176" s="369"/>
      <c r="Q176" s="369"/>
      <c r="R176" s="369"/>
      <c r="S176" s="369"/>
      <c r="T176" s="369"/>
      <c r="U176" s="369">
        <f>N176-G176</f>
        <v>0</v>
      </c>
      <c r="V176" s="370">
        <f>U176*6</f>
        <v>0</v>
      </c>
    </row>
    <row r="177" spans="1:22" s="24" customFormat="1" ht="28.5" hidden="1" customHeight="1">
      <c r="A177" s="460"/>
      <c r="B177" s="55" t="s">
        <v>2701</v>
      </c>
      <c r="C177" s="368"/>
      <c r="D177" s="367"/>
      <c r="E177" s="368"/>
      <c r="F177" s="368"/>
      <c r="G177" s="369">
        <f>H177+I177+M177</f>
        <v>0</v>
      </c>
      <c r="H177" s="369"/>
      <c r="I177" s="369"/>
      <c r="J177" s="369"/>
      <c r="K177" s="369"/>
      <c r="L177" s="369"/>
      <c r="M177" s="369"/>
      <c r="N177" s="369">
        <f>O177+P177+T177</f>
        <v>0</v>
      </c>
      <c r="O177" s="369"/>
      <c r="P177" s="369"/>
      <c r="Q177" s="369"/>
      <c r="R177" s="369"/>
      <c r="S177" s="369"/>
      <c r="T177" s="369"/>
      <c r="U177" s="369">
        <f>N177-G177</f>
        <v>0</v>
      </c>
      <c r="V177" s="370">
        <f>U177*6</f>
        <v>0</v>
      </c>
    </row>
    <row r="178" spans="1:22" s="24" customFormat="1" ht="28.5" hidden="1" customHeight="1">
      <c r="A178" s="460"/>
      <c r="B178" s="55" t="s">
        <v>2702</v>
      </c>
      <c r="C178" s="368"/>
      <c r="D178" s="367"/>
      <c r="E178" s="368"/>
      <c r="F178" s="368"/>
      <c r="G178" s="369">
        <f>H178+I178+M178</f>
        <v>0</v>
      </c>
      <c r="H178" s="369"/>
      <c r="I178" s="369"/>
      <c r="J178" s="369"/>
      <c r="K178" s="369"/>
      <c r="L178" s="369"/>
      <c r="M178" s="369"/>
      <c r="N178" s="369">
        <f>O178+P178+T178</f>
        <v>0</v>
      </c>
      <c r="O178" s="369"/>
      <c r="P178" s="369"/>
      <c r="Q178" s="369"/>
      <c r="R178" s="369"/>
      <c r="S178" s="369"/>
      <c r="T178" s="369"/>
      <c r="U178" s="369">
        <f>N178-G178</f>
        <v>0</v>
      </c>
      <c r="V178" s="370">
        <f>U178*6</f>
        <v>0</v>
      </c>
    </row>
    <row r="179" spans="1:22" s="24" customFormat="1" ht="28.5" hidden="1" customHeight="1">
      <c r="A179" s="460"/>
      <c r="B179" s="55" t="s">
        <v>2703</v>
      </c>
      <c r="C179" s="368"/>
      <c r="D179" s="367"/>
      <c r="E179" s="368"/>
      <c r="F179" s="368"/>
      <c r="G179" s="369">
        <f>H179+I179+M179</f>
        <v>0</v>
      </c>
      <c r="H179" s="369"/>
      <c r="I179" s="369"/>
      <c r="J179" s="369"/>
      <c r="K179" s="369"/>
      <c r="L179" s="369"/>
      <c r="M179" s="369"/>
      <c r="N179" s="369">
        <f>O179+P179+T179</f>
        <v>0</v>
      </c>
      <c r="O179" s="369"/>
      <c r="P179" s="369"/>
      <c r="Q179" s="369"/>
      <c r="R179" s="369"/>
      <c r="S179" s="369"/>
      <c r="T179" s="369"/>
      <c r="U179" s="369">
        <f>N179-G179</f>
        <v>0</v>
      </c>
      <c r="V179" s="370">
        <f>U179*6</f>
        <v>0</v>
      </c>
    </row>
    <row r="180" spans="1:22" s="383" customFormat="1" ht="24" customHeight="1">
      <c r="A180" s="462">
        <v>10</v>
      </c>
      <c r="B180" s="463" t="s">
        <v>2704</v>
      </c>
      <c r="C180" s="414">
        <f>C181+C216+C228+C236</f>
        <v>17</v>
      </c>
      <c r="D180" s="404">
        <f t="shared" ref="D180:V180" si="83">D181+D216+D228+D236</f>
        <v>9.3350000000000009</v>
      </c>
      <c r="E180" s="404">
        <f t="shared" si="83"/>
        <v>154</v>
      </c>
      <c r="F180" s="404">
        <f t="shared" si="83"/>
        <v>149</v>
      </c>
      <c r="G180" s="381">
        <f t="shared" si="83"/>
        <v>527.75129679999998</v>
      </c>
      <c r="H180" s="381">
        <f t="shared" si="83"/>
        <v>497.64910000000009</v>
      </c>
      <c r="I180" s="381">
        <f t="shared" si="83"/>
        <v>24.942580000000003</v>
      </c>
      <c r="J180" s="381">
        <f t="shared" si="83"/>
        <v>22.62</v>
      </c>
      <c r="K180" s="381">
        <f t="shared" si="83"/>
        <v>2.3225799999999999</v>
      </c>
      <c r="L180" s="381">
        <f t="shared" si="83"/>
        <v>0</v>
      </c>
      <c r="M180" s="381">
        <f t="shared" si="83"/>
        <v>5.1596168000000002</v>
      </c>
      <c r="N180" s="381">
        <f t="shared" si="83"/>
        <v>564.28832904000001</v>
      </c>
      <c r="O180" s="381">
        <f t="shared" si="83"/>
        <v>532.10212999999999</v>
      </c>
      <c r="P180" s="381">
        <f t="shared" si="83"/>
        <v>26.669373999999998</v>
      </c>
      <c r="Q180" s="381">
        <f t="shared" si="83"/>
        <v>24.186</v>
      </c>
      <c r="R180" s="381">
        <f t="shared" si="83"/>
        <v>2.4833739999999995</v>
      </c>
      <c r="S180" s="381">
        <f t="shared" si="83"/>
        <v>0</v>
      </c>
      <c r="T180" s="381">
        <f t="shared" si="83"/>
        <v>5.5168250399999996</v>
      </c>
      <c r="U180" s="381">
        <f t="shared" si="83"/>
        <v>0.35720823999999973</v>
      </c>
      <c r="V180" s="381">
        <f t="shared" si="83"/>
        <v>2.1432494399999986</v>
      </c>
    </row>
    <row r="181" spans="1:22" s="399" customFormat="1" ht="24" customHeight="1">
      <c r="A181" s="483"/>
      <c r="B181" s="484" t="s">
        <v>2538</v>
      </c>
      <c r="C181" s="415">
        <f>SUM(C182,C185:C187,C194:C197,C200:C201,C204,C207:C215)</f>
        <v>0</v>
      </c>
      <c r="D181" s="415">
        <f t="shared" ref="D181:V181" si="84">SUM(D182,D185:D187,D194:D197,D200:D201,D204,D207:D215)</f>
        <v>0</v>
      </c>
      <c r="E181" s="416">
        <f t="shared" si="84"/>
        <v>47</v>
      </c>
      <c r="F181" s="416">
        <f t="shared" si="84"/>
        <v>46</v>
      </c>
      <c r="G181" s="415">
        <f t="shared" si="84"/>
        <v>186.14007099999998</v>
      </c>
      <c r="H181" s="415">
        <f t="shared" si="84"/>
        <v>180.9171</v>
      </c>
      <c r="I181" s="415">
        <f t="shared" si="84"/>
        <v>3.3800000000000003</v>
      </c>
      <c r="J181" s="415">
        <f t="shared" si="84"/>
        <v>3.3800000000000003</v>
      </c>
      <c r="K181" s="415">
        <f t="shared" si="84"/>
        <v>0</v>
      </c>
      <c r="L181" s="415">
        <f t="shared" si="84"/>
        <v>0</v>
      </c>
      <c r="M181" s="415">
        <f t="shared" si="84"/>
        <v>1.8429710000000001</v>
      </c>
      <c r="N181" s="415">
        <f t="shared" si="84"/>
        <v>199.02669129999998</v>
      </c>
      <c r="O181" s="415">
        <f t="shared" si="84"/>
        <v>193.44212999999996</v>
      </c>
      <c r="P181" s="415">
        <f t="shared" si="84"/>
        <v>3.6139999999999999</v>
      </c>
      <c r="Q181" s="415">
        <f t="shared" si="84"/>
        <v>3.6139999999999999</v>
      </c>
      <c r="R181" s="415">
        <f t="shared" si="84"/>
        <v>0</v>
      </c>
      <c r="S181" s="415">
        <f t="shared" si="84"/>
        <v>0</v>
      </c>
      <c r="T181" s="415">
        <f t="shared" si="84"/>
        <v>1.9705613</v>
      </c>
      <c r="U181" s="415">
        <f t="shared" si="84"/>
        <v>0.12759029999999993</v>
      </c>
      <c r="V181" s="415">
        <f t="shared" si="84"/>
        <v>0.76554179999999972</v>
      </c>
    </row>
    <row r="182" spans="1:22" s="24" customFormat="1" ht="24" customHeight="1">
      <c r="A182" s="485">
        <v>31</v>
      </c>
      <c r="B182" s="498" t="s">
        <v>2705</v>
      </c>
      <c r="C182" s="368">
        <f>C183+C184</f>
        <v>0</v>
      </c>
      <c r="D182" s="368">
        <f t="shared" ref="D182:V182" si="85">D183+D184</f>
        <v>0</v>
      </c>
      <c r="E182" s="368">
        <f t="shared" si="85"/>
        <v>7</v>
      </c>
      <c r="F182" s="368">
        <f t="shared" si="85"/>
        <v>7</v>
      </c>
      <c r="G182" s="369">
        <f t="shared" si="85"/>
        <v>32.797427000000006</v>
      </c>
      <c r="H182" s="369">
        <f t="shared" si="85"/>
        <v>32.472700000000003</v>
      </c>
      <c r="I182" s="369">
        <f t="shared" si="85"/>
        <v>0</v>
      </c>
      <c r="J182" s="369">
        <f t="shared" si="85"/>
        <v>0</v>
      </c>
      <c r="K182" s="369">
        <f t="shared" si="85"/>
        <v>0</v>
      </c>
      <c r="L182" s="369">
        <f t="shared" si="85"/>
        <v>0</v>
      </c>
      <c r="M182" s="369">
        <f t="shared" si="85"/>
        <v>0.32472700000000004</v>
      </c>
      <c r="N182" s="369">
        <f t="shared" si="85"/>
        <v>35.068018099999996</v>
      </c>
      <c r="O182" s="369">
        <f t="shared" si="85"/>
        <v>34.720809999999993</v>
      </c>
      <c r="P182" s="369">
        <f t="shared" si="85"/>
        <v>0</v>
      </c>
      <c r="Q182" s="369">
        <f t="shared" si="85"/>
        <v>0</v>
      </c>
      <c r="R182" s="369">
        <f t="shared" si="85"/>
        <v>0</v>
      </c>
      <c r="S182" s="369">
        <f t="shared" si="85"/>
        <v>0</v>
      </c>
      <c r="T182" s="369">
        <f t="shared" si="85"/>
        <v>0.34720809999999996</v>
      </c>
      <c r="U182" s="369">
        <f t="shared" si="85"/>
        <v>2.2481099999999921E-2</v>
      </c>
      <c r="V182" s="369">
        <f t="shared" si="85"/>
        <v>0.13488659999999952</v>
      </c>
    </row>
    <row r="183" spans="1:22" s="24" customFormat="1" ht="24" hidden="1" customHeight="1">
      <c r="A183" s="485"/>
      <c r="B183" s="55" t="s">
        <v>2706</v>
      </c>
      <c r="C183" s="368"/>
      <c r="D183" s="367"/>
      <c r="E183" s="368"/>
      <c r="F183" s="417"/>
      <c r="G183" s="369">
        <f>H183+I183+M183</f>
        <v>0</v>
      </c>
      <c r="H183" s="369"/>
      <c r="I183" s="369">
        <f>J183+K183+L183</f>
        <v>0</v>
      </c>
      <c r="J183" s="369"/>
      <c r="K183" s="369"/>
      <c r="L183" s="369"/>
      <c r="M183" s="369">
        <f>(H183+I183)*1%</f>
        <v>0</v>
      </c>
      <c r="N183" s="369">
        <f>O183+P183+T183</f>
        <v>0</v>
      </c>
      <c r="O183" s="369"/>
      <c r="P183" s="369">
        <f>Q183+R183+S183</f>
        <v>0</v>
      </c>
      <c r="Q183" s="369"/>
      <c r="R183" s="369"/>
      <c r="S183" s="369"/>
      <c r="T183" s="369">
        <f>(O183+P183)*1%</f>
        <v>0</v>
      </c>
      <c r="U183" s="369">
        <f>T183-M183</f>
        <v>0</v>
      </c>
      <c r="V183" s="370">
        <f t="shared" ref="V183:V215" si="86">U183*6</f>
        <v>0</v>
      </c>
    </row>
    <row r="184" spans="1:22" s="24" customFormat="1" ht="24" customHeight="1">
      <c r="A184" s="485"/>
      <c r="B184" s="55" t="s">
        <v>2707</v>
      </c>
      <c r="C184" s="368"/>
      <c r="D184" s="367"/>
      <c r="E184" s="368">
        <v>7</v>
      </c>
      <c r="F184" s="368">
        <v>7</v>
      </c>
      <c r="G184" s="369">
        <f>H184+I184+M184</f>
        <v>32.797427000000006</v>
      </c>
      <c r="H184" s="369">
        <f>24.979*1.3</f>
        <v>32.472700000000003</v>
      </c>
      <c r="I184" s="369"/>
      <c r="J184" s="369"/>
      <c r="K184" s="369"/>
      <c r="L184" s="369"/>
      <c r="M184" s="369">
        <f>(H184+I184)*1%</f>
        <v>0.32472700000000004</v>
      </c>
      <c r="N184" s="369">
        <f>O184+P184+T184</f>
        <v>35.068018099999996</v>
      </c>
      <c r="O184" s="369">
        <f>24.979*1.39</f>
        <v>34.720809999999993</v>
      </c>
      <c r="P184" s="369"/>
      <c r="Q184" s="369"/>
      <c r="R184" s="369"/>
      <c r="S184" s="369"/>
      <c r="T184" s="369">
        <f>(O184+P184)*1%</f>
        <v>0.34720809999999996</v>
      </c>
      <c r="U184" s="369">
        <f>T184-M184</f>
        <v>2.2481099999999921E-2</v>
      </c>
      <c r="V184" s="370">
        <f t="shared" si="86"/>
        <v>0.13488659999999952</v>
      </c>
    </row>
    <row r="185" spans="1:22" s="24" customFormat="1" ht="24" hidden="1" customHeight="1">
      <c r="A185" s="485">
        <v>32</v>
      </c>
      <c r="B185" s="55" t="s">
        <v>2711</v>
      </c>
      <c r="C185" s="368"/>
      <c r="D185" s="367"/>
      <c r="E185" s="368"/>
      <c r="F185" s="368"/>
      <c r="G185" s="369">
        <f>H185+I185+M185</f>
        <v>0</v>
      </c>
      <c r="H185" s="369"/>
      <c r="I185" s="369"/>
      <c r="J185" s="369"/>
      <c r="K185" s="369"/>
      <c r="L185" s="369"/>
      <c r="M185" s="369"/>
      <c r="N185" s="369">
        <f>O185+P185+T185</f>
        <v>0</v>
      </c>
      <c r="O185" s="369"/>
      <c r="P185" s="369"/>
      <c r="Q185" s="369"/>
      <c r="R185" s="369"/>
      <c r="S185" s="369"/>
      <c r="T185" s="369"/>
      <c r="U185" s="369">
        <f>N185-G185</f>
        <v>0</v>
      </c>
      <c r="V185" s="370">
        <f t="shared" si="86"/>
        <v>0</v>
      </c>
    </row>
    <row r="186" spans="1:22" s="24" customFormat="1" ht="24" hidden="1" customHeight="1">
      <c r="A186" s="485">
        <v>33</v>
      </c>
      <c r="B186" s="55" t="s">
        <v>2712</v>
      </c>
      <c r="C186" s="368"/>
      <c r="D186" s="367"/>
      <c r="E186" s="368"/>
      <c r="F186" s="368"/>
      <c r="G186" s="369">
        <f>H186+I186+M186</f>
        <v>0</v>
      </c>
      <c r="H186" s="369"/>
      <c r="I186" s="369"/>
      <c r="J186" s="369"/>
      <c r="K186" s="369"/>
      <c r="L186" s="369"/>
      <c r="M186" s="369"/>
      <c r="N186" s="369">
        <f>O186+P186+T186</f>
        <v>0</v>
      </c>
      <c r="O186" s="369"/>
      <c r="P186" s="369"/>
      <c r="Q186" s="369"/>
      <c r="R186" s="369"/>
      <c r="S186" s="369"/>
      <c r="T186" s="369"/>
      <c r="U186" s="369">
        <f>N186-G186</f>
        <v>0</v>
      </c>
      <c r="V186" s="370">
        <f t="shared" si="86"/>
        <v>0</v>
      </c>
    </row>
    <row r="187" spans="1:22" s="24" customFormat="1" ht="24" customHeight="1">
      <c r="A187" s="485">
        <v>34</v>
      </c>
      <c r="B187" s="498" t="s">
        <v>2291</v>
      </c>
      <c r="C187" s="368">
        <f>SUM(C188:C193)</f>
        <v>0</v>
      </c>
      <c r="D187" s="368">
        <f t="shared" ref="D187:V187" si="87">SUM(D188:D193)</f>
        <v>0</v>
      </c>
      <c r="E187" s="368">
        <f t="shared" si="87"/>
        <v>11</v>
      </c>
      <c r="F187" s="368">
        <f t="shared" si="87"/>
        <v>10</v>
      </c>
      <c r="G187" s="369">
        <f t="shared" si="87"/>
        <v>31.903274000000003</v>
      </c>
      <c r="H187" s="369">
        <f t="shared" si="87"/>
        <v>31.587400000000002</v>
      </c>
      <c r="I187" s="369">
        <f t="shared" si="87"/>
        <v>0</v>
      </c>
      <c r="J187" s="369">
        <f t="shared" si="87"/>
        <v>0</v>
      </c>
      <c r="K187" s="369">
        <f t="shared" si="87"/>
        <v>0</v>
      </c>
      <c r="L187" s="369">
        <f t="shared" si="87"/>
        <v>0</v>
      </c>
      <c r="M187" s="369">
        <f t="shared" si="87"/>
        <v>0.31587400000000004</v>
      </c>
      <c r="N187" s="369">
        <f t="shared" si="87"/>
        <v>34.111962200000001</v>
      </c>
      <c r="O187" s="369">
        <f t="shared" si="87"/>
        <v>33.77422</v>
      </c>
      <c r="P187" s="369">
        <f t="shared" si="87"/>
        <v>0</v>
      </c>
      <c r="Q187" s="369">
        <f t="shared" si="87"/>
        <v>0</v>
      </c>
      <c r="R187" s="369">
        <f t="shared" si="87"/>
        <v>0</v>
      </c>
      <c r="S187" s="369">
        <f t="shared" si="87"/>
        <v>0</v>
      </c>
      <c r="T187" s="369">
        <f t="shared" si="87"/>
        <v>0.33774219999999999</v>
      </c>
      <c r="U187" s="369">
        <f t="shared" si="87"/>
        <v>2.1868199999999963E-2</v>
      </c>
      <c r="V187" s="369">
        <f t="shared" si="87"/>
        <v>0.13120919999999978</v>
      </c>
    </row>
    <row r="188" spans="1:22" s="24" customFormat="1" ht="24" hidden="1" customHeight="1">
      <c r="A188" s="485"/>
      <c r="B188" s="55" t="s">
        <v>2713</v>
      </c>
      <c r="C188" s="368"/>
      <c r="D188" s="367"/>
      <c r="E188" s="368"/>
      <c r="F188" s="368"/>
      <c r="G188" s="369">
        <f t="shared" ref="G188:G196" si="88">H188+I188+M188</f>
        <v>0</v>
      </c>
      <c r="H188" s="369"/>
      <c r="I188" s="369"/>
      <c r="J188" s="369"/>
      <c r="K188" s="369"/>
      <c r="L188" s="369"/>
      <c r="M188" s="369"/>
      <c r="N188" s="369">
        <f t="shared" ref="N188:N196" si="89">O188+P188+T188</f>
        <v>0</v>
      </c>
      <c r="O188" s="369"/>
      <c r="P188" s="369"/>
      <c r="Q188" s="369"/>
      <c r="R188" s="369"/>
      <c r="S188" s="369"/>
      <c r="T188" s="369"/>
      <c r="U188" s="369">
        <f t="shared" ref="U188:U196" si="90">N188-G188</f>
        <v>0</v>
      </c>
      <c r="V188" s="370">
        <f t="shared" si="86"/>
        <v>0</v>
      </c>
    </row>
    <row r="189" spans="1:22" s="24" customFormat="1" ht="24" hidden="1" customHeight="1">
      <c r="A189" s="485"/>
      <c r="B189" s="55" t="s">
        <v>2714</v>
      </c>
      <c r="C189" s="368"/>
      <c r="D189" s="367"/>
      <c r="E189" s="368"/>
      <c r="F189" s="368"/>
      <c r="G189" s="369">
        <f t="shared" si="88"/>
        <v>0</v>
      </c>
      <c r="H189" s="369"/>
      <c r="I189" s="369"/>
      <c r="J189" s="369"/>
      <c r="K189" s="369"/>
      <c r="L189" s="369"/>
      <c r="M189" s="369"/>
      <c r="N189" s="369">
        <f t="shared" si="89"/>
        <v>0</v>
      </c>
      <c r="O189" s="369"/>
      <c r="P189" s="369"/>
      <c r="Q189" s="369"/>
      <c r="R189" s="369"/>
      <c r="S189" s="369"/>
      <c r="T189" s="369"/>
      <c r="U189" s="369">
        <f t="shared" si="90"/>
        <v>0</v>
      </c>
      <c r="V189" s="370">
        <f t="shared" si="86"/>
        <v>0</v>
      </c>
    </row>
    <row r="190" spans="1:22" s="24" customFormat="1" ht="24" hidden="1" customHeight="1">
      <c r="A190" s="485"/>
      <c r="B190" s="55" t="s">
        <v>2715</v>
      </c>
      <c r="C190" s="368"/>
      <c r="D190" s="367"/>
      <c r="E190" s="368"/>
      <c r="F190" s="368"/>
      <c r="G190" s="369">
        <f t="shared" si="88"/>
        <v>0</v>
      </c>
      <c r="H190" s="369"/>
      <c r="I190" s="369"/>
      <c r="J190" s="369"/>
      <c r="K190" s="369"/>
      <c r="L190" s="369"/>
      <c r="M190" s="369"/>
      <c r="N190" s="369">
        <f t="shared" si="89"/>
        <v>0</v>
      </c>
      <c r="O190" s="369"/>
      <c r="P190" s="369"/>
      <c r="Q190" s="369"/>
      <c r="R190" s="369"/>
      <c r="S190" s="369"/>
      <c r="T190" s="369"/>
      <c r="U190" s="369">
        <f t="shared" si="90"/>
        <v>0</v>
      </c>
      <c r="V190" s="370">
        <f t="shared" si="86"/>
        <v>0</v>
      </c>
    </row>
    <row r="191" spans="1:22" s="24" customFormat="1" ht="24" customHeight="1">
      <c r="A191" s="485"/>
      <c r="B191" s="55" t="s">
        <v>2716</v>
      </c>
      <c r="C191" s="386"/>
      <c r="D191" s="392"/>
      <c r="E191" s="386">
        <v>6</v>
      </c>
      <c r="F191" s="386">
        <v>6</v>
      </c>
      <c r="G191" s="481">
        <f t="shared" si="88"/>
        <v>23.187580000000001</v>
      </c>
      <c r="H191" s="481">
        <f>17.66*1.3</f>
        <v>22.958000000000002</v>
      </c>
      <c r="I191" s="481">
        <f>J191+K191+L191</f>
        <v>0</v>
      </c>
      <c r="J191" s="481"/>
      <c r="K191" s="481">
        <v>0</v>
      </c>
      <c r="L191" s="481"/>
      <c r="M191" s="481">
        <f>(H191+I191)*1%</f>
        <v>0.22958000000000003</v>
      </c>
      <c r="N191" s="481">
        <f t="shared" si="89"/>
        <v>24.792874000000001</v>
      </c>
      <c r="O191" s="481">
        <f>17.66*1.39</f>
        <v>24.5474</v>
      </c>
      <c r="P191" s="481">
        <f>Q191+R191+S191</f>
        <v>0</v>
      </c>
      <c r="Q191" s="481"/>
      <c r="R191" s="481">
        <v>0</v>
      </c>
      <c r="S191" s="481"/>
      <c r="T191" s="481">
        <f>(O191+P191)*1%</f>
        <v>0.245474</v>
      </c>
      <c r="U191" s="481">
        <f>T191-M191</f>
        <v>1.5893999999999964E-2</v>
      </c>
      <c r="V191" s="446">
        <f t="shared" si="86"/>
        <v>9.5363999999999782E-2</v>
      </c>
    </row>
    <row r="192" spans="1:22" s="24" customFormat="1" ht="24" hidden="1" customHeight="1">
      <c r="A192" s="485"/>
      <c r="B192" s="55" t="s">
        <v>2717</v>
      </c>
      <c r="C192" s="368"/>
      <c r="D192" s="367"/>
      <c r="E192" s="368"/>
      <c r="F192" s="368"/>
      <c r="G192" s="369">
        <f t="shared" si="88"/>
        <v>0</v>
      </c>
      <c r="H192" s="369"/>
      <c r="I192" s="369"/>
      <c r="J192" s="369"/>
      <c r="K192" s="369"/>
      <c r="L192" s="369"/>
      <c r="M192" s="369"/>
      <c r="N192" s="369">
        <f t="shared" si="89"/>
        <v>0</v>
      </c>
      <c r="O192" s="369"/>
      <c r="P192" s="369"/>
      <c r="Q192" s="369"/>
      <c r="R192" s="369"/>
      <c r="S192" s="369"/>
      <c r="T192" s="369"/>
      <c r="U192" s="369">
        <f t="shared" si="90"/>
        <v>0</v>
      </c>
      <c r="V192" s="370">
        <f t="shared" si="86"/>
        <v>0</v>
      </c>
    </row>
    <row r="193" spans="1:22" s="24" customFormat="1" ht="24" customHeight="1">
      <c r="A193" s="485"/>
      <c r="B193" s="55" t="s">
        <v>2718</v>
      </c>
      <c r="C193" s="386"/>
      <c r="D193" s="392"/>
      <c r="E193" s="386">
        <v>5</v>
      </c>
      <c r="F193" s="386">
        <v>4</v>
      </c>
      <c r="G193" s="481">
        <f>H193+I193+M193</f>
        <v>8.7156940000000009</v>
      </c>
      <c r="H193" s="481">
        <f>6.638*1.3</f>
        <v>8.6294000000000004</v>
      </c>
      <c r="I193" s="481">
        <f>J193+K193+L193</f>
        <v>0</v>
      </c>
      <c r="J193" s="481">
        <v>0</v>
      </c>
      <c r="K193" s="481">
        <v>0</v>
      </c>
      <c r="L193" s="481">
        <v>0</v>
      </c>
      <c r="M193" s="481">
        <f>(H193+I193)*1%</f>
        <v>8.629400000000001E-2</v>
      </c>
      <c r="N193" s="481">
        <f>O193+P193+T193</f>
        <v>9.3190881999999995</v>
      </c>
      <c r="O193" s="481">
        <f>6.638*1.39</f>
        <v>9.22682</v>
      </c>
      <c r="P193" s="481">
        <f>Q193+R193+S193</f>
        <v>0</v>
      </c>
      <c r="Q193" s="481">
        <v>0</v>
      </c>
      <c r="R193" s="481">
        <v>0</v>
      </c>
      <c r="S193" s="481">
        <v>0</v>
      </c>
      <c r="T193" s="481">
        <f>(O193+P193)*1%</f>
        <v>9.2268200000000009E-2</v>
      </c>
      <c r="U193" s="481">
        <f>T193-M193</f>
        <v>5.974199999999999E-3</v>
      </c>
      <c r="V193" s="446">
        <f t="shared" si="86"/>
        <v>3.5845199999999994E-2</v>
      </c>
    </row>
    <row r="194" spans="1:22" s="24" customFormat="1" ht="27.75" hidden="1" customHeight="1">
      <c r="A194" s="485">
        <v>35</v>
      </c>
      <c r="B194" s="498" t="s">
        <v>2721</v>
      </c>
      <c r="C194" s="368"/>
      <c r="D194" s="367"/>
      <c r="E194" s="368"/>
      <c r="F194" s="368"/>
      <c r="G194" s="369">
        <f t="shared" si="88"/>
        <v>0</v>
      </c>
      <c r="H194" s="369"/>
      <c r="I194" s="369"/>
      <c r="J194" s="369"/>
      <c r="K194" s="369"/>
      <c r="L194" s="369"/>
      <c r="M194" s="369"/>
      <c r="N194" s="369">
        <f t="shared" si="89"/>
        <v>0</v>
      </c>
      <c r="O194" s="369"/>
      <c r="P194" s="369"/>
      <c r="Q194" s="369"/>
      <c r="R194" s="369"/>
      <c r="S194" s="369"/>
      <c r="T194" s="369"/>
      <c r="U194" s="369">
        <f t="shared" si="90"/>
        <v>0</v>
      </c>
      <c r="V194" s="370">
        <f t="shared" si="86"/>
        <v>0</v>
      </c>
    </row>
    <row r="195" spans="1:22" s="24" customFormat="1" ht="27.75" hidden="1" customHeight="1">
      <c r="A195" s="485">
        <v>36</v>
      </c>
      <c r="B195" s="55" t="s">
        <v>2722</v>
      </c>
      <c r="C195" s="368"/>
      <c r="D195" s="367"/>
      <c r="E195" s="368"/>
      <c r="F195" s="368"/>
      <c r="G195" s="369">
        <f t="shared" si="88"/>
        <v>0</v>
      </c>
      <c r="H195" s="369"/>
      <c r="I195" s="369"/>
      <c r="J195" s="369"/>
      <c r="K195" s="369"/>
      <c r="L195" s="369"/>
      <c r="M195" s="369"/>
      <c r="N195" s="369">
        <f t="shared" si="89"/>
        <v>0</v>
      </c>
      <c r="O195" s="369"/>
      <c r="P195" s="369"/>
      <c r="Q195" s="369"/>
      <c r="R195" s="369"/>
      <c r="S195" s="369"/>
      <c r="T195" s="369"/>
      <c r="U195" s="369">
        <f t="shared" si="90"/>
        <v>0</v>
      </c>
      <c r="V195" s="370">
        <f t="shared" si="86"/>
        <v>0</v>
      </c>
    </row>
    <row r="196" spans="1:22" s="24" customFormat="1" ht="27.75" hidden="1" customHeight="1">
      <c r="A196" s="485">
        <v>37</v>
      </c>
      <c r="B196" s="55" t="s">
        <v>2478</v>
      </c>
      <c r="C196" s="368"/>
      <c r="D196" s="367"/>
      <c r="E196" s="368"/>
      <c r="F196" s="368"/>
      <c r="G196" s="369">
        <f t="shared" si="88"/>
        <v>0</v>
      </c>
      <c r="H196" s="369"/>
      <c r="I196" s="369"/>
      <c r="J196" s="369"/>
      <c r="K196" s="369"/>
      <c r="L196" s="369"/>
      <c r="M196" s="369"/>
      <c r="N196" s="369">
        <f t="shared" si="89"/>
        <v>0</v>
      </c>
      <c r="O196" s="369"/>
      <c r="P196" s="369"/>
      <c r="Q196" s="369"/>
      <c r="R196" s="369"/>
      <c r="S196" s="369"/>
      <c r="T196" s="369"/>
      <c r="U196" s="369">
        <f t="shared" si="90"/>
        <v>0</v>
      </c>
      <c r="V196" s="370">
        <f t="shared" si="86"/>
        <v>0</v>
      </c>
    </row>
    <row r="197" spans="1:22" s="24" customFormat="1" ht="27.75" customHeight="1">
      <c r="A197" s="485">
        <v>38</v>
      </c>
      <c r="B197" s="498" t="s">
        <v>2723</v>
      </c>
      <c r="C197" s="368">
        <f>SUM(C198:C199)</f>
        <v>0</v>
      </c>
      <c r="D197" s="368">
        <f t="shared" ref="D197:V197" si="91">SUM(D198:D199)</f>
        <v>0</v>
      </c>
      <c r="E197" s="368">
        <f t="shared" si="91"/>
        <v>14</v>
      </c>
      <c r="F197" s="368">
        <f t="shared" si="91"/>
        <v>14</v>
      </c>
      <c r="G197" s="369">
        <f t="shared" si="91"/>
        <v>45.180329999999998</v>
      </c>
      <c r="H197" s="369">
        <f t="shared" si="91"/>
        <v>44.732999999999997</v>
      </c>
      <c r="I197" s="369">
        <f t="shared" si="91"/>
        <v>0</v>
      </c>
      <c r="J197" s="369">
        <f t="shared" si="91"/>
        <v>0</v>
      </c>
      <c r="K197" s="369">
        <f t="shared" si="91"/>
        <v>0</v>
      </c>
      <c r="L197" s="369">
        <f t="shared" si="91"/>
        <v>0</v>
      </c>
      <c r="M197" s="369">
        <f t="shared" si="91"/>
        <v>0.44733000000000001</v>
      </c>
      <c r="N197" s="369">
        <f t="shared" si="91"/>
        <v>48.308198999999995</v>
      </c>
      <c r="O197" s="369">
        <f t="shared" si="91"/>
        <v>47.829899999999995</v>
      </c>
      <c r="P197" s="369">
        <f t="shared" si="91"/>
        <v>0</v>
      </c>
      <c r="Q197" s="369">
        <f t="shared" si="91"/>
        <v>0</v>
      </c>
      <c r="R197" s="369">
        <f t="shared" si="91"/>
        <v>0</v>
      </c>
      <c r="S197" s="369">
        <f t="shared" si="91"/>
        <v>0</v>
      </c>
      <c r="T197" s="369">
        <f t="shared" si="91"/>
        <v>0.47829899999999997</v>
      </c>
      <c r="U197" s="369">
        <f t="shared" si="91"/>
        <v>3.0968999999999969E-2</v>
      </c>
      <c r="V197" s="369">
        <f t="shared" si="91"/>
        <v>0.18581399999999981</v>
      </c>
    </row>
    <row r="198" spans="1:22" s="24" customFormat="1" ht="27.75" hidden="1" customHeight="1">
      <c r="A198" s="485"/>
      <c r="B198" s="55" t="s">
        <v>2724</v>
      </c>
      <c r="C198" s="368"/>
      <c r="D198" s="367"/>
      <c r="E198" s="368"/>
      <c r="F198" s="368"/>
      <c r="G198" s="369">
        <f>H198+I198+M198</f>
        <v>0</v>
      </c>
      <c r="H198" s="369"/>
      <c r="I198" s="369"/>
      <c r="J198" s="369"/>
      <c r="K198" s="369"/>
      <c r="L198" s="369"/>
      <c r="M198" s="369"/>
      <c r="N198" s="369">
        <f>O198+P198+T198</f>
        <v>0</v>
      </c>
      <c r="O198" s="369"/>
      <c r="P198" s="369"/>
      <c r="Q198" s="369"/>
      <c r="R198" s="369"/>
      <c r="S198" s="369"/>
      <c r="T198" s="369"/>
      <c r="U198" s="369">
        <f>N198-G198</f>
        <v>0</v>
      </c>
      <c r="V198" s="370">
        <f t="shared" si="86"/>
        <v>0</v>
      </c>
    </row>
    <row r="199" spans="1:22" s="24" customFormat="1" ht="27.75" customHeight="1">
      <c r="A199" s="485"/>
      <c r="B199" s="55" t="s">
        <v>2725</v>
      </c>
      <c r="C199" s="368"/>
      <c r="D199" s="367"/>
      <c r="E199" s="368">
        <v>14</v>
      </c>
      <c r="F199" s="368">
        <v>14</v>
      </c>
      <c r="G199" s="369">
        <f>H199+I199+M199</f>
        <v>45.180329999999998</v>
      </c>
      <c r="H199" s="369">
        <f>34.41*1.3</f>
        <v>44.732999999999997</v>
      </c>
      <c r="I199" s="369">
        <f>J199+K199+L199</f>
        <v>0</v>
      </c>
      <c r="J199" s="369"/>
      <c r="K199" s="369"/>
      <c r="L199" s="369"/>
      <c r="M199" s="369">
        <f>(H199+I199)*1%</f>
        <v>0.44733000000000001</v>
      </c>
      <c r="N199" s="369">
        <f>O199+P199+T199</f>
        <v>48.308198999999995</v>
      </c>
      <c r="O199" s="369">
        <f>34.41*1.39</f>
        <v>47.829899999999995</v>
      </c>
      <c r="P199" s="369">
        <f>Q199+R199+S199</f>
        <v>0</v>
      </c>
      <c r="Q199" s="369"/>
      <c r="R199" s="369"/>
      <c r="S199" s="369"/>
      <c r="T199" s="369">
        <f>(O199+P199)*1%</f>
        <v>0.47829899999999997</v>
      </c>
      <c r="U199" s="369">
        <f>T199-M199</f>
        <v>3.0968999999999969E-2</v>
      </c>
      <c r="V199" s="370">
        <f t="shared" si="86"/>
        <v>0.18581399999999981</v>
      </c>
    </row>
    <row r="200" spans="1:22" s="24" customFormat="1" ht="27.75" hidden="1" customHeight="1">
      <c r="A200" s="485">
        <v>39</v>
      </c>
      <c r="B200" s="55" t="s">
        <v>2467</v>
      </c>
      <c r="C200" s="368"/>
      <c r="D200" s="367"/>
      <c r="E200" s="368"/>
      <c r="F200" s="368"/>
      <c r="G200" s="369">
        <f>H200+I200+M200</f>
        <v>0</v>
      </c>
      <c r="H200" s="369"/>
      <c r="I200" s="369"/>
      <c r="J200" s="369"/>
      <c r="K200" s="369"/>
      <c r="L200" s="369"/>
      <c r="M200" s="369"/>
      <c r="N200" s="369">
        <f>O200+P200+T200</f>
        <v>0</v>
      </c>
      <c r="O200" s="369"/>
      <c r="P200" s="369"/>
      <c r="Q200" s="369"/>
      <c r="R200" s="369"/>
      <c r="S200" s="369"/>
      <c r="T200" s="369"/>
      <c r="U200" s="369">
        <f>N200-G200</f>
        <v>0</v>
      </c>
      <c r="V200" s="370">
        <f t="shared" si="86"/>
        <v>0</v>
      </c>
    </row>
    <row r="201" spans="1:22" s="24" customFormat="1" ht="27.75" hidden="1" customHeight="1">
      <c r="A201" s="485">
        <v>40</v>
      </c>
      <c r="B201" s="55" t="s">
        <v>2726</v>
      </c>
      <c r="C201" s="368">
        <f>SUM(C202:C203)</f>
        <v>0</v>
      </c>
      <c r="D201" s="368">
        <f t="shared" ref="D201:V201" si="92">SUM(D202:D203)</f>
        <v>0</v>
      </c>
      <c r="E201" s="368">
        <f t="shared" si="92"/>
        <v>0</v>
      </c>
      <c r="F201" s="368">
        <f t="shared" si="92"/>
        <v>0</v>
      </c>
      <c r="G201" s="369">
        <f t="shared" si="92"/>
        <v>0</v>
      </c>
      <c r="H201" s="369">
        <f t="shared" si="92"/>
        <v>0</v>
      </c>
      <c r="I201" s="369">
        <f t="shared" si="92"/>
        <v>0</v>
      </c>
      <c r="J201" s="369">
        <f t="shared" si="92"/>
        <v>0</v>
      </c>
      <c r="K201" s="369">
        <f t="shared" si="92"/>
        <v>0</v>
      </c>
      <c r="L201" s="369">
        <f t="shared" si="92"/>
        <v>0</v>
      </c>
      <c r="M201" s="369">
        <f t="shared" si="92"/>
        <v>0</v>
      </c>
      <c r="N201" s="369">
        <f t="shared" si="92"/>
        <v>0</v>
      </c>
      <c r="O201" s="369">
        <f t="shared" si="92"/>
        <v>0</v>
      </c>
      <c r="P201" s="369">
        <f t="shared" si="92"/>
        <v>0</v>
      </c>
      <c r="Q201" s="369">
        <f t="shared" si="92"/>
        <v>0</v>
      </c>
      <c r="R201" s="369">
        <f t="shared" si="92"/>
        <v>0</v>
      </c>
      <c r="S201" s="369">
        <f t="shared" si="92"/>
        <v>0</v>
      </c>
      <c r="T201" s="369">
        <f t="shared" si="92"/>
        <v>0</v>
      </c>
      <c r="U201" s="369">
        <f t="shared" si="92"/>
        <v>0</v>
      </c>
      <c r="V201" s="369">
        <f t="shared" si="92"/>
        <v>0</v>
      </c>
    </row>
    <row r="202" spans="1:22" s="24" customFormat="1" ht="27.75" hidden="1" customHeight="1">
      <c r="A202" s="485"/>
      <c r="B202" s="55" t="s">
        <v>2727</v>
      </c>
      <c r="C202" s="368"/>
      <c r="D202" s="367"/>
      <c r="E202" s="368"/>
      <c r="F202" s="368"/>
      <c r="G202" s="369">
        <f>H202+I202+M202</f>
        <v>0</v>
      </c>
      <c r="H202" s="369"/>
      <c r="I202" s="369"/>
      <c r="J202" s="369"/>
      <c r="K202" s="369"/>
      <c r="L202" s="369"/>
      <c r="M202" s="369"/>
      <c r="N202" s="369">
        <f>O202+P202+T202</f>
        <v>0</v>
      </c>
      <c r="O202" s="369"/>
      <c r="P202" s="369"/>
      <c r="Q202" s="369"/>
      <c r="R202" s="369"/>
      <c r="S202" s="369"/>
      <c r="T202" s="369"/>
      <c r="U202" s="369">
        <f>N202-G202</f>
        <v>0</v>
      </c>
      <c r="V202" s="370">
        <f t="shared" si="86"/>
        <v>0</v>
      </c>
    </row>
    <row r="203" spans="1:22" s="24" customFormat="1" ht="27.75" hidden="1" customHeight="1">
      <c r="A203" s="485"/>
      <c r="B203" s="55" t="s">
        <v>2728</v>
      </c>
      <c r="C203" s="368"/>
      <c r="D203" s="367"/>
      <c r="E203" s="368"/>
      <c r="F203" s="368"/>
      <c r="G203" s="369">
        <f>H203+I203+M203</f>
        <v>0</v>
      </c>
      <c r="H203" s="369"/>
      <c r="I203" s="369"/>
      <c r="J203" s="369"/>
      <c r="K203" s="369"/>
      <c r="L203" s="369"/>
      <c r="M203" s="369"/>
      <c r="N203" s="369">
        <f>O203+P203+T203</f>
        <v>0</v>
      </c>
      <c r="O203" s="369"/>
      <c r="P203" s="369"/>
      <c r="Q203" s="369"/>
      <c r="R203" s="369"/>
      <c r="S203" s="369"/>
      <c r="T203" s="369"/>
      <c r="U203" s="369">
        <f>N203-G203</f>
        <v>0</v>
      </c>
      <c r="V203" s="370">
        <f t="shared" si="86"/>
        <v>0</v>
      </c>
    </row>
    <row r="204" spans="1:22" s="24" customFormat="1" ht="27.75" customHeight="1">
      <c r="A204" s="485">
        <v>41</v>
      </c>
      <c r="B204" s="498" t="s">
        <v>2479</v>
      </c>
      <c r="C204" s="368">
        <f>SUM(C205:C206)</f>
        <v>0</v>
      </c>
      <c r="D204" s="368">
        <f t="shared" ref="D204:V204" si="93">SUM(D205:D206)</f>
        <v>0</v>
      </c>
      <c r="E204" s="368">
        <f t="shared" si="93"/>
        <v>15</v>
      </c>
      <c r="F204" s="368">
        <f t="shared" si="93"/>
        <v>15</v>
      </c>
      <c r="G204" s="369">
        <f t="shared" si="93"/>
        <v>76.259039999999985</v>
      </c>
      <c r="H204" s="369">
        <f t="shared" si="93"/>
        <v>72.123999999999995</v>
      </c>
      <c r="I204" s="369">
        <f t="shared" si="93"/>
        <v>3.3800000000000003</v>
      </c>
      <c r="J204" s="369">
        <f t="shared" si="93"/>
        <v>3.3800000000000003</v>
      </c>
      <c r="K204" s="369">
        <f t="shared" si="93"/>
        <v>0</v>
      </c>
      <c r="L204" s="369">
        <f t="shared" si="93"/>
        <v>0</v>
      </c>
      <c r="M204" s="369">
        <f t="shared" si="93"/>
        <v>0.75503999999999993</v>
      </c>
      <c r="N204" s="369">
        <f t="shared" si="93"/>
        <v>81.538511999999997</v>
      </c>
      <c r="O204" s="369">
        <f t="shared" si="93"/>
        <v>77.117199999999997</v>
      </c>
      <c r="P204" s="369">
        <f t="shared" si="93"/>
        <v>3.6139999999999999</v>
      </c>
      <c r="Q204" s="369">
        <f t="shared" si="93"/>
        <v>3.6139999999999999</v>
      </c>
      <c r="R204" s="369">
        <f t="shared" si="93"/>
        <v>0</v>
      </c>
      <c r="S204" s="369">
        <f t="shared" si="93"/>
        <v>0</v>
      </c>
      <c r="T204" s="369">
        <f t="shared" si="93"/>
        <v>0.80731200000000003</v>
      </c>
      <c r="U204" s="369">
        <f t="shared" si="93"/>
        <v>5.2272000000000096E-2</v>
      </c>
      <c r="V204" s="369">
        <f t="shared" si="93"/>
        <v>0.31363200000000058</v>
      </c>
    </row>
    <row r="205" spans="1:22" s="24" customFormat="1" ht="27.75" hidden="1" customHeight="1">
      <c r="A205" s="485"/>
      <c r="B205" s="86" t="s">
        <v>2729</v>
      </c>
      <c r="C205" s="368"/>
      <c r="D205" s="367"/>
      <c r="E205" s="368"/>
      <c r="F205" s="368"/>
      <c r="G205" s="369">
        <f t="shared" ref="G205:G215" si="94">H205+I205+M205</f>
        <v>0</v>
      </c>
      <c r="H205" s="369"/>
      <c r="I205" s="369"/>
      <c r="J205" s="369"/>
      <c r="K205" s="369"/>
      <c r="L205" s="369"/>
      <c r="M205" s="369"/>
      <c r="N205" s="369">
        <f t="shared" ref="N205:N215" si="95">O205+P205+T205</f>
        <v>0</v>
      </c>
      <c r="O205" s="369"/>
      <c r="P205" s="369"/>
      <c r="Q205" s="369"/>
      <c r="R205" s="369"/>
      <c r="S205" s="369"/>
      <c r="T205" s="369"/>
      <c r="U205" s="369">
        <f t="shared" ref="U205:U215" si="96">N205-G205</f>
        <v>0</v>
      </c>
      <c r="V205" s="370">
        <f t="shared" si="86"/>
        <v>0</v>
      </c>
    </row>
    <row r="206" spans="1:22" s="24" customFormat="1" ht="27.75" customHeight="1">
      <c r="A206" s="485"/>
      <c r="B206" s="499" t="s">
        <v>2730</v>
      </c>
      <c r="C206" s="386"/>
      <c r="D206" s="392"/>
      <c r="E206" s="386">
        <v>15</v>
      </c>
      <c r="F206" s="386">
        <v>15</v>
      </c>
      <c r="G206" s="387">
        <f>H206+I206+M206</f>
        <v>76.259039999999985</v>
      </c>
      <c r="H206" s="387">
        <f>55.48*1.3</f>
        <v>72.123999999999995</v>
      </c>
      <c r="I206" s="387">
        <f>J206+K206+L206</f>
        <v>3.3800000000000003</v>
      </c>
      <c r="J206" s="387">
        <f>2.6*1.3</f>
        <v>3.3800000000000003</v>
      </c>
      <c r="K206" s="387"/>
      <c r="L206" s="387"/>
      <c r="M206" s="387">
        <f>(H206+I206)*1%</f>
        <v>0.75503999999999993</v>
      </c>
      <c r="N206" s="387">
        <f>O206+P206+T206</f>
        <v>81.538511999999997</v>
      </c>
      <c r="O206" s="387">
        <f>55.48*1.39</f>
        <v>77.117199999999997</v>
      </c>
      <c r="P206" s="387">
        <f>Q206+R206+S206</f>
        <v>3.6139999999999999</v>
      </c>
      <c r="Q206" s="387">
        <f>2.6*1.39</f>
        <v>3.6139999999999999</v>
      </c>
      <c r="R206" s="387"/>
      <c r="S206" s="387"/>
      <c r="T206" s="387">
        <f>(O206+P206)*1%</f>
        <v>0.80731200000000003</v>
      </c>
      <c r="U206" s="387">
        <f>T206-M206</f>
        <v>5.2272000000000096E-2</v>
      </c>
      <c r="V206" s="393">
        <f t="shared" si="86"/>
        <v>0.31363200000000058</v>
      </c>
    </row>
    <row r="207" spans="1:22" s="24" customFormat="1" ht="27.75" hidden="1" customHeight="1">
      <c r="A207" s="485">
        <v>42</v>
      </c>
      <c r="B207" s="55" t="s">
        <v>2300</v>
      </c>
      <c r="C207" s="368"/>
      <c r="D207" s="367"/>
      <c r="E207" s="368"/>
      <c r="F207" s="368"/>
      <c r="G207" s="369">
        <f t="shared" si="94"/>
        <v>0</v>
      </c>
      <c r="H207" s="369"/>
      <c r="I207" s="369"/>
      <c r="J207" s="369"/>
      <c r="K207" s="369"/>
      <c r="L207" s="369"/>
      <c r="M207" s="369"/>
      <c r="N207" s="369">
        <f t="shared" si="95"/>
        <v>0</v>
      </c>
      <c r="O207" s="369"/>
      <c r="P207" s="369"/>
      <c r="Q207" s="369"/>
      <c r="R207" s="369"/>
      <c r="S207" s="369"/>
      <c r="T207" s="369"/>
      <c r="U207" s="369">
        <f t="shared" si="96"/>
        <v>0</v>
      </c>
      <c r="V207" s="370">
        <f t="shared" si="86"/>
        <v>0</v>
      </c>
    </row>
    <row r="208" spans="1:22" s="24" customFormat="1" ht="27.75" hidden="1" customHeight="1">
      <c r="A208" s="485">
        <v>43</v>
      </c>
      <c r="B208" s="55" t="s">
        <v>2731</v>
      </c>
      <c r="C208" s="368"/>
      <c r="D208" s="367"/>
      <c r="E208" s="368"/>
      <c r="F208" s="368"/>
      <c r="G208" s="369">
        <f t="shared" si="94"/>
        <v>0</v>
      </c>
      <c r="H208" s="369"/>
      <c r="I208" s="369"/>
      <c r="J208" s="369"/>
      <c r="K208" s="369"/>
      <c r="L208" s="369"/>
      <c r="M208" s="369"/>
      <c r="N208" s="369">
        <f t="shared" si="95"/>
        <v>0</v>
      </c>
      <c r="O208" s="369"/>
      <c r="P208" s="369"/>
      <c r="Q208" s="369"/>
      <c r="R208" s="369"/>
      <c r="S208" s="369"/>
      <c r="T208" s="369"/>
      <c r="U208" s="369">
        <f t="shared" si="96"/>
        <v>0</v>
      </c>
      <c r="V208" s="370">
        <f t="shared" si="86"/>
        <v>0</v>
      </c>
    </row>
    <row r="209" spans="1:22" s="24" customFormat="1" ht="27.75" hidden="1" customHeight="1">
      <c r="A209" s="485">
        <v>44</v>
      </c>
      <c r="B209" s="498" t="s">
        <v>2666</v>
      </c>
      <c r="C209" s="368"/>
      <c r="D209" s="367"/>
      <c r="E209" s="368"/>
      <c r="F209" s="368"/>
      <c r="G209" s="369">
        <f t="shared" si="94"/>
        <v>0</v>
      </c>
      <c r="H209" s="369"/>
      <c r="I209" s="369"/>
      <c r="J209" s="369"/>
      <c r="K209" s="369"/>
      <c r="L209" s="369"/>
      <c r="M209" s="369"/>
      <c r="N209" s="369">
        <f t="shared" si="95"/>
        <v>0</v>
      </c>
      <c r="O209" s="369"/>
      <c r="P209" s="369"/>
      <c r="Q209" s="369"/>
      <c r="R209" s="369"/>
      <c r="S209" s="369"/>
      <c r="T209" s="369"/>
      <c r="U209" s="369">
        <f t="shared" si="96"/>
        <v>0</v>
      </c>
      <c r="V209" s="370">
        <f t="shared" si="86"/>
        <v>0</v>
      </c>
    </row>
    <row r="210" spans="1:22" s="24" customFormat="1" ht="27.75" hidden="1" customHeight="1">
      <c r="A210" s="485">
        <v>45</v>
      </c>
      <c r="B210" s="55" t="s">
        <v>2732</v>
      </c>
      <c r="C210" s="368"/>
      <c r="D210" s="367"/>
      <c r="E210" s="368"/>
      <c r="F210" s="368"/>
      <c r="G210" s="369">
        <f t="shared" si="94"/>
        <v>0</v>
      </c>
      <c r="H210" s="369"/>
      <c r="I210" s="369"/>
      <c r="J210" s="369"/>
      <c r="K210" s="369"/>
      <c r="L210" s="369"/>
      <c r="M210" s="369"/>
      <c r="N210" s="369">
        <f t="shared" si="95"/>
        <v>0</v>
      </c>
      <c r="O210" s="369"/>
      <c r="P210" s="369"/>
      <c r="Q210" s="369"/>
      <c r="R210" s="369"/>
      <c r="S210" s="369"/>
      <c r="T210" s="369"/>
      <c r="U210" s="369">
        <f t="shared" si="96"/>
        <v>0</v>
      </c>
      <c r="V210" s="370">
        <f t="shared" si="86"/>
        <v>0</v>
      </c>
    </row>
    <row r="211" spans="1:22" s="24" customFormat="1" ht="27.75" hidden="1" customHeight="1">
      <c r="A211" s="485">
        <v>46</v>
      </c>
      <c r="B211" s="55" t="s">
        <v>2292</v>
      </c>
      <c r="C211" s="368"/>
      <c r="D211" s="367"/>
      <c r="E211" s="368"/>
      <c r="F211" s="368"/>
      <c r="G211" s="369">
        <f t="shared" si="94"/>
        <v>0</v>
      </c>
      <c r="H211" s="369"/>
      <c r="I211" s="369"/>
      <c r="J211" s="369"/>
      <c r="K211" s="369"/>
      <c r="L211" s="369"/>
      <c r="M211" s="369"/>
      <c r="N211" s="369">
        <f t="shared" si="95"/>
        <v>0</v>
      </c>
      <c r="O211" s="369"/>
      <c r="P211" s="369"/>
      <c r="Q211" s="369"/>
      <c r="R211" s="369"/>
      <c r="S211" s="369"/>
      <c r="T211" s="369"/>
      <c r="U211" s="369">
        <f t="shared" si="96"/>
        <v>0</v>
      </c>
      <c r="V211" s="370">
        <f t="shared" si="86"/>
        <v>0</v>
      </c>
    </row>
    <row r="212" spans="1:22" s="24" customFormat="1" ht="27.75" hidden="1" customHeight="1">
      <c r="A212" s="485">
        <v>47</v>
      </c>
      <c r="B212" s="55" t="s">
        <v>2293</v>
      </c>
      <c r="C212" s="368"/>
      <c r="D212" s="367"/>
      <c r="E212" s="368"/>
      <c r="F212" s="368"/>
      <c r="G212" s="369">
        <f t="shared" si="94"/>
        <v>0</v>
      </c>
      <c r="H212" s="369"/>
      <c r="I212" s="369"/>
      <c r="J212" s="369"/>
      <c r="K212" s="369"/>
      <c r="L212" s="369"/>
      <c r="M212" s="369"/>
      <c r="N212" s="369">
        <f t="shared" si="95"/>
        <v>0</v>
      </c>
      <c r="O212" s="369"/>
      <c r="P212" s="369"/>
      <c r="Q212" s="369"/>
      <c r="R212" s="369"/>
      <c r="S212" s="369"/>
      <c r="T212" s="369"/>
      <c r="U212" s="369">
        <f t="shared" si="96"/>
        <v>0</v>
      </c>
      <c r="V212" s="370">
        <f t="shared" si="86"/>
        <v>0</v>
      </c>
    </row>
    <row r="213" spans="1:22" s="24" customFormat="1" ht="27.75" hidden="1" customHeight="1">
      <c r="A213" s="485">
        <v>48</v>
      </c>
      <c r="B213" s="86" t="s">
        <v>2733</v>
      </c>
      <c r="C213" s="368"/>
      <c r="D213" s="367"/>
      <c r="E213" s="368"/>
      <c r="F213" s="368"/>
      <c r="G213" s="369">
        <f t="shared" si="94"/>
        <v>0</v>
      </c>
      <c r="H213" s="369"/>
      <c r="I213" s="369"/>
      <c r="J213" s="369"/>
      <c r="K213" s="369"/>
      <c r="L213" s="369"/>
      <c r="M213" s="369"/>
      <c r="N213" s="369">
        <f t="shared" si="95"/>
        <v>0</v>
      </c>
      <c r="O213" s="369"/>
      <c r="P213" s="369"/>
      <c r="Q213" s="369"/>
      <c r="R213" s="369"/>
      <c r="S213" s="369"/>
      <c r="T213" s="369"/>
      <c r="U213" s="369">
        <f t="shared" si="96"/>
        <v>0</v>
      </c>
      <c r="V213" s="370">
        <f t="shared" si="86"/>
        <v>0</v>
      </c>
    </row>
    <row r="214" spans="1:22" s="24" customFormat="1" ht="27.75" hidden="1" customHeight="1">
      <c r="A214" s="485">
        <v>49</v>
      </c>
      <c r="B214" s="86" t="s">
        <v>2734</v>
      </c>
      <c r="C214" s="368"/>
      <c r="D214" s="367"/>
      <c r="E214" s="368"/>
      <c r="F214" s="368"/>
      <c r="G214" s="369">
        <f t="shared" si="94"/>
        <v>0</v>
      </c>
      <c r="H214" s="369"/>
      <c r="I214" s="369"/>
      <c r="J214" s="369"/>
      <c r="K214" s="369"/>
      <c r="L214" s="369"/>
      <c r="M214" s="369"/>
      <c r="N214" s="369">
        <f t="shared" si="95"/>
        <v>0</v>
      </c>
      <c r="O214" s="369"/>
      <c r="P214" s="369"/>
      <c r="Q214" s="369"/>
      <c r="R214" s="369"/>
      <c r="S214" s="369"/>
      <c r="T214" s="369"/>
      <c r="U214" s="369">
        <f t="shared" si="96"/>
        <v>0</v>
      </c>
      <c r="V214" s="370">
        <f t="shared" si="86"/>
        <v>0</v>
      </c>
    </row>
    <row r="215" spans="1:22" s="24" customFormat="1" ht="27.75" hidden="1" customHeight="1">
      <c r="A215" s="485">
        <v>50</v>
      </c>
      <c r="B215" s="55" t="s">
        <v>2735</v>
      </c>
      <c r="C215" s="368"/>
      <c r="D215" s="367"/>
      <c r="E215" s="368"/>
      <c r="F215" s="368"/>
      <c r="G215" s="369">
        <f t="shared" si="94"/>
        <v>0</v>
      </c>
      <c r="H215" s="369"/>
      <c r="I215" s="369"/>
      <c r="J215" s="369"/>
      <c r="K215" s="369"/>
      <c r="L215" s="369"/>
      <c r="M215" s="369"/>
      <c r="N215" s="369">
        <f t="shared" si="95"/>
        <v>0</v>
      </c>
      <c r="O215" s="369"/>
      <c r="P215" s="369"/>
      <c r="Q215" s="369"/>
      <c r="R215" s="369"/>
      <c r="S215" s="369"/>
      <c r="T215" s="369"/>
      <c r="U215" s="369">
        <f t="shared" si="96"/>
        <v>0</v>
      </c>
      <c r="V215" s="370">
        <f t="shared" si="86"/>
        <v>0</v>
      </c>
    </row>
    <row r="216" spans="1:22" s="399" customFormat="1" ht="28.5" customHeight="1">
      <c r="A216" s="483"/>
      <c r="B216" s="484" t="s">
        <v>2539</v>
      </c>
      <c r="C216" s="394">
        <f>C217</f>
        <v>0</v>
      </c>
      <c r="D216" s="394">
        <f t="shared" ref="D216:V216" si="97">D217</f>
        <v>0</v>
      </c>
      <c r="E216" s="394">
        <f t="shared" si="97"/>
        <v>36</v>
      </c>
      <c r="F216" s="394">
        <f t="shared" si="97"/>
        <v>34</v>
      </c>
      <c r="G216" s="397">
        <f t="shared" si="97"/>
        <v>11.383710000000001</v>
      </c>
      <c r="H216" s="397">
        <f t="shared" si="97"/>
        <v>11.271000000000001</v>
      </c>
      <c r="I216" s="397">
        <f t="shared" si="97"/>
        <v>0</v>
      </c>
      <c r="J216" s="397">
        <f t="shared" si="97"/>
        <v>0</v>
      </c>
      <c r="K216" s="397">
        <f t="shared" si="97"/>
        <v>0</v>
      </c>
      <c r="L216" s="397">
        <f t="shared" si="97"/>
        <v>0</v>
      </c>
      <c r="M216" s="397">
        <f t="shared" si="97"/>
        <v>0.11271</v>
      </c>
      <c r="N216" s="397">
        <f t="shared" si="97"/>
        <v>12.171813</v>
      </c>
      <c r="O216" s="397">
        <f t="shared" si="97"/>
        <v>12.051299999999999</v>
      </c>
      <c r="P216" s="397">
        <f t="shared" si="97"/>
        <v>0</v>
      </c>
      <c r="Q216" s="397">
        <f t="shared" si="97"/>
        <v>0</v>
      </c>
      <c r="R216" s="397">
        <f t="shared" si="97"/>
        <v>0</v>
      </c>
      <c r="S216" s="397">
        <f t="shared" si="97"/>
        <v>0</v>
      </c>
      <c r="T216" s="397">
        <f t="shared" si="97"/>
        <v>0.120513</v>
      </c>
      <c r="U216" s="397">
        <f t="shared" si="97"/>
        <v>7.8029999999999905E-3</v>
      </c>
      <c r="V216" s="397">
        <f t="shared" si="97"/>
        <v>4.6817999999999943E-2</v>
      </c>
    </row>
    <row r="217" spans="1:22" s="24" customFormat="1" ht="28.5" customHeight="1">
      <c r="A217" s="485">
        <v>51</v>
      </c>
      <c r="B217" s="55" t="s">
        <v>2736</v>
      </c>
      <c r="C217" s="369">
        <f t="shared" ref="C217:V217" si="98">SUM(C218:C226)</f>
        <v>0</v>
      </c>
      <c r="D217" s="369">
        <f t="shared" si="98"/>
        <v>0</v>
      </c>
      <c r="E217" s="418">
        <f t="shared" si="98"/>
        <v>36</v>
      </c>
      <c r="F217" s="418">
        <f t="shared" si="98"/>
        <v>34</v>
      </c>
      <c r="G217" s="369">
        <f t="shared" si="98"/>
        <v>11.383710000000001</v>
      </c>
      <c r="H217" s="369">
        <f t="shared" si="98"/>
        <v>11.271000000000001</v>
      </c>
      <c r="I217" s="369">
        <f t="shared" si="98"/>
        <v>0</v>
      </c>
      <c r="J217" s="369">
        <f t="shared" si="98"/>
        <v>0</v>
      </c>
      <c r="K217" s="369">
        <f t="shared" si="98"/>
        <v>0</v>
      </c>
      <c r="L217" s="369">
        <f t="shared" si="98"/>
        <v>0</v>
      </c>
      <c r="M217" s="369">
        <f t="shared" si="98"/>
        <v>0.11271</v>
      </c>
      <c r="N217" s="369">
        <f t="shared" si="98"/>
        <v>12.171813</v>
      </c>
      <c r="O217" s="369">
        <f t="shared" si="98"/>
        <v>12.051299999999999</v>
      </c>
      <c r="P217" s="369">
        <f t="shared" si="98"/>
        <v>0</v>
      </c>
      <c r="Q217" s="369">
        <f t="shared" si="98"/>
        <v>0</v>
      </c>
      <c r="R217" s="369">
        <f t="shared" si="98"/>
        <v>0</v>
      </c>
      <c r="S217" s="369">
        <f t="shared" si="98"/>
        <v>0</v>
      </c>
      <c r="T217" s="369">
        <f t="shared" si="98"/>
        <v>0.120513</v>
      </c>
      <c r="U217" s="369">
        <f t="shared" si="98"/>
        <v>7.8029999999999905E-3</v>
      </c>
      <c r="V217" s="369">
        <f t="shared" si="98"/>
        <v>4.6817999999999943E-2</v>
      </c>
    </row>
    <row r="218" spans="1:22" s="24" customFormat="1" ht="28.5" hidden="1" customHeight="1">
      <c r="A218" s="485"/>
      <c r="B218" s="97" t="s">
        <v>2737</v>
      </c>
      <c r="C218" s="368"/>
      <c r="D218" s="367"/>
      <c r="E218" s="368"/>
      <c r="F218" s="368"/>
      <c r="G218" s="369">
        <f t="shared" ref="G218:G226" si="99">H218+I218+M218</f>
        <v>0</v>
      </c>
      <c r="H218" s="369"/>
      <c r="I218" s="369"/>
      <c r="J218" s="369"/>
      <c r="K218" s="369"/>
      <c r="L218" s="369"/>
      <c r="M218" s="369"/>
      <c r="N218" s="369">
        <f t="shared" ref="N218:N226" si="100">O218+P218+T218</f>
        <v>0</v>
      </c>
      <c r="O218" s="369"/>
      <c r="P218" s="369"/>
      <c r="Q218" s="369"/>
      <c r="R218" s="369"/>
      <c r="S218" s="369"/>
      <c r="T218" s="369"/>
      <c r="U218" s="369">
        <f t="shared" ref="U218:U226" si="101">N218-G218</f>
        <v>0</v>
      </c>
      <c r="V218" s="370">
        <f t="shared" ref="V218:V226" si="102">U218*6</f>
        <v>0</v>
      </c>
    </row>
    <row r="219" spans="1:22" s="24" customFormat="1" ht="28.5" hidden="1" customHeight="1">
      <c r="A219" s="485"/>
      <c r="B219" s="97" t="s">
        <v>2738</v>
      </c>
      <c r="C219" s="368"/>
      <c r="D219" s="367"/>
      <c r="E219" s="368"/>
      <c r="F219" s="368"/>
      <c r="G219" s="369">
        <f t="shared" si="99"/>
        <v>0</v>
      </c>
      <c r="H219" s="369"/>
      <c r="I219" s="369"/>
      <c r="J219" s="369"/>
      <c r="K219" s="369"/>
      <c r="L219" s="369"/>
      <c r="M219" s="369"/>
      <c r="N219" s="369">
        <f t="shared" si="100"/>
        <v>0</v>
      </c>
      <c r="O219" s="369"/>
      <c r="P219" s="369"/>
      <c r="Q219" s="369"/>
      <c r="R219" s="369"/>
      <c r="S219" s="369"/>
      <c r="T219" s="369"/>
      <c r="U219" s="369">
        <f t="shared" si="101"/>
        <v>0</v>
      </c>
      <c r="V219" s="370">
        <f t="shared" si="102"/>
        <v>0</v>
      </c>
    </row>
    <row r="220" spans="1:22" s="24" customFormat="1" ht="28.5" hidden="1" customHeight="1">
      <c r="A220" s="485"/>
      <c r="B220" s="97" t="s">
        <v>2739</v>
      </c>
      <c r="C220" s="368"/>
      <c r="D220" s="367"/>
      <c r="E220" s="368"/>
      <c r="F220" s="368"/>
      <c r="G220" s="369">
        <f t="shared" si="99"/>
        <v>0</v>
      </c>
      <c r="H220" s="369"/>
      <c r="I220" s="369"/>
      <c r="J220" s="369"/>
      <c r="K220" s="369"/>
      <c r="L220" s="369"/>
      <c r="M220" s="369"/>
      <c r="N220" s="369">
        <f t="shared" si="100"/>
        <v>0</v>
      </c>
      <c r="O220" s="369"/>
      <c r="P220" s="369"/>
      <c r="Q220" s="369"/>
      <c r="R220" s="369"/>
      <c r="S220" s="369"/>
      <c r="T220" s="369"/>
      <c r="U220" s="369">
        <f t="shared" si="101"/>
        <v>0</v>
      </c>
      <c r="V220" s="370">
        <f t="shared" si="102"/>
        <v>0</v>
      </c>
    </row>
    <row r="221" spans="1:22" s="24" customFormat="1" ht="28.5" hidden="1" customHeight="1">
      <c r="A221" s="485"/>
      <c r="B221" s="97" t="s">
        <v>2740</v>
      </c>
      <c r="C221" s="368"/>
      <c r="D221" s="367"/>
      <c r="E221" s="368"/>
      <c r="F221" s="368"/>
      <c r="G221" s="369">
        <f t="shared" si="99"/>
        <v>0</v>
      </c>
      <c r="H221" s="369"/>
      <c r="I221" s="369"/>
      <c r="J221" s="369"/>
      <c r="K221" s="369"/>
      <c r="L221" s="369"/>
      <c r="M221" s="369"/>
      <c r="N221" s="369">
        <f t="shared" si="100"/>
        <v>0</v>
      </c>
      <c r="O221" s="369"/>
      <c r="P221" s="369"/>
      <c r="Q221" s="369"/>
      <c r="R221" s="369"/>
      <c r="S221" s="369"/>
      <c r="T221" s="369"/>
      <c r="U221" s="369">
        <f t="shared" si="101"/>
        <v>0</v>
      </c>
      <c r="V221" s="370">
        <f t="shared" si="102"/>
        <v>0</v>
      </c>
    </row>
    <row r="222" spans="1:22" s="24" customFormat="1" ht="28.5" hidden="1" customHeight="1">
      <c r="A222" s="485"/>
      <c r="B222" s="97" t="s">
        <v>2892</v>
      </c>
      <c r="C222" s="368"/>
      <c r="D222" s="367"/>
      <c r="E222" s="368"/>
      <c r="F222" s="368"/>
      <c r="G222" s="369">
        <f t="shared" si="99"/>
        <v>0</v>
      </c>
      <c r="H222" s="369"/>
      <c r="I222" s="369"/>
      <c r="J222" s="369"/>
      <c r="K222" s="369"/>
      <c r="L222" s="369"/>
      <c r="M222" s="369"/>
      <c r="N222" s="369">
        <f t="shared" si="100"/>
        <v>0</v>
      </c>
      <c r="O222" s="369"/>
      <c r="P222" s="369"/>
      <c r="Q222" s="369"/>
      <c r="R222" s="369"/>
      <c r="S222" s="369"/>
      <c r="T222" s="369"/>
      <c r="U222" s="369">
        <f t="shared" si="101"/>
        <v>0</v>
      </c>
      <c r="V222" s="370">
        <f t="shared" si="102"/>
        <v>0</v>
      </c>
    </row>
    <row r="223" spans="1:22" s="24" customFormat="1" ht="28.5" customHeight="1">
      <c r="A223" s="485"/>
      <c r="B223" s="97" t="s">
        <v>2742</v>
      </c>
      <c r="C223" s="368"/>
      <c r="D223" s="367"/>
      <c r="E223" s="368">
        <v>36</v>
      </c>
      <c r="F223" s="401">
        <v>34</v>
      </c>
      <c r="G223" s="369">
        <f t="shared" si="99"/>
        <v>11.383710000000001</v>
      </c>
      <c r="H223" s="369">
        <f>(3+3+2.67)*1.3</f>
        <v>11.271000000000001</v>
      </c>
      <c r="I223" s="369"/>
      <c r="J223" s="369"/>
      <c r="K223" s="369"/>
      <c r="L223" s="369"/>
      <c r="M223" s="369">
        <f>H223*1%</f>
        <v>0.11271</v>
      </c>
      <c r="N223" s="369">
        <f t="shared" si="100"/>
        <v>12.171813</v>
      </c>
      <c r="O223" s="369">
        <f>(3+3+2.67)*1.39</f>
        <v>12.051299999999999</v>
      </c>
      <c r="P223" s="369"/>
      <c r="Q223" s="369"/>
      <c r="R223" s="369"/>
      <c r="S223" s="369"/>
      <c r="T223" s="369">
        <f>O223*1%</f>
        <v>0.120513</v>
      </c>
      <c r="U223" s="369">
        <f>T223-M223</f>
        <v>7.8029999999999905E-3</v>
      </c>
      <c r="V223" s="370">
        <f t="shared" si="102"/>
        <v>4.6817999999999943E-2</v>
      </c>
    </row>
    <row r="224" spans="1:22" s="24" customFormat="1" ht="28.5" hidden="1" customHeight="1">
      <c r="A224" s="485"/>
      <c r="B224" s="97" t="s">
        <v>2743</v>
      </c>
      <c r="C224" s="368"/>
      <c r="D224" s="367"/>
      <c r="E224" s="368"/>
      <c r="F224" s="368"/>
      <c r="G224" s="369">
        <f t="shared" si="99"/>
        <v>0</v>
      </c>
      <c r="H224" s="369"/>
      <c r="I224" s="369"/>
      <c r="J224" s="369"/>
      <c r="K224" s="369"/>
      <c r="L224" s="369"/>
      <c r="M224" s="369"/>
      <c r="N224" s="369">
        <f t="shared" si="100"/>
        <v>0</v>
      </c>
      <c r="O224" s="369"/>
      <c r="P224" s="369"/>
      <c r="Q224" s="369"/>
      <c r="R224" s="369"/>
      <c r="S224" s="369"/>
      <c r="T224" s="369"/>
      <c r="U224" s="369">
        <f t="shared" si="101"/>
        <v>0</v>
      </c>
      <c r="V224" s="370">
        <f t="shared" si="102"/>
        <v>0</v>
      </c>
    </row>
    <row r="225" spans="1:22" s="24" customFormat="1" ht="28.5" hidden="1" customHeight="1">
      <c r="A225" s="485"/>
      <c r="B225" s="97" t="s">
        <v>2744</v>
      </c>
      <c r="C225" s="368"/>
      <c r="D225" s="367"/>
      <c r="E225" s="368"/>
      <c r="F225" s="368"/>
      <c r="G225" s="369">
        <f t="shared" si="99"/>
        <v>0</v>
      </c>
      <c r="H225" s="369"/>
      <c r="I225" s="369"/>
      <c r="J225" s="369"/>
      <c r="K225" s="369"/>
      <c r="L225" s="369"/>
      <c r="M225" s="369"/>
      <c r="N225" s="369">
        <f t="shared" si="100"/>
        <v>0</v>
      </c>
      <c r="O225" s="369"/>
      <c r="P225" s="369"/>
      <c r="Q225" s="369"/>
      <c r="R225" s="369"/>
      <c r="S225" s="369"/>
      <c r="T225" s="369"/>
      <c r="U225" s="369">
        <f t="shared" si="101"/>
        <v>0</v>
      </c>
      <c r="V225" s="370">
        <f t="shared" si="102"/>
        <v>0</v>
      </c>
    </row>
    <row r="226" spans="1:22" s="24" customFormat="1" ht="28.5" hidden="1" customHeight="1">
      <c r="A226" s="485"/>
      <c r="B226" s="97" t="s">
        <v>2893</v>
      </c>
      <c r="C226" s="368"/>
      <c r="D226" s="367"/>
      <c r="E226" s="368"/>
      <c r="F226" s="368"/>
      <c r="G226" s="369">
        <f t="shared" si="99"/>
        <v>0</v>
      </c>
      <c r="H226" s="369"/>
      <c r="I226" s="369"/>
      <c r="J226" s="369"/>
      <c r="K226" s="369"/>
      <c r="L226" s="369"/>
      <c r="M226" s="369"/>
      <c r="N226" s="369">
        <f t="shared" si="100"/>
        <v>0</v>
      </c>
      <c r="O226" s="369"/>
      <c r="P226" s="369"/>
      <c r="Q226" s="369"/>
      <c r="R226" s="369"/>
      <c r="S226" s="369"/>
      <c r="T226" s="369"/>
      <c r="U226" s="369">
        <f t="shared" si="101"/>
        <v>0</v>
      </c>
      <c r="V226" s="370">
        <f t="shared" si="102"/>
        <v>0</v>
      </c>
    </row>
    <row r="227" spans="1:22" s="24" customFormat="1" ht="28.5" hidden="1" customHeight="1">
      <c r="A227" s="460">
        <v>52</v>
      </c>
      <c r="B227" s="68" t="s">
        <v>2746</v>
      </c>
      <c r="C227" s="368"/>
      <c r="D227" s="367"/>
      <c r="E227" s="368"/>
      <c r="F227" s="368"/>
      <c r="G227" s="369"/>
      <c r="H227" s="369"/>
      <c r="I227" s="369"/>
      <c r="J227" s="369"/>
      <c r="K227" s="369"/>
      <c r="L227" s="369"/>
      <c r="M227" s="369"/>
      <c r="N227" s="369"/>
      <c r="O227" s="369"/>
      <c r="P227" s="369"/>
      <c r="Q227" s="369"/>
      <c r="R227" s="369"/>
      <c r="S227" s="369"/>
      <c r="T227" s="369"/>
      <c r="U227" s="369"/>
      <c r="V227" s="370"/>
    </row>
    <row r="228" spans="1:22" s="399" customFormat="1" ht="28.5" customHeight="1">
      <c r="A228" s="483"/>
      <c r="B228" s="484" t="s">
        <v>2540</v>
      </c>
      <c r="C228" s="394">
        <f>C229+C232+C233+C234+C235</f>
        <v>0</v>
      </c>
      <c r="D228" s="394">
        <f t="shared" ref="D228:V228" si="103">D229+D232+D233+D234+D235</f>
        <v>0</v>
      </c>
      <c r="E228" s="394">
        <f>E229+E232+E233+E234+E235</f>
        <v>10</v>
      </c>
      <c r="F228" s="394">
        <f t="shared" si="103"/>
        <v>10</v>
      </c>
      <c r="G228" s="397">
        <f t="shared" si="103"/>
        <v>43.525950000000002</v>
      </c>
      <c r="H228" s="397">
        <f t="shared" si="103"/>
        <v>41.405000000000001</v>
      </c>
      <c r="I228" s="397">
        <f t="shared" si="103"/>
        <v>1.6900000000000002</v>
      </c>
      <c r="J228" s="397">
        <f t="shared" si="103"/>
        <v>1.6900000000000002</v>
      </c>
      <c r="K228" s="397">
        <f t="shared" si="103"/>
        <v>0</v>
      </c>
      <c r="L228" s="397">
        <f t="shared" si="103"/>
        <v>0</v>
      </c>
      <c r="M228" s="397">
        <f t="shared" si="103"/>
        <v>0.43095</v>
      </c>
      <c r="N228" s="397">
        <f t="shared" si="103"/>
        <v>46.539285</v>
      </c>
      <c r="O228" s="397">
        <f t="shared" si="103"/>
        <v>44.271499999999996</v>
      </c>
      <c r="P228" s="397">
        <f t="shared" si="103"/>
        <v>1.8069999999999999</v>
      </c>
      <c r="Q228" s="397">
        <f t="shared" si="103"/>
        <v>1.8069999999999999</v>
      </c>
      <c r="R228" s="397">
        <f t="shared" si="103"/>
        <v>0</v>
      </c>
      <c r="S228" s="397">
        <f t="shared" si="103"/>
        <v>0</v>
      </c>
      <c r="T228" s="397">
        <f t="shared" si="103"/>
        <v>0.460785</v>
      </c>
      <c r="U228" s="397">
        <f t="shared" si="103"/>
        <v>2.9835E-2</v>
      </c>
      <c r="V228" s="397">
        <f t="shared" si="103"/>
        <v>0.17901</v>
      </c>
    </row>
    <row r="229" spans="1:22" s="24" customFormat="1" ht="28.5" customHeight="1">
      <c r="A229" s="485">
        <v>53</v>
      </c>
      <c r="B229" s="498" t="s">
        <v>2747</v>
      </c>
      <c r="C229" s="368">
        <f>C230+C231</f>
        <v>0</v>
      </c>
      <c r="D229" s="368">
        <f t="shared" ref="D229:V229" si="104">D230+D231</f>
        <v>0</v>
      </c>
      <c r="E229" s="368">
        <f t="shared" si="104"/>
        <v>10</v>
      </c>
      <c r="F229" s="368">
        <f t="shared" si="104"/>
        <v>10</v>
      </c>
      <c r="G229" s="369">
        <f t="shared" si="104"/>
        <v>43.525950000000002</v>
      </c>
      <c r="H229" s="369">
        <f t="shared" si="104"/>
        <v>41.405000000000001</v>
      </c>
      <c r="I229" s="369">
        <f t="shared" si="104"/>
        <v>1.6900000000000002</v>
      </c>
      <c r="J229" s="369">
        <f t="shared" si="104"/>
        <v>1.6900000000000002</v>
      </c>
      <c r="K229" s="369">
        <f t="shared" si="104"/>
        <v>0</v>
      </c>
      <c r="L229" s="369">
        <f t="shared" si="104"/>
        <v>0</v>
      </c>
      <c r="M229" s="369">
        <f t="shared" si="104"/>
        <v>0.43095</v>
      </c>
      <c r="N229" s="369">
        <f t="shared" si="104"/>
        <v>46.539285</v>
      </c>
      <c r="O229" s="369">
        <f t="shared" si="104"/>
        <v>44.271499999999996</v>
      </c>
      <c r="P229" s="369">
        <f t="shared" si="104"/>
        <v>1.8069999999999999</v>
      </c>
      <c r="Q229" s="369">
        <f t="shared" si="104"/>
        <v>1.8069999999999999</v>
      </c>
      <c r="R229" s="369">
        <f t="shared" si="104"/>
        <v>0</v>
      </c>
      <c r="S229" s="369">
        <f t="shared" si="104"/>
        <v>0</v>
      </c>
      <c r="T229" s="369">
        <f t="shared" si="104"/>
        <v>0.460785</v>
      </c>
      <c r="U229" s="369">
        <f t="shared" si="104"/>
        <v>2.9835E-2</v>
      </c>
      <c r="V229" s="369">
        <f t="shared" si="104"/>
        <v>0.17901</v>
      </c>
    </row>
    <row r="230" spans="1:22" s="24" customFormat="1" ht="28.5" hidden="1" customHeight="1">
      <c r="A230" s="485"/>
      <c r="B230" s="86" t="s">
        <v>2748</v>
      </c>
      <c r="C230" s="368"/>
      <c r="D230" s="367"/>
      <c r="E230" s="368"/>
      <c r="F230" s="368"/>
      <c r="G230" s="369">
        <f t="shared" ref="G230:G235" si="105">H230+I230+M230</f>
        <v>0</v>
      </c>
      <c r="H230" s="369"/>
      <c r="I230" s="369"/>
      <c r="J230" s="369"/>
      <c r="K230" s="369"/>
      <c r="L230" s="369"/>
      <c r="M230" s="369"/>
      <c r="N230" s="369">
        <f t="shared" ref="N230:N235" si="106">O230+P230+T230</f>
        <v>0</v>
      </c>
      <c r="O230" s="369"/>
      <c r="P230" s="369"/>
      <c r="Q230" s="369"/>
      <c r="R230" s="369"/>
      <c r="S230" s="369"/>
      <c r="T230" s="369"/>
      <c r="U230" s="369">
        <f t="shared" ref="U230:U235" si="107">N230-G230</f>
        <v>0</v>
      </c>
      <c r="V230" s="370">
        <f t="shared" ref="V230:V235" si="108">U230*6</f>
        <v>0</v>
      </c>
    </row>
    <row r="231" spans="1:22" s="24" customFormat="1" ht="28.5" customHeight="1">
      <c r="A231" s="485"/>
      <c r="B231" s="86" t="s">
        <v>2894</v>
      </c>
      <c r="C231" s="368"/>
      <c r="D231" s="367"/>
      <c r="E231" s="368">
        <v>10</v>
      </c>
      <c r="F231" s="368">
        <v>10</v>
      </c>
      <c r="G231" s="369">
        <f t="shared" si="105"/>
        <v>43.525950000000002</v>
      </c>
      <c r="H231" s="369">
        <f>31.85*1.3</f>
        <v>41.405000000000001</v>
      </c>
      <c r="I231" s="369">
        <f>J231+K231+L231</f>
        <v>1.6900000000000002</v>
      </c>
      <c r="J231" s="369">
        <f>1.3*1.3</f>
        <v>1.6900000000000002</v>
      </c>
      <c r="K231" s="369"/>
      <c r="L231" s="369"/>
      <c r="M231" s="369">
        <f>(H231+I231)*1%</f>
        <v>0.43095</v>
      </c>
      <c r="N231" s="369">
        <f t="shared" si="106"/>
        <v>46.539285</v>
      </c>
      <c r="O231" s="369">
        <f>31.85*1.39</f>
        <v>44.271499999999996</v>
      </c>
      <c r="P231" s="369">
        <f>Q231+R231+S231</f>
        <v>1.8069999999999999</v>
      </c>
      <c r="Q231" s="369">
        <f>1.3*1.39</f>
        <v>1.8069999999999999</v>
      </c>
      <c r="R231" s="369"/>
      <c r="S231" s="369"/>
      <c r="T231" s="369">
        <f>(O231+P231)*1%</f>
        <v>0.460785</v>
      </c>
      <c r="U231" s="369">
        <f>T231-M231</f>
        <v>2.9835E-2</v>
      </c>
      <c r="V231" s="370">
        <f t="shared" si="108"/>
        <v>0.17901</v>
      </c>
    </row>
    <row r="232" spans="1:22" s="24" customFormat="1" ht="28.5" hidden="1" customHeight="1">
      <c r="A232" s="485">
        <v>54</v>
      </c>
      <c r="B232" s="55" t="s">
        <v>2750</v>
      </c>
      <c r="C232" s="368"/>
      <c r="D232" s="367"/>
      <c r="E232" s="368"/>
      <c r="F232" s="368"/>
      <c r="G232" s="369">
        <f t="shared" si="105"/>
        <v>0</v>
      </c>
      <c r="H232" s="369"/>
      <c r="I232" s="369"/>
      <c r="J232" s="369"/>
      <c r="K232" s="369"/>
      <c r="L232" s="369"/>
      <c r="M232" s="369"/>
      <c r="N232" s="369">
        <f t="shared" si="106"/>
        <v>0</v>
      </c>
      <c r="O232" s="369"/>
      <c r="P232" s="369"/>
      <c r="Q232" s="369"/>
      <c r="R232" s="369"/>
      <c r="S232" s="369"/>
      <c r="T232" s="369"/>
      <c r="U232" s="369">
        <f t="shared" si="107"/>
        <v>0</v>
      </c>
      <c r="V232" s="370">
        <f t="shared" si="108"/>
        <v>0</v>
      </c>
    </row>
    <row r="233" spans="1:22" s="24" customFormat="1" ht="28.5" hidden="1" customHeight="1">
      <c r="A233" s="485">
        <v>55</v>
      </c>
      <c r="B233" s="55" t="s">
        <v>2751</v>
      </c>
      <c r="C233" s="368"/>
      <c r="D233" s="367"/>
      <c r="E233" s="368"/>
      <c r="F233" s="368"/>
      <c r="G233" s="369">
        <f t="shared" si="105"/>
        <v>0</v>
      </c>
      <c r="H233" s="369"/>
      <c r="I233" s="369"/>
      <c r="J233" s="369"/>
      <c r="K233" s="369"/>
      <c r="L233" s="369"/>
      <c r="M233" s="369"/>
      <c r="N233" s="369">
        <f t="shared" si="106"/>
        <v>0</v>
      </c>
      <c r="O233" s="369"/>
      <c r="P233" s="369"/>
      <c r="Q233" s="369"/>
      <c r="R233" s="369"/>
      <c r="S233" s="369"/>
      <c r="T233" s="369"/>
      <c r="U233" s="369">
        <f t="shared" si="107"/>
        <v>0</v>
      </c>
      <c r="V233" s="370">
        <f t="shared" si="108"/>
        <v>0</v>
      </c>
    </row>
    <row r="234" spans="1:22" s="24" customFormat="1" ht="28.5" hidden="1" customHeight="1">
      <c r="A234" s="485">
        <v>56</v>
      </c>
      <c r="B234" s="55" t="s">
        <v>2752</v>
      </c>
      <c r="C234" s="368"/>
      <c r="D234" s="367"/>
      <c r="E234" s="368"/>
      <c r="F234" s="368"/>
      <c r="G234" s="369">
        <f t="shared" si="105"/>
        <v>0</v>
      </c>
      <c r="H234" s="369"/>
      <c r="I234" s="369"/>
      <c r="J234" s="369"/>
      <c r="K234" s="369"/>
      <c r="L234" s="369"/>
      <c r="M234" s="369"/>
      <c r="N234" s="369">
        <f t="shared" si="106"/>
        <v>0</v>
      </c>
      <c r="O234" s="369"/>
      <c r="P234" s="369"/>
      <c r="Q234" s="369"/>
      <c r="R234" s="369"/>
      <c r="S234" s="369"/>
      <c r="T234" s="369"/>
      <c r="U234" s="369">
        <f t="shared" si="107"/>
        <v>0</v>
      </c>
      <c r="V234" s="370">
        <f t="shared" si="108"/>
        <v>0</v>
      </c>
    </row>
    <row r="235" spans="1:22" s="24" customFormat="1" ht="28.5" hidden="1" customHeight="1">
      <c r="A235" s="485">
        <v>57</v>
      </c>
      <c r="B235" s="55" t="s">
        <v>2753</v>
      </c>
      <c r="C235" s="368"/>
      <c r="D235" s="367"/>
      <c r="E235" s="368"/>
      <c r="F235" s="368"/>
      <c r="G235" s="369">
        <f t="shared" si="105"/>
        <v>0</v>
      </c>
      <c r="H235" s="369"/>
      <c r="I235" s="369"/>
      <c r="J235" s="369"/>
      <c r="K235" s="369"/>
      <c r="L235" s="369"/>
      <c r="M235" s="369"/>
      <c r="N235" s="369">
        <f t="shared" si="106"/>
        <v>0</v>
      </c>
      <c r="O235" s="369"/>
      <c r="P235" s="369"/>
      <c r="Q235" s="369"/>
      <c r="R235" s="369"/>
      <c r="S235" s="369"/>
      <c r="T235" s="369"/>
      <c r="U235" s="369">
        <f t="shared" si="107"/>
        <v>0</v>
      </c>
      <c r="V235" s="370">
        <f t="shared" si="108"/>
        <v>0</v>
      </c>
    </row>
    <row r="236" spans="1:22" s="399" customFormat="1" ht="21.75" customHeight="1">
      <c r="A236" s="483"/>
      <c r="B236" s="484" t="s">
        <v>2754</v>
      </c>
      <c r="C236" s="403">
        <f>SUM(C237:C252)</f>
        <v>17</v>
      </c>
      <c r="D236" s="398">
        <f t="shared" ref="D236:V236" si="109">SUM(D237:D252)</f>
        <v>9.3350000000000009</v>
      </c>
      <c r="E236" s="403">
        <f t="shared" si="109"/>
        <v>61</v>
      </c>
      <c r="F236" s="403">
        <f t="shared" si="109"/>
        <v>59</v>
      </c>
      <c r="G236" s="398">
        <f t="shared" si="109"/>
        <v>286.70156579999997</v>
      </c>
      <c r="H236" s="398">
        <f t="shared" si="109"/>
        <v>264.05600000000004</v>
      </c>
      <c r="I236" s="398">
        <f t="shared" si="109"/>
        <v>19.872580000000003</v>
      </c>
      <c r="J236" s="398">
        <f t="shared" si="109"/>
        <v>17.55</v>
      </c>
      <c r="K236" s="398">
        <f t="shared" si="109"/>
        <v>2.3225799999999999</v>
      </c>
      <c r="L236" s="398">
        <f t="shared" si="109"/>
        <v>0</v>
      </c>
      <c r="M236" s="398">
        <f t="shared" si="109"/>
        <v>2.7729857999999998</v>
      </c>
      <c r="N236" s="398">
        <f t="shared" si="109"/>
        <v>306.55053973999998</v>
      </c>
      <c r="O236" s="398">
        <f t="shared" si="109"/>
        <v>282.3372</v>
      </c>
      <c r="P236" s="398">
        <f t="shared" si="109"/>
        <v>21.248373999999998</v>
      </c>
      <c r="Q236" s="398">
        <f t="shared" si="109"/>
        <v>18.765000000000001</v>
      </c>
      <c r="R236" s="398">
        <f t="shared" si="109"/>
        <v>2.4833739999999995</v>
      </c>
      <c r="S236" s="398">
        <f t="shared" si="109"/>
        <v>0</v>
      </c>
      <c r="T236" s="398">
        <f t="shared" si="109"/>
        <v>2.9649657399999998</v>
      </c>
      <c r="U236" s="398">
        <f t="shared" si="109"/>
        <v>0.19197993999999982</v>
      </c>
      <c r="V236" s="398">
        <f t="shared" si="109"/>
        <v>1.1518796399999989</v>
      </c>
    </row>
    <row r="237" spans="1:22" s="24" customFormat="1" ht="21.75" customHeight="1">
      <c r="A237" s="485">
        <v>58</v>
      </c>
      <c r="B237" s="55" t="s">
        <v>2755</v>
      </c>
      <c r="C237" s="368">
        <v>15</v>
      </c>
      <c r="D237" s="367">
        <v>9.3350000000000009</v>
      </c>
      <c r="E237" s="368">
        <v>13</v>
      </c>
      <c r="F237" s="368">
        <v>13</v>
      </c>
      <c r="G237" s="369">
        <f t="shared" ref="G237:G252" si="110">H237+I237+M237</f>
        <v>71.190210000000008</v>
      </c>
      <c r="H237" s="369">
        <f>49.17*1.3</f>
        <v>63.921000000000006</v>
      </c>
      <c r="I237" s="369">
        <f>SUM(J237:L237)</f>
        <v>6.63</v>
      </c>
      <c r="J237" s="370">
        <f>5.1*1.3</f>
        <v>6.63</v>
      </c>
      <c r="K237" s="369"/>
      <c r="L237" s="369"/>
      <c r="M237" s="369">
        <f>H237*1%</f>
        <v>0.63921000000000006</v>
      </c>
      <c r="N237" s="369">
        <f>O237+P237+T237</f>
        <v>76.118763000000001</v>
      </c>
      <c r="O237" s="369">
        <f>49.17*1.39</f>
        <v>68.346299999999999</v>
      </c>
      <c r="P237" s="369">
        <f>SUM(Q237:S237)</f>
        <v>7.0889999999999986</v>
      </c>
      <c r="Q237" s="370">
        <f>5.1*1.39</f>
        <v>7.0889999999999986</v>
      </c>
      <c r="R237" s="369"/>
      <c r="S237" s="369"/>
      <c r="T237" s="369">
        <f>O237*1%</f>
        <v>0.68346300000000004</v>
      </c>
      <c r="U237" s="369">
        <f>T237-M237</f>
        <v>4.4252999999999987E-2</v>
      </c>
      <c r="V237" s="370">
        <f t="shared" ref="V237:V252" si="111">U237*6</f>
        <v>0.26551799999999992</v>
      </c>
    </row>
    <row r="238" spans="1:22" s="24" customFormat="1" ht="21.75" hidden="1" customHeight="1">
      <c r="A238" s="485">
        <v>59</v>
      </c>
      <c r="B238" s="55" t="s">
        <v>2756</v>
      </c>
      <c r="C238" s="368">
        <v>2</v>
      </c>
      <c r="D238" s="367"/>
      <c r="E238" s="368">
        <v>2</v>
      </c>
      <c r="F238" s="368">
        <v>2</v>
      </c>
      <c r="G238" s="369">
        <f t="shared" si="110"/>
        <v>9.1778700000000004</v>
      </c>
      <c r="H238" s="369">
        <f>6.99*1.3</f>
        <v>9.0869999999999997</v>
      </c>
      <c r="I238" s="369">
        <f t="shared" ref="I238:I252" si="112">SUM(J238:L238)</f>
        <v>0</v>
      </c>
      <c r="J238" s="369"/>
      <c r="K238" s="369"/>
      <c r="L238" s="369"/>
      <c r="M238" s="369">
        <f>H238*1%</f>
        <v>9.0869999999999992E-2</v>
      </c>
      <c r="N238" s="369">
        <f t="shared" ref="N238:N252" si="113">O238+P238+T238</f>
        <v>9.8132609999999989</v>
      </c>
      <c r="O238" s="369">
        <f>6.99*1.39</f>
        <v>9.7160999999999991</v>
      </c>
      <c r="P238" s="369"/>
      <c r="Q238" s="369"/>
      <c r="R238" s="369"/>
      <c r="S238" s="369"/>
      <c r="T238" s="369">
        <f>O238*1%</f>
        <v>9.7160999999999997E-2</v>
      </c>
      <c r="U238" s="369">
        <f>T238-M238</f>
        <v>6.2910000000000049E-3</v>
      </c>
      <c r="V238" s="370">
        <f t="shared" si="111"/>
        <v>3.774600000000003E-2</v>
      </c>
    </row>
    <row r="239" spans="1:22" s="24" customFormat="1" ht="25.5" hidden="1">
      <c r="A239" s="485">
        <v>60</v>
      </c>
      <c r="B239" s="55" t="s">
        <v>2757</v>
      </c>
      <c r="C239" s="368"/>
      <c r="D239" s="367"/>
      <c r="E239" s="368"/>
      <c r="F239" s="368"/>
      <c r="G239" s="369">
        <f t="shared" si="110"/>
        <v>0</v>
      </c>
      <c r="H239" s="369"/>
      <c r="I239" s="369">
        <f t="shared" si="112"/>
        <v>0</v>
      </c>
      <c r="J239" s="369"/>
      <c r="K239" s="369"/>
      <c r="L239" s="369"/>
      <c r="M239" s="369"/>
      <c r="N239" s="369">
        <f t="shared" si="113"/>
        <v>0</v>
      </c>
      <c r="O239" s="369"/>
      <c r="P239" s="369"/>
      <c r="Q239" s="369"/>
      <c r="R239" s="369"/>
      <c r="S239" s="369"/>
      <c r="T239" s="369"/>
      <c r="U239" s="369">
        <f t="shared" ref="U239:U246" si="114">N239-G239</f>
        <v>0</v>
      </c>
      <c r="V239" s="370">
        <f t="shared" si="111"/>
        <v>0</v>
      </c>
    </row>
    <row r="240" spans="1:22" s="24" customFormat="1" ht="25.5" hidden="1">
      <c r="A240" s="485">
        <v>61</v>
      </c>
      <c r="B240" s="55" t="s">
        <v>2758</v>
      </c>
      <c r="C240" s="368"/>
      <c r="D240" s="367"/>
      <c r="E240" s="368"/>
      <c r="F240" s="368"/>
      <c r="G240" s="369">
        <f t="shared" si="110"/>
        <v>0</v>
      </c>
      <c r="H240" s="369"/>
      <c r="I240" s="369">
        <f t="shared" si="112"/>
        <v>0</v>
      </c>
      <c r="J240" s="369"/>
      <c r="K240" s="369"/>
      <c r="L240" s="369"/>
      <c r="M240" s="369"/>
      <c r="N240" s="369">
        <f t="shared" si="113"/>
        <v>0</v>
      </c>
      <c r="O240" s="369"/>
      <c r="P240" s="369"/>
      <c r="Q240" s="369"/>
      <c r="R240" s="369"/>
      <c r="S240" s="369"/>
      <c r="T240" s="369"/>
      <c r="U240" s="369">
        <f t="shared" si="114"/>
        <v>0</v>
      </c>
      <c r="V240" s="370">
        <f t="shared" si="111"/>
        <v>0</v>
      </c>
    </row>
    <row r="241" spans="1:22" s="24" customFormat="1" ht="38.25">
      <c r="A241" s="485">
        <v>62</v>
      </c>
      <c r="B241" s="55" t="s">
        <v>2759</v>
      </c>
      <c r="C241" s="386"/>
      <c r="D241" s="392"/>
      <c r="E241" s="386">
        <v>7</v>
      </c>
      <c r="F241" s="386">
        <v>7</v>
      </c>
      <c r="G241" s="387">
        <f t="shared" si="110"/>
        <v>26.312519999999999</v>
      </c>
      <c r="H241" s="387">
        <v>25.141999999999999</v>
      </c>
      <c r="I241" s="387">
        <f t="shared" si="112"/>
        <v>0.91</v>
      </c>
      <c r="J241" s="387">
        <v>0.91</v>
      </c>
      <c r="K241" s="387"/>
      <c r="L241" s="387"/>
      <c r="M241" s="387">
        <f>(H241+I241)*1%</f>
        <v>0.26051999999999997</v>
      </c>
      <c r="N241" s="387">
        <f t="shared" si="113"/>
        <v>28.134559999999997</v>
      </c>
      <c r="O241" s="387">
        <v>26.882999999999999</v>
      </c>
      <c r="P241" s="387">
        <f>Q241+R241+S241</f>
        <v>0.97299999999999998</v>
      </c>
      <c r="Q241" s="387">
        <v>0.97299999999999998</v>
      </c>
      <c r="R241" s="387"/>
      <c r="S241" s="387"/>
      <c r="T241" s="387">
        <f>(O241+P241)*1%</f>
        <v>0.27855999999999997</v>
      </c>
      <c r="U241" s="390">
        <f>T241-M241</f>
        <v>1.804E-2</v>
      </c>
      <c r="V241" s="393">
        <f t="shared" si="111"/>
        <v>0.10824</v>
      </c>
    </row>
    <row r="242" spans="1:22" s="24" customFormat="1" ht="31.5" hidden="1" customHeight="1">
      <c r="A242" s="485">
        <v>63</v>
      </c>
      <c r="B242" s="55" t="s">
        <v>2760</v>
      </c>
      <c r="C242" s="368"/>
      <c r="D242" s="367"/>
      <c r="E242" s="368"/>
      <c r="F242" s="368"/>
      <c r="G242" s="369">
        <f t="shared" si="110"/>
        <v>0</v>
      </c>
      <c r="H242" s="369"/>
      <c r="I242" s="369">
        <f t="shared" si="112"/>
        <v>0</v>
      </c>
      <c r="J242" s="369"/>
      <c r="K242" s="369"/>
      <c r="L242" s="369"/>
      <c r="M242" s="369"/>
      <c r="N242" s="369">
        <f t="shared" si="113"/>
        <v>0</v>
      </c>
      <c r="O242" s="369"/>
      <c r="P242" s="369"/>
      <c r="Q242" s="369"/>
      <c r="R242" s="369"/>
      <c r="S242" s="369"/>
      <c r="T242" s="369"/>
      <c r="U242" s="369">
        <f t="shared" si="114"/>
        <v>0</v>
      </c>
      <c r="V242" s="370">
        <f t="shared" si="111"/>
        <v>0</v>
      </c>
    </row>
    <row r="243" spans="1:22" s="24" customFormat="1" ht="25.5">
      <c r="A243" s="485">
        <v>64</v>
      </c>
      <c r="B243" s="55" t="s">
        <v>2761</v>
      </c>
      <c r="C243" s="386"/>
      <c r="D243" s="392"/>
      <c r="E243" s="386">
        <v>3</v>
      </c>
      <c r="F243" s="386">
        <v>3</v>
      </c>
      <c r="G243" s="387">
        <f t="shared" si="110"/>
        <v>11.383710000000001</v>
      </c>
      <c r="H243" s="479">
        <f>(8.67)*1.3</f>
        <v>11.271000000000001</v>
      </c>
      <c r="I243" s="387"/>
      <c r="J243" s="387"/>
      <c r="K243" s="387"/>
      <c r="L243" s="387"/>
      <c r="M243" s="387">
        <f>+H243*1%</f>
        <v>0.11271</v>
      </c>
      <c r="N243" s="387">
        <f t="shared" si="113"/>
        <v>12.171813</v>
      </c>
      <c r="O243" s="479">
        <f>(8.67)*1.39</f>
        <v>12.051299999999999</v>
      </c>
      <c r="P243" s="387"/>
      <c r="Q243" s="387"/>
      <c r="R243" s="387"/>
      <c r="S243" s="387"/>
      <c r="T243" s="387">
        <f>+O243*1%</f>
        <v>0.120513</v>
      </c>
      <c r="U243" s="370">
        <f>T243-M243</f>
        <v>7.8029999999999905E-3</v>
      </c>
      <c r="V243" s="370">
        <f t="shared" si="111"/>
        <v>4.6817999999999943E-2</v>
      </c>
    </row>
    <row r="244" spans="1:22" s="24" customFormat="1" ht="25.5">
      <c r="A244" s="485">
        <v>65</v>
      </c>
      <c r="B244" s="55" t="s">
        <v>2762</v>
      </c>
      <c r="C244" s="386"/>
      <c r="D244" s="392"/>
      <c r="E244" s="386">
        <v>4</v>
      </c>
      <c r="F244" s="386">
        <v>4</v>
      </c>
      <c r="G244" s="387">
        <f t="shared" si="110"/>
        <v>17.974969999999995</v>
      </c>
      <c r="H244" s="479">
        <f>(13.19)*1.3</f>
        <v>17.146999999999998</v>
      </c>
      <c r="I244" s="387">
        <f>+J244+K244+L244</f>
        <v>0.65</v>
      </c>
      <c r="J244" s="479">
        <f>0.5*1.3</f>
        <v>0.65</v>
      </c>
      <c r="K244" s="387"/>
      <c r="L244" s="387"/>
      <c r="M244" s="387">
        <f>+(H244+I244)*1%</f>
        <v>0.17796999999999996</v>
      </c>
      <c r="N244" s="387">
        <f>O244+P244+T244</f>
        <v>19.219390999999998</v>
      </c>
      <c r="O244" s="479">
        <f>(13.19)*1.39</f>
        <v>18.334099999999999</v>
      </c>
      <c r="P244" s="387">
        <f>+Q244+R244+S244</f>
        <v>0.69499999999999995</v>
      </c>
      <c r="Q244" s="479">
        <f>0.5*1.39</f>
        <v>0.69499999999999995</v>
      </c>
      <c r="R244" s="387"/>
      <c r="S244" s="387"/>
      <c r="T244" s="387">
        <f>+(O244+P244)*1%</f>
        <v>0.19029099999999999</v>
      </c>
      <c r="U244" s="370">
        <f>T244-M244</f>
        <v>1.2321000000000026E-2</v>
      </c>
      <c r="V244" s="370">
        <f t="shared" si="111"/>
        <v>7.3926000000000158E-2</v>
      </c>
    </row>
    <row r="245" spans="1:22" s="24" customFormat="1" ht="25.5" hidden="1">
      <c r="A245" s="485">
        <v>66</v>
      </c>
      <c r="B245" s="55" t="s">
        <v>2763</v>
      </c>
      <c r="C245" s="368"/>
      <c r="D245" s="367"/>
      <c r="E245" s="368"/>
      <c r="F245" s="368"/>
      <c r="G245" s="369">
        <f t="shared" si="110"/>
        <v>0</v>
      </c>
      <c r="H245" s="369"/>
      <c r="I245" s="369">
        <f t="shared" si="112"/>
        <v>0</v>
      </c>
      <c r="J245" s="369"/>
      <c r="K245" s="369"/>
      <c r="L245" s="369"/>
      <c r="M245" s="369"/>
      <c r="N245" s="369">
        <f t="shared" si="113"/>
        <v>0</v>
      </c>
      <c r="O245" s="369"/>
      <c r="P245" s="369"/>
      <c r="Q245" s="369"/>
      <c r="R245" s="369"/>
      <c r="S245" s="369"/>
      <c r="T245" s="369"/>
      <c r="U245" s="369">
        <f t="shared" si="114"/>
        <v>0</v>
      </c>
      <c r="V245" s="370">
        <f t="shared" si="111"/>
        <v>0</v>
      </c>
    </row>
    <row r="246" spans="1:22" s="24" customFormat="1" ht="28.5" hidden="1" customHeight="1">
      <c r="A246" s="485">
        <v>67</v>
      </c>
      <c r="B246" s="55" t="s">
        <v>2764</v>
      </c>
      <c r="C246" s="368"/>
      <c r="D246" s="367"/>
      <c r="E246" s="368"/>
      <c r="F246" s="368"/>
      <c r="G246" s="369">
        <f t="shared" si="110"/>
        <v>0</v>
      </c>
      <c r="H246" s="369"/>
      <c r="I246" s="369">
        <f t="shared" si="112"/>
        <v>0</v>
      </c>
      <c r="J246" s="369"/>
      <c r="K246" s="369"/>
      <c r="L246" s="369"/>
      <c r="M246" s="369"/>
      <c r="N246" s="369">
        <f t="shared" si="113"/>
        <v>0</v>
      </c>
      <c r="O246" s="369"/>
      <c r="P246" s="369"/>
      <c r="Q246" s="369"/>
      <c r="R246" s="369"/>
      <c r="S246" s="369"/>
      <c r="T246" s="369"/>
      <c r="U246" s="369">
        <f t="shared" si="114"/>
        <v>0</v>
      </c>
      <c r="V246" s="370">
        <f t="shared" si="111"/>
        <v>0</v>
      </c>
    </row>
    <row r="247" spans="1:22" s="24" customFormat="1" ht="25.5">
      <c r="A247" s="485">
        <v>68</v>
      </c>
      <c r="B247" s="55" t="s">
        <v>2765</v>
      </c>
      <c r="C247" s="368"/>
      <c r="D247" s="367"/>
      <c r="E247" s="368">
        <v>1</v>
      </c>
      <c r="F247" s="368">
        <v>1</v>
      </c>
      <c r="G247" s="369">
        <f t="shared" si="110"/>
        <v>3.5057100000000001</v>
      </c>
      <c r="H247" s="369">
        <f>2.67*1.3</f>
        <v>3.4710000000000001</v>
      </c>
      <c r="I247" s="369"/>
      <c r="J247" s="369"/>
      <c r="K247" s="369"/>
      <c r="L247" s="369"/>
      <c r="M247" s="369">
        <f>H247*1%</f>
        <v>3.4710000000000005E-2</v>
      </c>
      <c r="N247" s="369">
        <f t="shared" si="113"/>
        <v>3.7484129999999998</v>
      </c>
      <c r="O247" s="369">
        <f>2.67*1.39</f>
        <v>3.7112999999999996</v>
      </c>
      <c r="P247" s="369"/>
      <c r="Q247" s="369"/>
      <c r="R247" s="369"/>
      <c r="S247" s="369"/>
      <c r="T247" s="369">
        <f>O247*1%</f>
        <v>3.7113E-2</v>
      </c>
      <c r="U247" s="370">
        <f t="shared" ref="U247:U252" si="115">T247-M247</f>
        <v>2.4029999999999954E-3</v>
      </c>
      <c r="V247" s="370">
        <f t="shared" si="111"/>
        <v>1.4417999999999973E-2</v>
      </c>
    </row>
    <row r="248" spans="1:22" s="24" customFormat="1" ht="27" customHeight="1">
      <c r="A248" s="485">
        <v>69</v>
      </c>
      <c r="B248" s="55" t="s">
        <v>2766</v>
      </c>
      <c r="C248" s="368"/>
      <c r="D248" s="367"/>
      <c r="E248" s="368">
        <v>6</v>
      </c>
      <c r="F248" s="368">
        <v>6</v>
      </c>
      <c r="G248" s="369">
        <f t="shared" si="110"/>
        <v>32.9127084</v>
      </c>
      <c r="H248" s="369">
        <f>22.56*1.3</f>
        <v>29.327999999999999</v>
      </c>
      <c r="I248" s="369">
        <f t="shared" si="112"/>
        <v>3.2588400000000002</v>
      </c>
      <c r="J248" s="369">
        <f>2.1*1.3</f>
        <v>2.7300000000000004</v>
      </c>
      <c r="K248" s="369">
        <f>0.4068*1.3</f>
        <v>0.52883999999999998</v>
      </c>
      <c r="L248" s="369"/>
      <c r="M248" s="369">
        <f>(H248+I248)*1%</f>
        <v>0.3258684</v>
      </c>
      <c r="N248" s="369">
        <f t="shared" si="113"/>
        <v>35.191280519999992</v>
      </c>
      <c r="O248" s="369">
        <f>22.56*1.39</f>
        <v>31.358399999999996</v>
      </c>
      <c r="P248" s="369">
        <f>SUM(Q248:S248)</f>
        <v>3.4844520000000001</v>
      </c>
      <c r="Q248" s="369">
        <f>2.1*1.39</f>
        <v>2.919</v>
      </c>
      <c r="R248" s="369">
        <f>0.4068*1.39</f>
        <v>0.56545199999999995</v>
      </c>
      <c r="S248" s="369"/>
      <c r="T248" s="369">
        <f>(O248+P248)*1%</f>
        <v>0.34842851999999996</v>
      </c>
      <c r="U248" s="369">
        <f t="shared" si="115"/>
        <v>2.2560119999999961E-2</v>
      </c>
      <c r="V248" s="370">
        <f t="shared" si="111"/>
        <v>0.13536071999999977</v>
      </c>
    </row>
    <row r="249" spans="1:22" s="24" customFormat="1" ht="27" customHeight="1">
      <c r="A249" s="485">
        <v>70</v>
      </c>
      <c r="B249" s="55" t="s">
        <v>2767</v>
      </c>
      <c r="C249" s="368"/>
      <c r="D249" s="367"/>
      <c r="E249" s="368">
        <v>9</v>
      </c>
      <c r="F249" s="368">
        <v>7</v>
      </c>
      <c r="G249" s="369">
        <f t="shared" si="110"/>
        <v>36.336224600000001</v>
      </c>
      <c r="H249" s="369">
        <f>25.69*1.3</f>
        <v>33.397000000000006</v>
      </c>
      <c r="I249" s="369">
        <f t="shared" si="112"/>
        <v>2.5794600000000001</v>
      </c>
      <c r="J249" s="369">
        <f>1.7*1.3</f>
        <v>2.21</v>
      </c>
      <c r="K249" s="369">
        <f>0.2842*1.3</f>
        <v>0.36946000000000001</v>
      </c>
      <c r="L249" s="369"/>
      <c r="M249" s="369">
        <f>(H249+I249)*1%</f>
        <v>0.35976460000000005</v>
      </c>
      <c r="N249" s="369">
        <f t="shared" si="113"/>
        <v>38.851809379999999</v>
      </c>
      <c r="O249" s="369">
        <f>25.69*1.39</f>
        <v>35.709099999999999</v>
      </c>
      <c r="P249" s="369">
        <f>SUM(Q249:S249)</f>
        <v>2.758038</v>
      </c>
      <c r="Q249" s="369">
        <f>1.7*1.39</f>
        <v>2.363</v>
      </c>
      <c r="R249" s="369">
        <f>0.2842*1.39</f>
        <v>0.395038</v>
      </c>
      <c r="S249" s="369"/>
      <c r="T249" s="369">
        <f>(O249+P249)*1%</f>
        <v>0.38467138000000001</v>
      </c>
      <c r="U249" s="369">
        <f t="shared" si="115"/>
        <v>2.4906779999999962E-2</v>
      </c>
      <c r="V249" s="370">
        <f t="shared" si="111"/>
        <v>0.14944067999999977</v>
      </c>
    </row>
    <row r="250" spans="1:22" s="24" customFormat="1" ht="27" customHeight="1">
      <c r="A250" s="485">
        <v>71</v>
      </c>
      <c r="B250" s="55" t="s">
        <v>2768</v>
      </c>
      <c r="C250" s="368"/>
      <c r="D250" s="367"/>
      <c r="E250" s="368">
        <v>2</v>
      </c>
      <c r="F250" s="368">
        <v>2</v>
      </c>
      <c r="G250" s="369">
        <f t="shared" si="110"/>
        <v>4.88436</v>
      </c>
      <c r="H250" s="369">
        <f>1.86*2*1.3</f>
        <v>4.8360000000000003</v>
      </c>
      <c r="I250" s="369">
        <f t="shared" si="112"/>
        <v>0</v>
      </c>
      <c r="J250" s="369"/>
      <c r="K250" s="369"/>
      <c r="L250" s="369"/>
      <c r="M250" s="369">
        <f>H250*1%</f>
        <v>4.8360000000000007E-2</v>
      </c>
      <c r="N250" s="369">
        <f t="shared" si="113"/>
        <v>5.2225079999999995</v>
      </c>
      <c r="O250" s="369">
        <f>1.86*2*1.39</f>
        <v>5.1707999999999998</v>
      </c>
      <c r="P250" s="369">
        <f>SUM(Q250:S250)</f>
        <v>0</v>
      </c>
      <c r="Q250" s="369"/>
      <c r="R250" s="369"/>
      <c r="S250" s="369"/>
      <c r="T250" s="369">
        <f>O250*1%</f>
        <v>5.1707999999999997E-2</v>
      </c>
      <c r="U250" s="369">
        <f t="shared" si="115"/>
        <v>3.3479999999999899E-3</v>
      </c>
      <c r="V250" s="370">
        <f t="shared" si="111"/>
        <v>2.0087999999999939E-2</v>
      </c>
    </row>
    <row r="251" spans="1:22" s="24" customFormat="1" ht="27" customHeight="1">
      <c r="A251" s="485">
        <v>72</v>
      </c>
      <c r="B251" s="55" t="s">
        <v>2769</v>
      </c>
      <c r="C251" s="368"/>
      <c r="D251" s="367"/>
      <c r="E251" s="368">
        <v>3</v>
      </c>
      <c r="F251" s="368">
        <v>3</v>
      </c>
      <c r="G251" s="369">
        <f t="shared" si="110"/>
        <v>13.602679999999999</v>
      </c>
      <c r="H251" s="369">
        <f>9.66*1.3</f>
        <v>12.558</v>
      </c>
      <c r="I251" s="369">
        <f t="shared" si="112"/>
        <v>0.90999999999999992</v>
      </c>
      <c r="J251" s="369">
        <f>0.7*1.3</f>
        <v>0.90999999999999992</v>
      </c>
      <c r="K251" s="369"/>
      <c r="L251" s="369"/>
      <c r="M251" s="369">
        <f>(H251+I251)*1%</f>
        <v>0.13467999999999999</v>
      </c>
      <c r="N251" s="369">
        <f t="shared" si="113"/>
        <v>14.544403999999998</v>
      </c>
      <c r="O251" s="369">
        <f>9.66*1.39</f>
        <v>13.427399999999999</v>
      </c>
      <c r="P251" s="369">
        <f>SUM(Q251:S251)</f>
        <v>0.97299999999999986</v>
      </c>
      <c r="Q251" s="369">
        <f>0.7*1.39</f>
        <v>0.97299999999999986</v>
      </c>
      <c r="R251" s="369"/>
      <c r="S251" s="369"/>
      <c r="T251" s="369">
        <f>(O251+P251)*1%</f>
        <v>0.14400399999999999</v>
      </c>
      <c r="U251" s="369">
        <f t="shared" si="115"/>
        <v>9.323999999999999E-3</v>
      </c>
      <c r="V251" s="370">
        <f t="shared" si="111"/>
        <v>5.5943999999999994E-2</v>
      </c>
    </row>
    <row r="252" spans="1:22" s="24" customFormat="1" ht="27" customHeight="1">
      <c r="A252" s="486">
        <v>73</v>
      </c>
      <c r="B252" s="191" t="s">
        <v>2770</v>
      </c>
      <c r="C252" s="419"/>
      <c r="D252" s="420"/>
      <c r="E252" s="419">
        <v>11</v>
      </c>
      <c r="F252" s="419">
        <v>11</v>
      </c>
      <c r="G252" s="421">
        <f t="shared" si="110"/>
        <v>59.420602800000005</v>
      </c>
      <c r="H252" s="421">
        <f>41.46*1.3</f>
        <v>53.898000000000003</v>
      </c>
      <c r="I252" s="421">
        <f t="shared" si="112"/>
        <v>4.9342800000000002</v>
      </c>
      <c r="J252" s="421">
        <f>2.7*1.3</f>
        <v>3.5100000000000002</v>
      </c>
      <c r="K252" s="421">
        <f>1.0956*1.3</f>
        <v>1.42428</v>
      </c>
      <c r="L252" s="421"/>
      <c r="M252" s="421">
        <f>(H252+I252)*1%</f>
        <v>0.58832280000000003</v>
      </c>
      <c r="N252" s="421">
        <f t="shared" si="113"/>
        <v>63.534336839999995</v>
      </c>
      <c r="O252" s="421">
        <f>41.46*1.39</f>
        <v>57.629399999999997</v>
      </c>
      <c r="P252" s="421">
        <f>SUM(Q252:S252)</f>
        <v>5.2758839999999996</v>
      </c>
      <c r="Q252" s="421">
        <f>2.7*1.39</f>
        <v>3.7530000000000001</v>
      </c>
      <c r="R252" s="421">
        <f>1.0956*1.39</f>
        <v>1.5228839999999997</v>
      </c>
      <c r="S252" s="421"/>
      <c r="T252" s="421">
        <f>(O252+P252)*1%</f>
        <v>0.62905283999999995</v>
      </c>
      <c r="U252" s="421">
        <f t="shared" si="115"/>
        <v>4.0730039999999912E-2</v>
      </c>
      <c r="V252" s="422">
        <f t="shared" si="111"/>
        <v>0.24438023999999947</v>
      </c>
    </row>
    <row r="253" spans="1:22" s="375" customFormat="1" hidden="1">
      <c r="A253" s="500" t="s">
        <v>12</v>
      </c>
      <c r="B253" s="501" t="s">
        <v>2895</v>
      </c>
      <c r="C253" s="423"/>
      <c r="D253" s="424"/>
      <c r="E253" s="423"/>
      <c r="F253" s="423"/>
      <c r="G253" s="425"/>
      <c r="H253" s="425"/>
      <c r="I253" s="425"/>
      <c r="J253" s="425"/>
      <c r="K253" s="425"/>
      <c r="L253" s="425"/>
      <c r="M253" s="425"/>
      <c r="N253" s="425"/>
      <c r="O253" s="425"/>
      <c r="P253" s="425"/>
      <c r="Q253" s="425"/>
      <c r="R253" s="425"/>
      <c r="S253" s="425"/>
      <c r="T253" s="425"/>
      <c r="U253" s="425"/>
      <c r="V253" s="426"/>
    </row>
    <row r="254" spans="1:22" s="24" customFormat="1" hidden="1">
      <c r="A254" s="458"/>
      <c r="B254" s="459" t="s">
        <v>2527</v>
      </c>
      <c r="C254" s="427"/>
      <c r="D254" s="428"/>
      <c r="E254" s="427"/>
      <c r="F254" s="427"/>
      <c r="G254" s="376"/>
      <c r="H254" s="376"/>
      <c r="I254" s="376"/>
      <c r="J254" s="376"/>
      <c r="K254" s="376"/>
      <c r="L254" s="376"/>
      <c r="M254" s="376"/>
      <c r="N254" s="376"/>
      <c r="O254" s="376"/>
      <c r="P254" s="376"/>
      <c r="Q254" s="376"/>
      <c r="R254" s="376"/>
      <c r="S254" s="376"/>
      <c r="T254" s="376"/>
      <c r="U254" s="376"/>
      <c r="V254" s="429"/>
    </row>
    <row r="255" spans="1:22" s="24" customFormat="1" hidden="1">
      <c r="A255" s="458" t="s">
        <v>13</v>
      </c>
      <c r="B255" s="459" t="s">
        <v>2528</v>
      </c>
      <c r="C255" s="427"/>
      <c r="D255" s="428"/>
      <c r="E255" s="427"/>
      <c r="F255" s="427"/>
      <c r="G255" s="376"/>
      <c r="H255" s="376"/>
      <c r="I255" s="376"/>
      <c r="J255" s="376"/>
      <c r="K255" s="376"/>
      <c r="L255" s="376"/>
      <c r="M255" s="376"/>
      <c r="N255" s="376"/>
      <c r="O255" s="376"/>
      <c r="P255" s="376"/>
      <c r="Q255" s="376"/>
      <c r="R255" s="376"/>
      <c r="S255" s="376"/>
      <c r="T255" s="376"/>
      <c r="U255" s="376"/>
      <c r="V255" s="429"/>
    </row>
    <row r="256" spans="1:22" s="24" customFormat="1" hidden="1">
      <c r="A256" s="460"/>
      <c r="B256" s="461" t="s">
        <v>2512</v>
      </c>
      <c r="C256" s="368"/>
      <c r="D256" s="367"/>
      <c r="E256" s="368"/>
      <c r="F256" s="368"/>
      <c r="G256" s="369"/>
      <c r="H256" s="369"/>
      <c r="I256" s="369"/>
      <c r="J256" s="369"/>
      <c r="K256" s="369"/>
      <c r="L256" s="369"/>
      <c r="M256" s="369"/>
      <c r="N256" s="369"/>
      <c r="O256" s="369"/>
      <c r="P256" s="369"/>
      <c r="Q256" s="369"/>
      <c r="R256" s="369"/>
      <c r="S256" s="369"/>
      <c r="T256" s="369"/>
      <c r="U256" s="369"/>
      <c r="V256" s="370"/>
    </row>
    <row r="257" spans="1:22" s="24" customFormat="1" hidden="1">
      <c r="A257" s="462">
        <v>1</v>
      </c>
      <c r="B257" s="463" t="s">
        <v>2489</v>
      </c>
      <c r="C257" s="404">
        <f t="shared" ref="C257:V257" si="116">C258+C264</f>
        <v>0</v>
      </c>
      <c r="D257" s="404">
        <f t="shared" si="116"/>
        <v>0</v>
      </c>
      <c r="E257" s="404">
        <f t="shared" si="116"/>
        <v>3</v>
      </c>
      <c r="F257" s="404">
        <f t="shared" si="116"/>
        <v>2</v>
      </c>
      <c r="G257" s="381">
        <f t="shared" si="116"/>
        <v>0</v>
      </c>
      <c r="H257" s="381">
        <f t="shared" si="116"/>
        <v>0</v>
      </c>
      <c r="I257" s="381">
        <f t="shared" si="116"/>
        <v>0</v>
      </c>
      <c r="J257" s="381">
        <f t="shared" si="116"/>
        <v>0</v>
      </c>
      <c r="K257" s="381">
        <f t="shared" si="116"/>
        <v>0</v>
      </c>
      <c r="L257" s="381">
        <f t="shared" si="116"/>
        <v>0</v>
      </c>
      <c r="M257" s="381">
        <f t="shared" si="116"/>
        <v>0</v>
      </c>
      <c r="N257" s="381">
        <f t="shared" si="116"/>
        <v>0</v>
      </c>
      <c r="O257" s="381">
        <f t="shared" si="116"/>
        <v>0</v>
      </c>
      <c r="P257" s="381">
        <f t="shared" si="116"/>
        <v>0</v>
      </c>
      <c r="Q257" s="381">
        <f t="shared" si="116"/>
        <v>0</v>
      </c>
      <c r="R257" s="381">
        <f t="shared" si="116"/>
        <v>0</v>
      </c>
      <c r="S257" s="381">
        <f t="shared" si="116"/>
        <v>0</v>
      </c>
      <c r="T257" s="381">
        <f t="shared" si="116"/>
        <v>0</v>
      </c>
      <c r="U257" s="381">
        <f t="shared" si="116"/>
        <v>0</v>
      </c>
      <c r="V257" s="381">
        <f t="shared" si="116"/>
        <v>0</v>
      </c>
    </row>
    <row r="258" spans="1:22" s="24" customFormat="1" hidden="1">
      <c r="A258" s="460"/>
      <c r="B258" s="464" t="s">
        <v>2490</v>
      </c>
      <c r="C258" s="368">
        <f t="shared" ref="C258:V258" si="117">C259+C262</f>
        <v>0</v>
      </c>
      <c r="D258" s="368">
        <f t="shared" si="117"/>
        <v>0</v>
      </c>
      <c r="E258" s="368">
        <f t="shared" si="117"/>
        <v>0</v>
      </c>
      <c r="F258" s="368">
        <f t="shared" si="117"/>
        <v>0</v>
      </c>
      <c r="G258" s="369">
        <f t="shared" si="117"/>
        <v>0</v>
      </c>
      <c r="H258" s="369">
        <f t="shared" si="117"/>
        <v>0</v>
      </c>
      <c r="I258" s="369">
        <f t="shared" si="117"/>
        <v>0</v>
      </c>
      <c r="J258" s="369">
        <f t="shared" si="117"/>
        <v>0</v>
      </c>
      <c r="K258" s="369">
        <f t="shared" si="117"/>
        <v>0</v>
      </c>
      <c r="L258" s="369">
        <f t="shared" si="117"/>
        <v>0</v>
      </c>
      <c r="M258" s="369">
        <f t="shared" si="117"/>
        <v>0</v>
      </c>
      <c r="N258" s="369">
        <f t="shared" si="117"/>
        <v>0</v>
      </c>
      <c r="O258" s="369">
        <f t="shared" si="117"/>
        <v>0</v>
      </c>
      <c r="P258" s="369">
        <f t="shared" si="117"/>
        <v>0</v>
      </c>
      <c r="Q258" s="369">
        <f t="shared" si="117"/>
        <v>0</v>
      </c>
      <c r="R258" s="369">
        <f t="shared" si="117"/>
        <v>0</v>
      </c>
      <c r="S258" s="369">
        <f t="shared" si="117"/>
        <v>0</v>
      </c>
      <c r="T258" s="369">
        <f t="shared" si="117"/>
        <v>0</v>
      </c>
      <c r="U258" s="369">
        <f t="shared" si="117"/>
        <v>0</v>
      </c>
      <c r="V258" s="369">
        <f t="shared" si="117"/>
        <v>0</v>
      </c>
    </row>
    <row r="259" spans="1:22" s="24" customFormat="1" hidden="1">
      <c r="A259" s="460">
        <v>1</v>
      </c>
      <c r="B259" s="55" t="s">
        <v>2551</v>
      </c>
      <c r="C259" s="368">
        <f t="shared" ref="C259:V259" si="118">C260+C261</f>
        <v>0</v>
      </c>
      <c r="D259" s="368">
        <f t="shared" si="118"/>
        <v>0</v>
      </c>
      <c r="E259" s="368">
        <f t="shared" si="118"/>
        <v>0</v>
      </c>
      <c r="F259" s="368">
        <f t="shared" si="118"/>
        <v>0</v>
      </c>
      <c r="G259" s="369">
        <f t="shared" si="118"/>
        <v>0</v>
      </c>
      <c r="H259" s="369">
        <f t="shared" si="118"/>
        <v>0</v>
      </c>
      <c r="I259" s="369">
        <f t="shared" si="118"/>
        <v>0</v>
      </c>
      <c r="J259" s="369">
        <f t="shared" si="118"/>
        <v>0</v>
      </c>
      <c r="K259" s="369">
        <f t="shared" si="118"/>
        <v>0</v>
      </c>
      <c r="L259" s="369">
        <f t="shared" si="118"/>
        <v>0</v>
      </c>
      <c r="M259" s="369">
        <f t="shared" si="118"/>
        <v>0</v>
      </c>
      <c r="N259" s="369">
        <f t="shared" si="118"/>
        <v>0</v>
      </c>
      <c r="O259" s="369">
        <f t="shared" si="118"/>
        <v>0</v>
      </c>
      <c r="P259" s="369">
        <f t="shared" si="118"/>
        <v>0</v>
      </c>
      <c r="Q259" s="369">
        <f t="shared" si="118"/>
        <v>0</v>
      </c>
      <c r="R259" s="369">
        <f t="shared" si="118"/>
        <v>0</v>
      </c>
      <c r="S259" s="369">
        <f t="shared" si="118"/>
        <v>0</v>
      </c>
      <c r="T259" s="369">
        <f t="shared" si="118"/>
        <v>0</v>
      </c>
      <c r="U259" s="369">
        <f t="shared" si="118"/>
        <v>0</v>
      </c>
      <c r="V259" s="369">
        <f t="shared" si="118"/>
        <v>0</v>
      </c>
    </row>
    <row r="260" spans="1:22" s="24" customFormat="1" hidden="1">
      <c r="A260" s="460"/>
      <c r="B260" s="55" t="s">
        <v>2896</v>
      </c>
      <c r="C260" s="368"/>
      <c r="D260" s="367"/>
      <c r="E260" s="368"/>
      <c r="F260" s="368"/>
      <c r="G260" s="369">
        <f>H260+I260+M260</f>
        <v>0</v>
      </c>
      <c r="H260" s="369"/>
      <c r="I260" s="369"/>
      <c r="J260" s="369"/>
      <c r="K260" s="369"/>
      <c r="L260" s="369"/>
      <c r="M260" s="369"/>
      <c r="N260" s="369">
        <f>O260+P260+T260</f>
        <v>0</v>
      </c>
      <c r="O260" s="369"/>
      <c r="P260" s="369"/>
      <c r="Q260" s="369"/>
      <c r="R260" s="369"/>
      <c r="S260" s="369"/>
      <c r="T260" s="369"/>
      <c r="U260" s="369">
        <f>N260-G260</f>
        <v>0</v>
      </c>
      <c r="V260" s="370">
        <f>U260*6</f>
        <v>0</v>
      </c>
    </row>
    <row r="261" spans="1:22" s="24" customFormat="1" hidden="1">
      <c r="A261" s="460"/>
      <c r="B261" s="55" t="s">
        <v>2589</v>
      </c>
      <c r="C261" s="368"/>
      <c r="D261" s="367"/>
      <c r="E261" s="368"/>
      <c r="F261" s="368"/>
      <c r="G261" s="369">
        <f>H261+I261+M261</f>
        <v>0</v>
      </c>
      <c r="H261" s="369"/>
      <c r="I261" s="369"/>
      <c r="J261" s="369"/>
      <c r="K261" s="369"/>
      <c r="L261" s="369"/>
      <c r="M261" s="369"/>
      <c r="N261" s="369">
        <f>O261+P261+T261</f>
        <v>0</v>
      </c>
      <c r="O261" s="369"/>
      <c r="P261" s="369"/>
      <c r="Q261" s="369"/>
      <c r="R261" s="369"/>
      <c r="S261" s="369"/>
      <c r="T261" s="369"/>
      <c r="U261" s="369">
        <f>N261-G261</f>
        <v>0</v>
      </c>
      <c r="V261" s="370">
        <f>U261*6</f>
        <v>0</v>
      </c>
    </row>
    <row r="262" spans="1:22" s="24" customFormat="1" hidden="1">
      <c r="A262" s="460">
        <v>2</v>
      </c>
      <c r="B262" s="55" t="s">
        <v>2590</v>
      </c>
      <c r="C262" s="368"/>
      <c r="D262" s="367"/>
      <c r="E262" s="368"/>
      <c r="F262" s="368"/>
      <c r="G262" s="369">
        <f>H262+I262+M262</f>
        <v>0</v>
      </c>
      <c r="H262" s="369"/>
      <c r="I262" s="369"/>
      <c r="J262" s="369"/>
      <c r="K262" s="369"/>
      <c r="L262" s="369"/>
      <c r="M262" s="369"/>
      <c r="N262" s="369">
        <f>O262+P262+T262</f>
        <v>0</v>
      </c>
      <c r="O262" s="369"/>
      <c r="P262" s="369"/>
      <c r="Q262" s="369"/>
      <c r="R262" s="369"/>
      <c r="S262" s="369"/>
      <c r="T262" s="369"/>
      <c r="U262" s="369">
        <f>N262-G262</f>
        <v>0</v>
      </c>
      <c r="V262" s="370">
        <f>U262*6</f>
        <v>0</v>
      </c>
    </row>
    <row r="263" spans="1:22" s="24" customFormat="1" hidden="1">
      <c r="A263" s="469"/>
      <c r="B263" s="470" t="s">
        <v>2529</v>
      </c>
      <c r="C263" s="394"/>
      <c r="D263" s="430"/>
      <c r="E263" s="394"/>
      <c r="F263" s="394"/>
      <c r="G263" s="397"/>
      <c r="H263" s="397"/>
      <c r="I263" s="397"/>
      <c r="J263" s="397"/>
      <c r="K263" s="397"/>
      <c r="L263" s="397"/>
      <c r="M263" s="397"/>
      <c r="N263" s="397"/>
      <c r="O263" s="397"/>
      <c r="P263" s="397"/>
      <c r="Q263" s="397"/>
      <c r="R263" s="397"/>
      <c r="S263" s="397"/>
      <c r="T263" s="397"/>
      <c r="U263" s="397"/>
      <c r="V263" s="431"/>
    </row>
    <row r="264" spans="1:22" s="24" customFormat="1" hidden="1">
      <c r="A264" s="42"/>
      <c r="B264" s="464" t="s">
        <v>2491</v>
      </c>
      <c r="C264" s="368">
        <f t="shared" ref="C264:V264" si="119">SUM(C265:C272)</f>
        <v>0</v>
      </c>
      <c r="D264" s="368">
        <f t="shared" si="119"/>
        <v>0</v>
      </c>
      <c r="E264" s="368">
        <f t="shared" si="119"/>
        <v>3</v>
      </c>
      <c r="F264" s="368">
        <f t="shared" si="119"/>
        <v>2</v>
      </c>
      <c r="G264" s="369">
        <f t="shared" si="119"/>
        <v>0</v>
      </c>
      <c r="H264" s="369">
        <f t="shared" si="119"/>
        <v>0</v>
      </c>
      <c r="I264" s="369">
        <f t="shared" si="119"/>
        <v>0</v>
      </c>
      <c r="J264" s="369">
        <f t="shared" si="119"/>
        <v>0</v>
      </c>
      <c r="K264" s="369">
        <f t="shared" si="119"/>
        <v>0</v>
      </c>
      <c r="L264" s="369">
        <f t="shared" si="119"/>
        <v>0</v>
      </c>
      <c r="M264" s="369">
        <f t="shared" si="119"/>
        <v>0</v>
      </c>
      <c r="N264" s="369">
        <f t="shared" si="119"/>
        <v>0</v>
      </c>
      <c r="O264" s="369">
        <f t="shared" si="119"/>
        <v>0</v>
      </c>
      <c r="P264" s="369">
        <f t="shared" si="119"/>
        <v>0</v>
      </c>
      <c r="Q264" s="369">
        <f t="shared" si="119"/>
        <v>0</v>
      </c>
      <c r="R264" s="369">
        <f t="shared" si="119"/>
        <v>0</v>
      </c>
      <c r="S264" s="369">
        <f t="shared" si="119"/>
        <v>0</v>
      </c>
      <c r="T264" s="369">
        <f t="shared" si="119"/>
        <v>0</v>
      </c>
      <c r="U264" s="369">
        <f t="shared" si="119"/>
        <v>0</v>
      </c>
      <c r="V264" s="369">
        <f t="shared" si="119"/>
        <v>0</v>
      </c>
    </row>
    <row r="265" spans="1:22" s="24" customFormat="1" ht="16.5" hidden="1" customHeight="1">
      <c r="A265" s="42">
        <v>3</v>
      </c>
      <c r="B265" s="55" t="s">
        <v>2591</v>
      </c>
      <c r="C265" s="368"/>
      <c r="D265" s="367"/>
      <c r="E265" s="368"/>
      <c r="F265" s="368"/>
      <c r="G265" s="369">
        <f t="shared" ref="G265:G272" si="120">H265+I265+M265</f>
        <v>0</v>
      </c>
      <c r="H265" s="369"/>
      <c r="I265" s="369"/>
      <c r="J265" s="369"/>
      <c r="K265" s="369"/>
      <c r="L265" s="369"/>
      <c r="M265" s="369"/>
      <c r="N265" s="369">
        <f t="shared" ref="N265:N272" si="121">O265+P265+T265</f>
        <v>0</v>
      </c>
      <c r="O265" s="369"/>
      <c r="P265" s="369"/>
      <c r="Q265" s="369"/>
      <c r="R265" s="369"/>
      <c r="S265" s="369"/>
      <c r="T265" s="369"/>
      <c r="U265" s="369">
        <f t="shared" ref="U265:U272" si="122">N265-G265</f>
        <v>0</v>
      </c>
      <c r="V265" s="370">
        <f t="shared" ref="V265:V272" si="123">U265*6</f>
        <v>0</v>
      </c>
    </row>
    <row r="266" spans="1:22" s="24" customFormat="1" hidden="1">
      <c r="A266" s="42">
        <v>4</v>
      </c>
      <c r="B266" s="55" t="s">
        <v>2592</v>
      </c>
      <c r="C266" s="368"/>
      <c r="D266" s="367"/>
      <c r="E266" s="368"/>
      <c r="F266" s="368"/>
      <c r="G266" s="369">
        <f t="shared" si="120"/>
        <v>0</v>
      </c>
      <c r="H266" s="369"/>
      <c r="I266" s="369"/>
      <c r="J266" s="369"/>
      <c r="K266" s="369"/>
      <c r="L266" s="369"/>
      <c r="M266" s="369"/>
      <c r="N266" s="369">
        <f t="shared" si="121"/>
        <v>0</v>
      </c>
      <c r="O266" s="369"/>
      <c r="P266" s="369"/>
      <c r="Q266" s="369"/>
      <c r="R266" s="369"/>
      <c r="S266" s="369"/>
      <c r="T266" s="369"/>
      <c r="U266" s="369">
        <f t="shared" si="122"/>
        <v>0</v>
      </c>
      <c r="V266" s="370">
        <f t="shared" si="123"/>
        <v>0</v>
      </c>
    </row>
    <row r="267" spans="1:22" s="24" customFormat="1" ht="25.5" hidden="1">
      <c r="A267" s="42">
        <v>5</v>
      </c>
      <c r="B267" s="55" t="s">
        <v>2593</v>
      </c>
      <c r="C267" s="368"/>
      <c r="D267" s="367"/>
      <c r="E267" s="368"/>
      <c r="F267" s="368"/>
      <c r="G267" s="369">
        <f t="shared" si="120"/>
        <v>0</v>
      </c>
      <c r="H267" s="369"/>
      <c r="I267" s="369"/>
      <c r="J267" s="369"/>
      <c r="K267" s="369"/>
      <c r="L267" s="369"/>
      <c r="M267" s="369"/>
      <c r="N267" s="369">
        <f t="shared" si="121"/>
        <v>0</v>
      </c>
      <c r="O267" s="369"/>
      <c r="P267" s="369"/>
      <c r="Q267" s="369"/>
      <c r="R267" s="369"/>
      <c r="S267" s="369"/>
      <c r="T267" s="369"/>
      <c r="U267" s="369">
        <f t="shared" si="122"/>
        <v>0</v>
      </c>
      <c r="V267" s="370">
        <f t="shared" si="123"/>
        <v>0</v>
      </c>
    </row>
    <row r="268" spans="1:22" s="24" customFormat="1" hidden="1">
      <c r="A268" s="42">
        <v>6</v>
      </c>
      <c r="B268" s="55" t="s">
        <v>2594</v>
      </c>
      <c r="C268" s="368"/>
      <c r="D268" s="367"/>
      <c r="E268" s="368"/>
      <c r="F268" s="368"/>
      <c r="G268" s="369">
        <f t="shared" si="120"/>
        <v>0</v>
      </c>
      <c r="H268" s="369"/>
      <c r="I268" s="369"/>
      <c r="J268" s="369"/>
      <c r="K268" s="369"/>
      <c r="L268" s="369"/>
      <c r="M268" s="369"/>
      <c r="N268" s="369">
        <f t="shared" si="121"/>
        <v>0</v>
      </c>
      <c r="O268" s="369"/>
      <c r="P268" s="369"/>
      <c r="Q268" s="369"/>
      <c r="R268" s="369"/>
      <c r="S268" s="369"/>
      <c r="T268" s="369"/>
      <c r="U268" s="369">
        <f t="shared" si="122"/>
        <v>0</v>
      </c>
      <c r="V268" s="370">
        <f t="shared" si="123"/>
        <v>0</v>
      </c>
    </row>
    <row r="269" spans="1:22" s="24" customFormat="1" hidden="1">
      <c r="A269" s="42">
        <v>7</v>
      </c>
      <c r="B269" s="55" t="s">
        <v>2595</v>
      </c>
      <c r="C269" s="368"/>
      <c r="D269" s="367"/>
      <c r="E269" s="368"/>
      <c r="F269" s="368"/>
      <c r="G269" s="369">
        <f t="shared" si="120"/>
        <v>0</v>
      </c>
      <c r="H269" s="369"/>
      <c r="I269" s="369"/>
      <c r="J269" s="369"/>
      <c r="K269" s="369"/>
      <c r="L269" s="369"/>
      <c r="M269" s="369"/>
      <c r="N269" s="369">
        <f t="shared" si="121"/>
        <v>0</v>
      </c>
      <c r="O269" s="369"/>
      <c r="P269" s="369"/>
      <c r="Q269" s="369"/>
      <c r="R269" s="369"/>
      <c r="S269" s="369"/>
      <c r="T269" s="369"/>
      <c r="U269" s="369">
        <f t="shared" si="122"/>
        <v>0</v>
      </c>
      <c r="V269" s="370">
        <f t="shared" si="123"/>
        <v>0</v>
      </c>
    </row>
    <row r="270" spans="1:22" s="24" customFormat="1" ht="25.5" hidden="1">
      <c r="A270" s="42">
        <v>8</v>
      </c>
      <c r="B270" s="55" t="s">
        <v>2596</v>
      </c>
      <c r="C270" s="368"/>
      <c r="D270" s="367"/>
      <c r="E270" s="368"/>
      <c r="F270" s="368"/>
      <c r="G270" s="369">
        <f t="shared" si="120"/>
        <v>0</v>
      </c>
      <c r="H270" s="369"/>
      <c r="I270" s="369"/>
      <c r="J270" s="369"/>
      <c r="K270" s="369"/>
      <c r="L270" s="369"/>
      <c r="M270" s="369"/>
      <c r="N270" s="369">
        <f t="shared" si="121"/>
        <v>0</v>
      </c>
      <c r="O270" s="369"/>
      <c r="P270" s="369"/>
      <c r="Q270" s="369"/>
      <c r="R270" s="369"/>
      <c r="S270" s="369"/>
      <c r="T270" s="369"/>
      <c r="U270" s="369">
        <f t="shared" si="122"/>
        <v>0</v>
      </c>
      <c r="V270" s="370">
        <f t="shared" si="123"/>
        <v>0</v>
      </c>
    </row>
    <row r="271" spans="1:22" s="24" customFormat="1" ht="25.5" hidden="1">
      <c r="A271" s="42">
        <v>9</v>
      </c>
      <c r="B271" s="55" t="s">
        <v>2597</v>
      </c>
      <c r="C271" s="368"/>
      <c r="D271" s="367"/>
      <c r="E271" s="368"/>
      <c r="F271" s="368"/>
      <c r="G271" s="369">
        <f t="shared" si="120"/>
        <v>0</v>
      </c>
      <c r="H271" s="369"/>
      <c r="I271" s="369"/>
      <c r="J271" s="369"/>
      <c r="K271" s="369"/>
      <c r="L271" s="369"/>
      <c r="M271" s="369"/>
      <c r="N271" s="369">
        <f t="shared" si="121"/>
        <v>0</v>
      </c>
      <c r="O271" s="369"/>
      <c r="P271" s="369"/>
      <c r="Q271" s="369"/>
      <c r="R271" s="369"/>
      <c r="S271" s="369"/>
      <c r="T271" s="369"/>
      <c r="U271" s="369">
        <f t="shared" si="122"/>
        <v>0</v>
      </c>
      <c r="V271" s="370">
        <f t="shared" si="123"/>
        <v>0</v>
      </c>
    </row>
    <row r="272" spans="1:22" s="24" customFormat="1" ht="25.5" hidden="1">
      <c r="A272" s="42">
        <v>10</v>
      </c>
      <c r="B272" s="55" t="s">
        <v>2598</v>
      </c>
      <c r="C272" s="368"/>
      <c r="D272" s="367"/>
      <c r="E272" s="368">
        <v>3</v>
      </c>
      <c r="F272" s="368">
        <v>2</v>
      </c>
      <c r="G272" s="369">
        <f t="shared" si="120"/>
        <v>0</v>
      </c>
      <c r="H272" s="369"/>
      <c r="I272" s="369">
        <f>J272+K272+L272</f>
        <v>0</v>
      </c>
      <c r="J272" s="369"/>
      <c r="K272" s="369"/>
      <c r="L272" s="369"/>
      <c r="M272" s="369"/>
      <c r="N272" s="369">
        <f t="shared" si="121"/>
        <v>0</v>
      </c>
      <c r="O272" s="369"/>
      <c r="P272" s="369"/>
      <c r="Q272" s="369"/>
      <c r="R272" s="369"/>
      <c r="S272" s="369"/>
      <c r="T272" s="369"/>
      <c r="U272" s="369">
        <f t="shared" si="122"/>
        <v>0</v>
      </c>
      <c r="V272" s="370">
        <f t="shared" si="123"/>
        <v>0</v>
      </c>
    </row>
    <row r="273" spans="1:22" s="24" customFormat="1" hidden="1">
      <c r="A273" s="42"/>
      <c r="B273" s="487" t="s">
        <v>2529</v>
      </c>
      <c r="C273" s="368"/>
      <c r="D273" s="367"/>
      <c r="E273" s="368"/>
      <c r="F273" s="368"/>
      <c r="G273" s="369"/>
      <c r="H273" s="369"/>
      <c r="I273" s="369"/>
      <c r="J273" s="369"/>
      <c r="K273" s="369"/>
      <c r="L273" s="369"/>
      <c r="M273" s="369"/>
      <c r="N273" s="369"/>
      <c r="O273" s="369"/>
      <c r="P273" s="369"/>
      <c r="Q273" s="369"/>
      <c r="R273" s="369"/>
      <c r="S273" s="369"/>
      <c r="T273" s="369"/>
      <c r="U273" s="369"/>
      <c r="V273" s="370"/>
    </row>
    <row r="274" spans="1:22" s="24" customFormat="1" ht="21.75" hidden="1" customHeight="1">
      <c r="A274" s="462">
        <v>2</v>
      </c>
      <c r="B274" s="463" t="s">
        <v>2237</v>
      </c>
      <c r="C274" s="404"/>
      <c r="D274" s="432"/>
      <c r="E274" s="404"/>
      <c r="F274" s="404"/>
      <c r="G274" s="381"/>
      <c r="H274" s="381"/>
      <c r="I274" s="381"/>
      <c r="J274" s="381"/>
      <c r="K274" s="381"/>
      <c r="L274" s="381"/>
      <c r="M274" s="381"/>
      <c r="N274" s="381"/>
      <c r="O274" s="381"/>
      <c r="P274" s="381"/>
      <c r="Q274" s="381"/>
      <c r="R274" s="381"/>
      <c r="S274" s="381"/>
      <c r="T274" s="381"/>
      <c r="U274" s="381"/>
      <c r="V274" s="433"/>
    </row>
    <row r="275" spans="1:22" s="24" customFormat="1" hidden="1">
      <c r="A275" s="460">
        <v>11</v>
      </c>
      <c r="B275" s="101" t="s">
        <v>2293</v>
      </c>
      <c r="C275" s="368">
        <f t="shared" ref="C275:V275" si="124">SUM(C276:C287,C290,C296:C300)</f>
        <v>0</v>
      </c>
      <c r="D275" s="368">
        <f t="shared" si="124"/>
        <v>0</v>
      </c>
      <c r="E275" s="368">
        <f t="shared" si="124"/>
        <v>0</v>
      </c>
      <c r="F275" s="368">
        <f t="shared" si="124"/>
        <v>0</v>
      </c>
      <c r="G275" s="369">
        <f t="shared" si="124"/>
        <v>0</v>
      </c>
      <c r="H275" s="369">
        <f t="shared" si="124"/>
        <v>0</v>
      </c>
      <c r="I275" s="369">
        <f t="shared" si="124"/>
        <v>0</v>
      </c>
      <c r="J275" s="369">
        <f t="shared" si="124"/>
        <v>0</v>
      </c>
      <c r="K275" s="369">
        <f t="shared" si="124"/>
        <v>0</v>
      </c>
      <c r="L275" s="369">
        <f t="shared" si="124"/>
        <v>0</v>
      </c>
      <c r="M275" s="369">
        <f t="shared" si="124"/>
        <v>0</v>
      </c>
      <c r="N275" s="369">
        <f t="shared" si="124"/>
        <v>0</v>
      </c>
      <c r="O275" s="369">
        <f t="shared" si="124"/>
        <v>0</v>
      </c>
      <c r="P275" s="369">
        <f t="shared" si="124"/>
        <v>0</v>
      </c>
      <c r="Q275" s="369">
        <f t="shared" si="124"/>
        <v>0</v>
      </c>
      <c r="R275" s="369">
        <f t="shared" si="124"/>
        <v>0</v>
      </c>
      <c r="S275" s="369">
        <f t="shared" si="124"/>
        <v>0</v>
      </c>
      <c r="T275" s="369">
        <f t="shared" si="124"/>
        <v>0</v>
      </c>
      <c r="U275" s="369">
        <f t="shared" si="124"/>
        <v>0</v>
      </c>
      <c r="V275" s="369">
        <f t="shared" si="124"/>
        <v>0</v>
      </c>
    </row>
    <row r="276" spans="1:22" s="24" customFormat="1" hidden="1">
      <c r="A276" s="460"/>
      <c r="B276" s="498" t="s">
        <v>2889</v>
      </c>
      <c r="C276" s="368"/>
      <c r="D276" s="367"/>
      <c r="E276" s="368"/>
      <c r="F276" s="368"/>
      <c r="G276" s="369">
        <f t="shared" ref="G276:G287" si="125">H276+I276+M276</f>
        <v>0</v>
      </c>
      <c r="H276" s="369"/>
      <c r="I276" s="369"/>
      <c r="J276" s="369"/>
      <c r="K276" s="369"/>
      <c r="L276" s="369"/>
      <c r="M276" s="369"/>
      <c r="N276" s="369">
        <f t="shared" ref="N276:N287" si="126">O276+P276+T276</f>
        <v>0</v>
      </c>
      <c r="O276" s="369"/>
      <c r="P276" s="369"/>
      <c r="Q276" s="369"/>
      <c r="R276" s="369"/>
      <c r="S276" s="369"/>
      <c r="T276" s="369"/>
      <c r="U276" s="369">
        <f t="shared" ref="U276:U287" si="127">N276-G276</f>
        <v>0</v>
      </c>
      <c r="V276" s="370">
        <f t="shared" ref="V276:V287" si="128">U276*6</f>
        <v>0</v>
      </c>
    </row>
    <row r="277" spans="1:22" s="24" customFormat="1" hidden="1">
      <c r="A277" s="460"/>
      <c r="B277" s="498" t="s">
        <v>2600</v>
      </c>
      <c r="C277" s="368"/>
      <c r="D277" s="367"/>
      <c r="E277" s="368"/>
      <c r="F277" s="368"/>
      <c r="G277" s="369">
        <f t="shared" si="125"/>
        <v>0</v>
      </c>
      <c r="H277" s="369"/>
      <c r="I277" s="369"/>
      <c r="J277" s="369"/>
      <c r="K277" s="369"/>
      <c r="L277" s="369"/>
      <c r="M277" s="369"/>
      <c r="N277" s="369">
        <f t="shared" si="126"/>
        <v>0</v>
      </c>
      <c r="O277" s="369"/>
      <c r="P277" s="369"/>
      <c r="Q277" s="369"/>
      <c r="R277" s="369"/>
      <c r="S277" s="369"/>
      <c r="T277" s="369"/>
      <c r="U277" s="369">
        <f t="shared" si="127"/>
        <v>0</v>
      </c>
      <c r="V277" s="370">
        <f t="shared" si="128"/>
        <v>0</v>
      </c>
    </row>
    <row r="278" spans="1:22" s="24" customFormat="1" hidden="1">
      <c r="A278" s="460"/>
      <c r="B278" s="498" t="s">
        <v>2897</v>
      </c>
      <c r="C278" s="368"/>
      <c r="D278" s="367"/>
      <c r="E278" s="368"/>
      <c r="F278" s="368"/>
      <c r="G278" s="369">
        <f t="shared" si="125"/>
        <v>0</v>
      </c>
      <c r="H278" s="369"/>
      <c r="I278" s="369"/>
      <c r="J278" s="369"/>
      <c r="K278" s="369"/>
      <c r="L278" s="369"/>
      <c r="M278" s="369"/>
      <c r="N278" s="369">
        <f t="shared" si="126"/>
        <v>0</v>
      </c>
      <c r="O278" s="369"/>
      <c r="P278" s="369"/>
      <c r="Q278" s="369"/>
      <c r="R278" s="369"/>
      <c r="S278" s="369"/>
      <c r="T278" s="369"/>
      <c r="U278" s="369">
        <f t="shared" si="127"/>
        <v>0</v>
      </c>
      <c r="V278" s="370">
        <f t="shared" si="128"/>
        <v>0</v>
      </c>
    </row>
    <row r="279" spans="1:22" s="24" customFormat="1" hidden="1">
      <c r="A279" s="460"/>
      <c r="B279" s="498" t="s">
        <v>2602</v>
      </c>
      <c r="C279" s="368"/>
      <c r="D279" s="367"/>
      <c r="E279" s="368"/>
      <c r="F279" s="368"/>
      <c r="G279" s="369">
        <f t="shared" si="125"/>
        <v>0</v>
      </c>
      <c r="H279" s="369"/>
      <c r="I279" s="369"/>
      <c r="J279" s="369"/>
      <c r="K279" s="369"/>
      <c r="L279" s="369"/>
      <c r="M279" s="369"/>
      <c r="N279" s="369">
        <f t="shared" si="126"/>
        <v>0</v>
      </c>
      <c r="O279" s="369"/>
      <c r="P279" s="369"/>
      <c r="Q279" s="369"/>
      <c r="R279" s="369"/>
      <c r="S279" s="369"/>
      <c r="T279" s="369"/>
      <c r="U279" s="369">
        <f t="shared" si="127"/>
        <v>0</v>
      </c>
      <c r="V279" s="370">
        <f t="shared" si="128"/>
        <v>0</v>
      </c>
    </row>
    <row r="280" spans="1:22" s="24" customFormat="1" hidden="1">
      <c r="A280" s="460"/>
      <c r="B280" s="498" t="s">
        <v>2603</v>
      </c>
      <c r="C280" s="368"/>
      <c r="D280" s="367"/>
      <c r="E280" s="368"/>
      <c r="F280" s="368"/>
      <c r="G280" s="369">
        <f t="shared" si="125"/>
        <v>0</v>
      </c>
      <c r="H280" s="369"/>
      <c r="I280" s="369"/>
      <c r="J280" s="369"/>
      <c r="K280" s="369"/>
      <c r="L280" s="369"/>
      <c r="M280" s="369"/>
      <c r="N280" s="369">
        <f t="shared" si="126"/>
        <v>0</v>
      </c>
      <c r="O280" s="369"/>
      <c r="P280" s="369"/>
      <c r="Q280" s="369"/>
      <c r="R280" s="369"/>
      <c r="S280" s="369"/>
      <c r="T280" s="369"/>
      <c r="U280" s="369">
        <f t="shared" si="127"/>
        <v>0</v>
      </c>
      <c r="V280" s="370">
        <f t="shared" si="128"/>
        <v>0</v>
      </c>
    </row>
    <row r="281" spans="1:22" s="24" customFormat="1" hidden="1">
      <c r="A281" s="460"/>
      <c r="B281" s="498" t="s">
        <v>2604</v>
      </c>
      <c r="C281" s="368"/>
      <c r="D281" s="367"/>
      <c r="E281" s="368"/>
      <c r="F281" s="368"/>
      <c r="G281" s="369">
        <f t="shared" si="125"/>
        <v>0</v>
      </c>
      <c r="H281" s="369"/>
      <c r="I281" s="369"/>
      <c r="J281" s="369"/>
      <c r="K281" s="369"/>
      <c r="L281" s="369"/>
      <c r="M281" s="369"/>
      <c r="N281" s="369">
        <f t="shared" si="126"/>
        <v>0</v>
      </c>
      <c r="O281" s="369"/>
      <c r="P281" s="369"/>
      <c r="Q281" s="369"/>
      <c r="R281" s="369"/>
      <c r="S281" s="369"/>
      <c r="T281" s="369"/>
      <c r="U281" s="369">
        <f t="shared" si="127"/>
        <v>0</v>
      </c>
      <c r="V281" s="370">
        <f t="shared" si="128"/>
        <v>0</v>
      </c>
    </row>
    <row r="282" spans="1:22" s="24" customFormat="1" hidden="1">
      <c r="A282" s="460"/>
      <c r="B282" s="498" t="s">
        <v>2605</v>
      </c>
      <c r="C282" s="368"/>
      <c r="D282" s="367"/>
      <c r="E282" s="368"/>
      <c r="F282" s="368"/>
      <c r="G282" s="369">
        <f t="shared" si="125"/>
        <v>0</v>
      </c>
      <c r="H282" s="369"/>
      <c r="I282" s="369"/>
      <c r="J282" s="369"/>
      <c r="K282" s="369"/>
      <c r="L282" s="369"/>
      <c r="M282" s="369"/>
      <c r="N282" s="369">
        <f t="shared" si="126"/>
        <v>0</v>
      </c>
      <c r="O282" s="369"/>
      <c r="P282" s="369"/>
      <c r="Q282" s="369"/>
      <c r="R282" s="369"/>
      <c r="S282" s="369"/>
      <c r="T282" s="369"/>
      <c r="U282" s="369">
        <f t="shared" si="127"/>
        <v>0</v>
      </c>
      <c r="V282" s="370">
        <f t="shared" si="128"/>
        <v>0</v>
      </c>
    </row>
    <row r="283" spans="1:22" s="24" customFormat="1" hidden="1">
      <c r="A283" s="460"/>
      <c r="B283" s="498" t="s">
        <v>2606</v>
      </c>
      <c r="C283" s="368"/>
      <c r="D283" s="367"/>
      <c r="E283" s="368"/>
      <c r="F283" s="368"/>
      <c r="G283" s="369">
        <f t="shared" si="125"/>
        <v>0</v>
      </c>
      <c r="H283" s="369"/>
      <c r="I283" s="369"/>
      <c r="J283" s="369"/>
      <c r="K283" s="369"/>
      <c r="L283" s="369"/>
      <c r="M283" s="369"/>
      <c r="N283" s="369">
        <f t="shared" si="126"/>
        <v>0</v>
      </c>
      <c r="O283" s="369"/>
      <c r="P283" s="369"/>
      <c r="Q283" s="369"/>
      <c r="R283" s="369"/>
      <c r="S283" s="369"/>
      <c r="T283" s="369"/>
      <c r="U283" s="369">
        <f t="shared" si="127"/>
        <v>0</v>
      </c>
      <c r="V283" s="370">
        <f t="shared" si="128"/>
        <v>0</v>
      </c>
    </row>
    <row r="284" spans="1:22" s="24" customFormat="1" hidden="1">
      <c r="A284" s="460"/>
      <c r="B284" s="55" t="s">
        <v>2607</v>
      </c>
      <c r="C284" s="368"/>
      <c r="D284" s="367"/>
      <c r="E284" s="368"/>
      <c r="F284" s="368"/>
      <c r="G284" s="369">
        <f t="shared" si="125"/>
        <v>0</v>
      </c>
      <c r="H284" s="369"/>
      <c r="I284" s="369"/>
      <c r="J284" s="369"/>
      <c r="K284" s="369"/>
      <c r="L284" s="369"/>
      <c r="M284" s="369"/>
      <c r="N284" s="369">
        <f t="shared" si="126"/>
        <v>0</v>
      </c>
      <c r="O284" s="369"/>
      <c r="P284" s="369"/>
      <c r="Q284" s="369"/>
      <c r="R284" s="369"/>
      <c r="S284" s="369"/>
      <c r="T284" s="369"/>
      <c r="U284" s="369">
        <f t="shared" si="127"/>
        <v>0</v>
      </c>
      <c r="V284" s="370">
        <f t="shared" si="128"/>
        <v>0</v>
      </c>
    </row>
    <row r="285" spans="1:22" s="24" customFormat="1" hidden="1">
      <c r="A285" s="460"/>
      <c r="B285" s="498" t="s">
        <v>2898</v>
      </c>
      <c r="C285" s="368"/>
      <c r="D285" s="367"/>
      <c r="E285" s="368"/>
      <c r="F285" s="368"/>
      <c r="G285" s="369">
        <f t="shared" si="125"/>
        <v>0</v>
      </c>
      <c r="H285" s="369"/>
      <c r="I285" s="369"/>
      <c r="J285" s="369"/>
      <c r="K285" s="369"/>
      <c r="L285" s="369"/>
      <c r="M285" s="369"/>
      <c r="N285" s="369">
        <f t="shared" si="126"/>
        <v>0</v>
      </c>
      <c r="O285" s="369"/>
      <c r="P285" s="369"/>
      <c r="Q285" s="369"/>
      <c r="R285" s="369"/>
      <c r="S285" s="369"/>
      <c r="T285" s="369"/>
      <c r="U285" s="369">
        <f t="shared" si="127"/>
        <v>0</v>
      </c>
      <c r="V285" s="370">
        <f t="shared" si="128"/>
        <v>0</v>
      </c>
    </row>
    <row r="286" spans="1:22" s="24" customFormat="1" hidden="1">
      <c r="A286" s="460"/>
      <c r="B286" s="55" t="s">
        <v>2618</v>
      </c>
      <c r="C286" s="368"/>
      <c r="D286" s="367"/>
      <c r="E286" s="368"/>
      <c r="F286" s="368"/>
      <c r="G286" s="369">
        <f t="shared" si="125"/>
        <v>0</v>
      </c>
      <c r="H286" s="369"/>
      <c r="I286" s="369"/>
      <c r="J286" s="369"/>
      <c r="K286" s="369"/>
      <c r="L286" s="369"/>
      <c r="M286" s="369"/>
      <c r="N286" s="369">
        <f t="shared" si="126"/>
        <v>0</v>
      </c>
      <c r="O286" s="369"/>
      <c r="P286" s="369"/>
      <c r="Q286" s="369"/>
      <c r="R286" s="369"/>
      <c r="S286" s="369"/>
      <c r="T286" s="369"/>
      <c r="U286" s="369">
        <f t="shared" si="127"/>
        <v>0</v>
      </c>
      <c r="V286" s="370">
        <f t="shared" si="128"/>
        <v>0</v>
      </c>
    </row>
    <row r="287" spans="1:22" s="24" customFormat="1" hidden="1">
      <c r="A287" s="460"/>
      <c r="B287" s="55" t="s">
        <v>2619</v>
      </c>
      <c r="C287" s="368"/>
      <c r="D287" s="367"/>
      <c r="E287" s="368"/>
      <c r="F287" s="368"/>
      <c r="G287" s="369">
        <f t="shared" si="125"/>
        <v>0</v>
      </c>
      <c r="H287" s="369"/>
      <c r="I287" s="369"/>
      <c r="J287" s="369"/>
      <c r="K287" s="369"/>
      <c r="L287" s="369"/>
      <c r="M287" s="369"/>
      <c r="N287" s="369">
        <f t="shared" si="126"/>
        <v>0</v>
      </c>
      <c r="O287" s="369"/>
      <c r="P287" s="369"/>
      <c r="Q287" s="369"/>
      <c r="R287" s="369"/>
      <c r="S287" s="369"/>
      <c r="T287" s="369"/>
      <c r="U287" s="369">
        <f t="shared" si="127"/>
        <v>0</v>
      </c>
      <c r="V287" s="370">
        <f t="shared" si="128"/>
        <v>0</v>
      </c>
    </row>
    <row r="288" spans="1:22" s="24" customFormat="1" hidden="1">
      <c r="A288" s="460"/>
      <c r="B288" s="55" t="s">
        <v>2620</v>
      </c>
      <c r="C288" s="368"/>
      <c r="D288" s="367"/>
      <c r="E288" s="368"/>
      <c r="F288" s="368"/>
      <c r="G288" s="369">
        <f>H288+I288+M288</f>
        <v>0</v>
      </c>
      <c r="H288" s="369"/>
      <c r="I288" s="369"/>
      <c r="J288" s="369"/>
      <c r="K288" s="369"/>
      <c r="L288" s="369"/>
      <c r="M288" s="369"/>
      <c r="N288" s="369">
        <f>O288+P288+T288</f>
        <v>0</v>
      </c>
      <c r="O288" s="369"/>
      <c r="P288" s="369"/>
      <c r="Q288" s="369"/>
      <c r="R288" s="369"/>
      <c r="S288" s="369"/>
      <c r="T288" s="369"/>
      <c r="U288" s="369">
        <f>N288-G288</f>
        <v>0</v>
      </c>
      <c r="V288" s="370">
        <f>U288*6</f>
        <v>0</v>
      </c>
    </row>
    <row r="289" spans="1:22" s="24" customFormat="1" hidden="1">
      <c r="A289" s="460"/>
      <c r="B289" s="55" t="s">
        <v>2621</v>
      </c>
      <c r="C289" s="368"/>
      <c r="D289" s="367"/>
      <c r="E289" s="368"/>
      <c r="F289" s="368"/>
      <c r="G289" s="369">
        <f>H289+I289+M289</f>
        <v>0</v>
      </c>
      <c r="H289" s="369"/>
      <c r="I289" s="369"/>
      <c r="J289" s="369"/>
      <c r="K289" s="369"/>
      <c r="L289" s="369"/>
      <c r="M289" s="369"/>
      <c r="N289" s="369">
        <f>O289+P289+T289</f>
        <v>0</v>
      </c>
      <c r="O289" s="369"/>
      <c r="P289" s="369"/>
      <c r="Q289" s="369"/>
      <c r="R289" s="369"/>
      <c r="S289" s="369"/>
      <c r="T289" s="369"/>
      <c r="U289" s="369">
        <f>N289-G289</f>
        <v>0</v>
      </c>
      <c r="V289" s="370">
        <f>U289*6</f>
        <v>0</v>
      </c>
    </row>
    <row r="290" spans="1:22" s="24" customFormat="1" hidden="1">
      <c r="A290" s="460"/>
      <c r="B290" s="55" t="s">
        <v>2622</v>
      </c>
      <c r="C290" s="368"/>
      <c r="D290" s="367"/>
      <c r="E290" s="368"/>
      <c r="F290" s="368"/>
      <c r="G290" s="369"/>
      <c r="H290" s="369"/>
      <c r="I290" s="369"/>
      <c r="J290" s="369"/>
      <c r="K290" s="369"/>
      <c r="L290" s="369"/>
      <c r="M290" s="369"/>
      <c r="N290" s="369"/>
      <c r="O290" s="369"/>
      <c r="P290" s="369"/>
      <c r="Q290" s="369"/>
      <c r="R290" s="369"/>
      <c r="S290" s="369"/>
      <c r="T290" s="369"/>
      <c r="U290" s="369"/>
      <c r="V290" s="370"/>
    </row>
    <row r="291" spans="1:22" s="24" customFormat="1" hidden="1">
      <c r="A291" s="460"/>
      <c r="B291" s="55" t="s">
        <v>2899</v>
      </c>
      <c r="C291" s="368"/>
      <c r="D291" s="367"/>
      <c r="E291" s="368"/>
      <c r="F291" s="368"/>
      <c r="G291" s="369">
        <f t="shared" ref="G291:G300" si="129">H291+I291+M291</f>
        <v>0</v>
      </c>
      <c r="H291" s="369"/>
      <c r="I291" s="369"/>
      <c r="J291" s="369"/>
      <c r="K291" s="369"/>
      <c r="L291" s="369"/>
      <c r="M291" s="369"/>
      <c r="N291" s="369">
        <f t="shared" ref="N291:N300" si="130">O291+P291+T291</f>
        <v>0</v>
      </c>
      <c r="O291" s="369"/>
      <c r="P291" s="369"/>
      <c r="Q291" s="369"/>
      <c r="R291" s="369"/>
      <c r="S291" s="369"/>
      <c r="T291" s="369"/>
      <c r="U291" s="369">
        <f t="shared" ref="U291:U300" si="131">N291-G291</f>
        <v>0</v>
      </c>
      <c r="V291" s="370">
        <f t="shared" ref="V291:V300" si="132">U291*6</f>
        <v>0</v>
      </c>
    </row>
    <row r="292" spans="1:22" s="24" customFormat="1" hidden="1">
      <c r="A292" s="460"/>
      <c r="B292" s="55" t="s">
        <v>2900</v>
      </c>
      <c r="C292" s="368"/>
      <c r="D292" s="367"/>
      <c r="E292" s="368"/>
      <c r="F292" s="368"/>
      <c r="G292" s="369">
        <f t="shared" si="129"/>
        <v>0</v>
      </c>
      <c r="H292" s="369"/>
      <c r="I292" s="369"/>
      <c r="J292" s="369"/>
      <c r="K292" s="369"/>
      <c r="L292" s="369"/>
      <c r="M292" s="369"/>
      <c r="N292" s="369">
        <f t="shared" si="130"/>
        <v>0</v>
      </c>
      <c r="O292" s="369"/>
      <c r="P292" s="369"/>
      <c r="Q292" s="369"/>
      <c r="R292" s="369"/>
      <c r="S292" s="369"/>
      <c r="T292" s="369"/>
      <c r="U292" s="369">
        <f t="shared" si="131"/>
        <v>0</v>
      </c>
      <c r="V292" s="370">
        <f t="shared" si="132"/>
        <v>0</v>
      </c>
    </row>
    <row r="293" spans="1:22" s="24" customFormat="1" hidden="1">
      <c r="A293" s="460"/>
      <c r="B293" s="55" t="s">
        <v>2901</v>
      </c>
      <c r="C293" s="368"/>
      <c r="D293" s="367"/>
      <c r="E293" s="368"/>
      <c r="F293" s="368"/>
      <c r="G293" s="369">
        <f t="shared" si="129"/>
        <v>0</v>
      </c>
      <c r="H293" s="369"/>
      <c r="I293" s="369"/>
      <c r="J293" s="369"/>
      <c r="K293" s="369"/>
      <c r="L293" s="369"/>
      <c r="M293" s="369"/>
      <c r="N293" s="369">
        <f t="shared" si="130"/>
        <v>0</v>
      </c>
      <c r="O293" s="369"/>
      <c r="P293" s="369"/>
      <c r="Q293" s="369"/>
      <c r="R293" s="369"/>
      <c r="S293" s="369"/>
      <c r="T293" s="369"/>
      <c r="U293" s="369">
        <f t="shared" si="131"/>
        <v>0</v>
      </c>
      <c r="V293" s="370">
        <f t="shared" si="132"/>
        <v>0</v>
      </c>
    </row>
    <row r="294" spans="1:22" s="24" customFormat="1" hidden="1">
      <c r="A294" s="460"/>
      <c r="B294" s="55" t="s">
        <v>2902</v>
      </c>
      <c r="C294" s="368"/>
      <c r="D294" s="367"/>
      <c r="E294" s="368"/>
      <c r="F294" s="368"/>
      <c r="G294" s="369">
        <f t="shared" si="129"/>
        <v>0</v>
      </c>
      <c r="H294" s="369"/>
      <c r="I294" s="369"/>
      <c r="J294" s="369"/>
      <c r="K294" s="369"/>
      <c r="L294" s="369"/>
      <c r="M294" s="369"/>
      <c r="N294" s="369">
        <f t="shared" si="130"/>
        <v>0</v>
      </c>
      <c r="O294" s="369"/>
      <c r="P294" s="369"/>
      <c r="Q294" s="369"/>
      <c r="R294" s="369"/>
      <c r="S294" s="369"/>
      <c r="T294" s="369"/>
      <c r="U294" s="369">
        <f t="shared" si="131"/>
        <v>0</v>
      </c>
      <c r="V294" s="370">
        <f t="shared" si="132"/>
        <v>0</v>
      </c>
    </row>
    <row r="295" spans="1:22" s="24" customFormat="1" hidden="1">
      <c r="A295" s="460"/>
      <c r="B295" s="55" t="s">
        <v>2903</v>
      </c>
      <c r="C295" s="368"/>
      <c r="D295" s="367"/>
      <c r="E295" s="368"/>
      <c r="F295" s="368"/>
      <c r="G295" s="369">
        <f t="shared" si="129"/>
        <v>0</v>
      </c>
      <c r="H295" s="369"/>
      <c r="I295" s="369"/>
      <c r="J295" s="369"/>
      <c r="K295" s="369"/>
      <c r="L295" s="369"/>
      <c r="M295" s="369"/>
      <c r="N295" s="369">
        <f t="shared" si="130"/>
        <v>0</v>
      </c>
      <c r="O295" s="369"/>
      <c r="P295" s="369"/>
      <c r="Q295" s="369"/>
      <c r="R295" s="369"/>
      <c r="S295" s="369"/>
      <c r="T295" s="369"/>
      <c r="U295" s="369">
        <f t="shared" si="131"/>
        <v>0</v>
      </c>
      <c r="V295" s="370">
        <f t="shared" si="132"/>
        <v>0</v>
      </c>
    </row>
    <row r="296" spans="1:22" s="24" customFormat="1" hidden="1">
      <c r="A296" s="460"/>
      <c r="B296" s="498" t="s">
        <v>2628</v>
      </c>
      <c r="C296" s="368"/>
      <c r="D296" s="367"/>
      <c r="E296" s="368"/>
      <c r="F296" s="368"/>
      <c r="G296" s="369">
        <f t="shared" si="129"/>
        <v>0</v>
      </c>
      <c r="H296" s="369"/>
      <c r="I296" s="369"/>
      <c r="J296" s="369"/>
      <c r="K296" s="369"/>
      <c r="L296" s="369"/>
      <c r="M296" s="369"/>
      <c r="N296" s="369">
        <f t="shared" si="130"/>
        <v>0</v>
      </c>
      <c r="O296" s="369"/>
      <c r="P296" s="369"/>
      <c r="Q296" s="369"/>
      <c r="R296" s="369"/>
      <c r="S296" s="369"/>
      <c r="T296" s="369"/>
      <c r="U296" s="369">
        <f t="shared" si="131"/>
        <v>0</v>
      </c>
      <c r="V296" s="370">
        <f t="shared" si="132"/>
        <v>0</v>
      </c>
    </row>
    <row r="297" spans="1:22" s="24" customFormat="1" hidden="1">
      <c r="A297" s="460"/>
      <c r="B297" s="498" t="s">
        <v>2629</v>
      </c>
      <c r="C297" s="368"/>
      <c r="D297" s="367"/>
      <c r="E297" s="368"/>
      <c r="F297" s="368"/>
      <c r="G297" s="369">
        <f t="shared" si="129"/>
        <v>0</v>
      </c>
      <c r="H297" s="369"/>
      <c r="I297" s="369"/>
      <c r="J297" s="369"/>
      <c r="K297" s="369"/>
      <c r="L297" s="369"/>
      <c r="M297" s="369"/>
      <c r="N297" s="369">
        <f t="shared" si="130"/>
        <v>0</v>
      </c>
      <c r="O297" s="369"/>
      <c r="P297" s="369"/>
      <c r="Q297" s="369"/>
      <c r="R297" s="369"/>
      <c r="S297" s="369"/>
      <c r="T297" s="369"/>
      <c r="U297" s="369">
        <f t="shared" si="131"/>
        <v>0</v>
      </c>
      <c r="V297" s="370">
        <f t="shared" si="132"/>
        <v>0</v>
      </c>
    </row>
    <row r="298" spans="1:22" s="24" customFormat="1" hidden="1">
      <c r="A298" s="460"/>
      <c r="B298" s="498" t="s">
        <v>2630</v>
      </c>
      <c r="C298" s="368"/>
      <c r="D298" s="367"/>
      <c r="E298" s="368"/>
      <c r="F298" s="368"/>
      <c r="G298" s="369">
        <f t="shared" si="129"/>
        <v>0</v>
      </c>
      <c r="H298" s="369"/>
      <c r="I298" s="369"/>
      <c r="J298" s="369"/>
      <c r="K298" s="369"/>
      <c r="L298" s="369"/>
      <c r="M298" s="369"/>
      <c r="N298" s="369">
        <f t="shared" si="130"/>
        <v>0</v>
      </c>
      <c r="O298" s="369"/>
      <c r="P298" s="369"/>
      <c r="Q298" s="369"/>
      <c r="R298" s="369"/>
      <c r="S298" s="369"/>
      <c r="T298" s="369"/>
      <c r="U298" s="369">
        <f t="shared" si="131"/>
        <v>0</v>
      </c>
      <c r="V298" s="370">
        <f t="shared" si="132"/>
        <v>0</v>
      </c>
    </row>
    <row r="299" spans="1:22" s="24" customFormat="1" hidden="1">
      <c r="A299" s="460"/>
      <c r="B299" s="498" t="s">
        <v>2631</v>
      </c>
      <c r="C299" s="368"/>
      <c r="D299" s="367"/>
      <c r="E299" s="368"/>
      <c r="F299" s="368"/>
      <c r="G299" s="369">
        <f t="shared" si="129"/>
        <v>0</v>
      </c>
      <c r="H299" s="369"/>
      <c r="I299" s="369"/>
      <c r="J299" s="369"/>
      <c r="K299" s="369"/>
      <c r="L299" s="369"/>
      <c r="M299" s="369"/>
      <c r="N299" s="369">
        <f t="shared" si="130"/>
        <v>0</v>
      </c>
      <c r="O299" s="369"/>
      <c r="P299" s="369"/>
      <c r="Q299" s="369"/>
      <c r="R299" s="369"/>
      <c r="S299" s="369"/>
      <c r="T299" s="369"/>
      <c r="U299" s="369">
        <f t="shared" si="131"/>
        <v>0</v>
      </c>
      <c r="V299" s="370">
        <f t="shared" si="132"/>
        <v>0</v>
      </c>
    </row>
    <row r="300" spans="1:22" s="24" customFormat="1" hidden="1">
      <c r="A300" s="460"/>
      <c r="B300" s="75" t="s">
        <v>2904</v>
      </c>
      <c r="C300" s="368"/>
      <c r="D300" s="367"/>
      <c r="E300" s="368"/>
      <c r="F300" s="368"/>
      <c r="G300" s="369">
        <f t="shared" si="129"/>
        <v>0</v>
      </c>
      <c r="H300" s="369"/>
      <c r="I300" s="369"/>
      <c r="J300" s="369"/>
      <c r="K300" s="369"/>
      <c r="L300" s="369"/>
      <c r="M300" s="369"/>
      <c r="N300" s="369">
        <f t="shared" si="130"/>
        <v>0</v>
      </c>
      <c r="O300" s="369"/>
      <c r="P300" s="369"/>
      <c r="Q300" s="369"/>
      <c r="R300" s="369"/>
      <c r="S300" s="369"/>
      <c r="T300" s="369"/>
      <c r="U300" s="369">
        <f t="shared" si="131"/>
        <v>0</v>
      </c>
      <c r="V300" s="370">
        <f t="shared" si="132"/>
        <v>0</v>
      </c>
    </row>
    <row r="301" spans="1:22" s="24" customFormat="1" hidden="1">
      <c r="A301" s="460">
        <v>12</v>
      </c>
      <c r="B301" s="75" t="s">
        <v>2643</v>
      </c>
      <c r="C301" s="368"/>
      <c r="D301" s="367"/>
      <c r="E301" s="368"/>
      <c r="F301" s="368"/>
      <c r="G301" s="369"/>
      <c r="H301" s="369"/>
      <c r="I301" s="369"/>
      <c r="J301" s="369"/>
      <c r="K301" s="369"/>
      <c r="L301" s="369"/>
      <c r="M301" s="369"/>
      <c r="N301" s="369"/>
      <c r="O301" s="369"/>
      <c r="P301" s="369"/>
      <c r="Q301" s="369"/>
      <c r="R301" s="369"/>
      <c r="S301" s="369"/>
      <c r="T301" s="369"/>
      <c r="U301" s="369"/>
      <c r="V301" s="370"/>
    </row>
    <row r="302" spans="1:22" s="24" customFormat="1" ht="16.5" hidden="1" customHeight="1">
      <c r="A302" s="469"/>
      <c r="B302" s="470" t="s">
        <v>2529</v>
      </c>
      <c r="C302" s="394"/>
      <c r="D302" s="430"/>
      <c r="E302" s="394"/>
      <c r="F302" s="394"/>
      <c r="G302" s="397"/>
      <c r="H302" s="397"/>
      <c r="I302" s="397"/>
      <c r="J302" s="397"/>
      <c r="K302" s="397"/>
      <c r="L302" s="397"/>
      <c r="M302" s="397"/>
      <c r="N302" s="397"/>
      <c r="O302" s="397"/>
      <c r="P302" s="397"/>
      <c r="Q302" s="397"/>
      <c r="R302" s="397"/>
      <c r="S302" s="397"/>
      <c r="T302" s="397"/>
      <c r="U302" s="397"/>
      <c r="V302" s="431"/>
    </row>
    <row r="303" spans="1:22" s="24" customFormat="1" hidden="1">
      <c r="A303" s="462">
        <v>3</v>
      </c>
      <c r="B303" s="463" t="s">
        <v>2531</v>
      </c>
      <c r="C303" s="404">
        <f t="shared" ref="C303:V303" si="133">C304</f>
        <v>0</v>
      </c>
      <c r="D303" s="404">
        <f t="shared" si="133"/>
        <v>0</v>
      </c>
      <c r="E303" s="404">
        <f t="shared" si="133"/>
        <v>2</v>
      </c>
      <c r="F303" s="404">
        <f t="shared" si="133"/>
        <v>2</v>
      </c>
      <c r="G303" s="381">
        <f t="shared" si="133"/>
        <v>6.0397999999999996</v>
      </c>
      <c r="H303" s="381">
        <f t="shared" si="133"/>
        <v>5.9799999999999995</v>
      </c>
      <c r="I303" s="381">
        <f t="shared" si="133"/>
        <v>0</v>
      </c>
      <c r="J303" s="381">
        <f t="shared" si="133"/>
        <v>0</v>
      </c>
      <c r="K303" s="381">
        <f t="shared" si="133"/>
        <v>0</v>
      </c>
      <c r="L303" s="381">
        <f t="shared" si="133"/>
        <v>0</v>
      </c>
      <c r="M303" s="381">
        <f t="shared" si="133"/>
        <v>5.9799999999999999E-2</v>
      </c>
      <c r="N303" s="381">
        <f t="shared" si="133"/>
        <v>6.4579399999999989</v>
      </c>
      <c r="O303" s="381">
        <f t="shared" si="133"/>
        <v>6.3939999999999992</v>
      </c>
      <c r="P303" s="381">
        <f t="shared" si="133"/>
        <v>0</v>
      </c>
      <c r="Q303" s="381">
        <f t="shared" si="133"/>
        <v>0</v>
      </c>
      <c r="R303" s="381">
        <f t="shared" si="133"/>
        <v>0</v>
      </c>
      <c r="S303" s="381">
        <f t="shared" si="133"/>
        <v>0</v>
      </c>
      <c r="T303" s="381">
        <f t="shared" si="133"/>
        <v>6.3939999999999997E-2</v>
      </c>
      <c r="U303" s="381">
        <f t="shared" si="133"/>
        <v>4.1399999999999978E-3</v>
      </c>
      <c r="V303" s="381">
        <f t="shared" si="133"/>
        <v>2.4839999999999987E-2</v>
      </c>
    </row>
    <row r="304" spans="1:22" s="24" customFormat="1" hidden="1">
      <c r="A304" s="460">
        <v>13</v>
      </c>
      <c r="B304" s="101" t="s">
        <v>2644</v>
      </c>
      <c r="C304" s="368">
        <f t="shared" ref="C304:V304" si="134">SUM(C305:C309)</f>
        <v>0</v>
      </c>
      <c r="D304" s="368">
        <f t="shared" si="134"/>
        <v>0</v>
      </c>
      <c r="E304" s="368">
        <f t="shared" si="134"/>
        <v>2</v>
      </c>
      <c r="F304" s="368">
        <f t="shared" si="134"/>
        <v>2</v>
      </c>
      <c r="G304" s="369">
        <f t="shared" si="134"/>
        <v>6.0397999999999996</v>
      </c>
      <c r="H304" s="369">
        <f t="shared" si="134"/>
        <v>5.9799999999999995</v>
      </c>
      <c r="I304" s="369">
        <f t="shared" si="134"/>
        <v>0</v>
      </c>
      <c r="J304" s="369">
        <f t="shared" si="134"/>
        <v>0</v>
      </c>
      <c r="K304" s="369">
        <f t="shared" si="134"/>
        <v>0</v>
      </c>
      <c r="L304" s="369">
        <f t="shared" si="134"/>
        <v>0</v>
      </c>
      <c r="M304" s="369">
        <f t="shared" si="134"/>
        <v>5.9799999999999999E-2</v>
      </c>
      <c r="N304" s="369">
        <f t="shared" si="134"/>
        <v>6.4579399999999989</v>
      </c>
      <c r="O304" s="369">
        <f t="shared" si="134"/>
        <v>6.3939999999999992</v>
      </c>
      <c r="P304" s="369">
        <f t="shared" si="134"/>
        <v>0</v>
      </c>
      <c r="Q304" s="369">
        <f t="shared" si="134"/>
        <v>0</v>
      </c>
      <c r="R304" s="369">
        <f t="shared" si="134"/>
        <v>0</v>
      </c>
      <c r="S304" s="369">
        <f t="shared" si="134"/>
        <v>0</v>
      </c>
      <c r="T304" s="369">
        <f t="shared" si="134"/>
        <v>6.3939999999999997E-2</v>
      </c>
      <c r="U304" s="369">
        <f t="shared" si="134"/>
        <v>4.1399999999999978E-3</v>
      </c>
      <c r="V304" s="369">
        <f t="shared" si="134"/>
        <v>2.4839999999999987E-2</v>
      </c>
    </row>
    <row r="305" spans="1:22" s="24" customFormat="1" hidden="1">
      <c r="A305" s="460"/>
      <c r="B305" s="498" t="s">
        <v>2645</v>
      </c>
      <c r="C305" s="368"/>
      <c r="D305" s="367"/>
      <c r="E305" s="368"/>
      <c r="F305" s="368"/>
      <c r="G305" s="369">
        <f>H305+I305+M305</f>
        <v>0</v>
      </c>
      <c r="H305" s="369"/>
      <c r="I305" s="369"/>
      <c r="J305" s="369"/>
      <c r="K305" s="369"/>
      <c r="L305" s="369"/>
      <c r="M305" s="369"/>
      <c r="N305" s="369">
        <f>O305+P305+T305</f>
        <v>0</v>
      </c>
      <c r="O305" s="369"/>
      <c r="P305" s="369"/>
      <c r="Q305" s="369"/>
      <c r="R305" s="369"/>
      <c r="S305" s="369"/>
      <c r="T305" s="369"/>
      <c r="U305" s="369">
        <f>N305-G305</f>
        <v>0</v>
      </c>
      <c r="V305" s="370">
        <f>U305*6</f>
        <v>0</v>
      </c>
    </row>
    <row r="306" spans="1:22" s="24" customFormat="1" hidden="1">
      <c r="A306" s="460"/>
      <c r="B306" s="55" t="s">
        <v>2646</v>
      </c>
      <c r="C306" s="368"/>
      <c r="D306" s="367"/>
      <c r="E306" s="368"/>
      <c r="F306" s="368"/>
      <c r="G306" s="369">
        <f>H306+I306+M306</f>
        <v>0</v>
      </c>
      <c r="H306" s="369"/>
      <c r="I306" s="369"/>
      <c r="J306" s="369"/>
      <c r="K306" s="369"/>
      <c r="L306" s="369"/>
      <c r="M306" s="369"/>
      <c r="N306" s="369">
        <f>O306+P306+T306</f>
        <v>0</v>
      </c>
      <c r="O306" s="369"/>
      <c r="P306" s="369"/>
      <c r="Q306" s="369"/>
      <c r="R306" s="369"/>
      <c r="S306" s="369"/>
      <c r="T306" s="369"/>
      <c r="U306" s="369">
        <f>N306-G306</f>
        <v>0</v>
      </c>
      <c r="V306" s="370">
        <f>U306*6</f>
        <v>0</v>
      </c>
    </row>
    <row r="307" spans="1:22" s="24" customFormat="1" hidden="1">
      <c r="A307" s="460"/>
      <c r="B307" s="55" t="s">
        <v>2649</v>
      </c>
      <c r="C307" s="368"/>
      <c r="D307" s="367"/>
      <c r="E307" s="368"/>
      <c r="F307" s="368"/>
      <c r="G307" s="369">
        <f>H307+I307+M307</f>
        <v>0</v>
      </c>
      <c r="H307" s="369"/>
      <c r="I307" s="369"/>
      <c r="J307" s="369"/>
      <c r="K307" s="369"/>
      <c r="L307" s="369"/>
      <c r="M307" s="369"/>
      <c r="N307" s="369">
        <f>O307+P307+T307</f>
        <v>0</v>
      </c>
      <c r="O307" s="369"/>
      <c r="P307" s="369"/>
      <c r="Q307" s="369"/>
      <c r="R307" s="369"/>
      <c r="S307" s="369"/>
      <c r="T307" s="369"/>
      <c r="U307" s="369">
        <f>N307-G307</f>
        <v>0</v>
      </c>
      <c r="V307" s="370">
        <f>U307*6</f>
        <v>0</v>
      </c>
    </row>
    <row r="308" spans="1:22" s="24" customFormat="1" hidden="1">
      <c r="A308" s="460"/>
      <c r="B308" s="498" t="s">
        <v>2650</v>
      </c>
      <c r="C308" s="368"/>
      <c r="D308" s="367"/>
      <c r="E308" s="368">
        <v>2</v>
      </c>
      <c r="F308" s="368">
        <v>2</v>
      </c>
      <c r="G308" s="369">
        <f>H308+I308+M308</f>
        <v>6.0397999999999996</v>
      </c>
      <c r="H308" s="369">
        <f>(2.19+2.41)*1.3</f>
        <v>5.9799999999999995</v>
      </c>
      <c r="I308" s="369"/>
      <c r="J308" s="369"/>
      <c r="K308" s="369"/>
      <c r="L308" s="369"/>
      <c r="M308" s="369">
        <f>(H308+I308)*1%</f>
        <v>5.9799999999999999E-2</v>
      </c>
      <c r="N308" s="369">
        <f>O308+P308+T308</f>
        <v>6.4579399999999989</v>
      </c>
      <c r="O308" s="369">
        <f>(2.19+2.41)*1.39</f>
        <v>6.3939999999999992</v>
      </c>
      <c r="P308" s="369"/>
      <c r="Q308" s="369"/>
      <c r="R308" s="369"/>
      <c r="S308" s="369"/>
      <c r="T308" s="369">
        <f>(O308+P308)*1%</f>
        <v>6.3939999999999997E-2</v>
      </c>
      <c r="U308" s="369">
        <f>T308-M308</f>
        <v>4.1399999999999978E-3</v>
      </c>
      <c r="V308" s="370">
        <f>U308*6</f>
        <v>2.4839999999999987E-2</v>
      </c>
    </row>
    <row r="309" spans="1:22" s="24" customFormat="1" hidden="1">
      <c r="A309" s="460"/>
      <c r="B309" s="55" t="s">
        <v>2890</v>
      </c>
      <c r="C309" s="368"/>
      <c r="D309" s="367"/>
      <c r="E309" s="368"/>
      <c r="F309" s="368"/>
      <c r="G309" s="369">
        <f>H309+I309+M309</f>
        <v>0</v>
      </c>
      <c r="H309" s="369"/>
      <c r="I309" s="369"/>
      <c r="J309" s="369"/>
      <c r="K309" s="369"/>
      <c r="L309" s="369"/>
      <c r="M309" s="369"/>
      <c r="N309" s="369">
        <f>O309+P309+T309</f>
        <v>0</v>
      </c>
      <c r="O309" s="369"/>
      <c r="P309" s="369"/>
      <c r="Q309" s="369"/>
      <c r="R309" s="369"/>
      <c r="S309" s="369"/>
      <c r="T309" s="369"/>
      <c r="U309" s="369">
        <f>N309-G309</f>
        <v>0</v>
      </c>
      <c r="V309" s="370">
        <f>U309*6</f>
        <v>0</v>
      </c>
    </row>
    <row r="310" spans="1:22" s="24" customFormat="1" hidden="1">
      <c r="A310" s="462">
        <v>4</v>
      </c>
      <c r="B310" s="463" t="s">
        <v>2532</v>
      </c>
      <c r="C310" s="404">
        <f t="shared" ref="C310:V310" si="135">C311</f>
        <v>0</v>
      </c>
      <c r="D310" s="404">
        <f t="shared" si="135"/>
        <v>0</v>
      </c>
      <c r="E310" s="404">
        <f t="shared" si="135"/>
        <v>0</v>
      </c>
      <c r="F310" s="404">
        <f t="shared" si="135"/>
        <v>0</v>
      </c>
      <c r="G310" s="381">
        <f t="shared" si="135"/>
        <v>0</v>
      </c>
      <c r="H310" s="381">
        <f t="shared" si="135"/>
        <v>0</v>
      </c>
      <c r="I310" s="381">
        <f t="shared" si="135"/>
        <v>0</v>
      </c>
      <c r="J310" s="381">
        <f t="shared" si="135"/>
        <v>0</v>
      </c>
      <c r="K310" s="381">
        <f t="shared" si="135"/>
        <v>0</v>
      </c>
      <c r="L310" s="381">
        <f t="shared" si="135"/>
        <v>0</v>
      </c>
      <c r="M310" s="381">
        <f t="shared" si="135"/>
        <v>0</v>
      </c>
      <c r="N310" s="381">
        <f t="shared" si="135"/>
        <v>0</v>
      </c>
      <c r="O310" s="381">
        <f t="shared" si="135"/>
        <v>0</v>
      </c>
      <c r="P310" s="381">
        <f t="shared" si="135"/>
        <v>0</v>
      </c>
      <c r="Q310" s="381">
        <f t="shared" si="135"/>
        <v>0</v>
      </c>
      <c r="R310" s="381">
        <f t="shared" si="135"/>
        <v>0</v>
      </c>
      <c r="S310" s="381">
        <f t="shared" si="135"/>
        <v>0</v>
      </c>
      <c r="T310" s="381">
        <f t="shared" si="135"/>
        <v>0</v>
      </c>
      <c r="U310" s="381">
        <f t="shared" si="135"/>
        <v>0</v>
      </c>
      <c r="V310" s="381">
        <f t="shared" si="135"/>
        <v>0</v>
      </c>
    </row>
    <row r="311" spans="1:22" s="24" customFormat="1" hidden="1">
      <c r="A311" s="460">
        <v>14</v>
      </c>
      <c r="B311" s="101" t="s">
        <v>2652</v>
      </c>
      <c r="C311" s="368">
        <f t="shared" ref="C311:V311" si="136">SUM(C312:C317)</f>
        <v>0</v>
      </c>
      <c r="D311" s="368">
        <f t="shared" si="136"/>
        <v>0</v>
      </c>
      <c r="E311" s="368">
        <f t="shared" si="136"/>
        <v>0</v>
      </c>
      <c r="F311" s="368">
        <f t="shared" si="136"/>
        <v>0</v>
      </c>
      <c r="G311" s="369">
        <f t="shared" si="136"/>
        <v>0</v>
      </c>
      <c r="H311" s="369">
        <f t="shared" si="136"/>
        <v>0</v>
      </c>
      <c r="I311" s="369">
        <f t="shared" si="136"/>
        <v>0</v>
      </c>
      <c r="J311" s="369">
        <f t="shared" si="136"/>
        <v>0</v>
      </c>
      <c r="K311" s="369">
        <f t="shared" si="136"/>
        <v>0</v>
      </c>
      <c r="L311" s="369">
        <f t="shared" si="136"/>
        <v>0</v>
      </c>
      <c r="M311" s="369">
        <f t="shared" si="136"/>
        <v>0</v>
      </c>
      <c r="N311" s="369">
        <f t="shared" si="136"/>
        <v>0</v>
      </c>
      <c r="O311" s="369">
        <f t="shared" si="136"/>
        <v>0</v>
      </c>
      <c r="P311" s="369">
        <f t="shared" si="136"/>
        <v>0</v>
      </c>
      <c r="Q311" s="369">
        <f t="shared" si="136"/>
        <v>0</v>
      </c>
      <c r="R311" s="369">
        <f t="shared" si="136"/>
        <v>0</v>
      </c>
      <c r="S311" s="369">
        <f t="shared" si="136"/>
        <v>0</v>
      </c>
      <c r="T311" s="369">
        <f t="shared" si="136"/>
        <v>0</v>
      </c>
      <c r="U311" s="369">
        <f t="shared" si="136"/>
        <v>0</v>
      </c>
      <c r="V311" s="369">
        <f t="shared" si="136"/>
        <v>0</v>
      </c>
    </row>
    <row r="312" spans="1:22" s="24" customFormat="1" hidden="1">
      <c r="A312" s="460"/>
      <c r="B312" s="55" t="s">
        <v>2653</v>
      </c>
      <c r="C312" s="368"/>
      <c r="D312" s="367"/>
      <c r="E312" s="368"/>
      <c r="F312" s="368"/>
      <c r="G312" s="369">
        <f t="shared" ref="G312:G317" si="137">H312+I312+M312</f>
        <v>0</v>
      </c>
      <c r="H312" s="369"/>
      <c r="I312" s="369"/>
      <c r="J312" s="369"/>
      <c r="K312" s="369"/>
      <c r="L312" s="369"/>
      <c r="M312" s="369"/>
      <c r="N312" s="369">
        <f t="shared" ref="N312:N317" si="138">O312+P312+T312</f>
        <v>0</v>
      </c>
      <c r="O312" s="369"/>
      <c r="P312" s="369"/>
      <c r="Q312" s="369"/>
      <c r="R312" s="369"/>
      <c r="S312" s="369"/>
      <c r="T312" s="369"/>
      <c r="U312" s="369">
        <f t="shared" ref="U312:U317" si="139">N312-G312</f>
        <v>0</v>
      </c>
      <c r="V312" s="370">
        <f t="shared" ref="V312:V317" si="140">U312*6</f>
        <v>0</v>
      </c>
    </row>
    <row r="313" spans="1:22" s="24" customFormat="1" hidden="1">
      <c r="A313" s="460"/>
      <c r="B313" s="55" t="s">
        <v>2654</v>
      </c>
      <c r="C313" s="368"/>
      <c r="D313" s="367"/>
      <c r="E313" s="368"/>
      <c r="F313" s="368"/>
      <c r="G313" s="369">
        <f t="shared" si="137"/>
        <v>0</v>
      </c>
      <c r="H313" s="369"/>
      <c r="I313" s="369"/>
      <c r="J313" s="369"/>
      <c r="K313" s="369"/>
      <c r="L313" s="369"/>
      <c r="M313" s="369"/>
      <c r="N313" s="369">
        <f t="shared" si="138"/>
        <v>0</v>
      </c>
      <c r="O313" s="369"/>
      <c r="P313" s="369"/>
      <c r="Q313" s="369"/>
      <c r="R313" s="369"/>
      <c r="S313" s="369"/>
      <c r="T313" s="369"/>
      <c r="U313" s="369">
        <f t="shared" si="139"/>
        <v>0</v>
      </c>
      <c r="V313" s="370">
        <f t="shared" si="140"/>
        <v>0</v>
      </c>
    </row>
    <row r="314" spans="1:22" s="24" customFormat="1" hidden="1">
      <c r="A314" s="460"/>
      <c r="B314" s="55" t="s">
        <v>2655</v>
      </c>
      <c r="C314" s="368"/>
      <c r="D314" s="367"/>
      <c r="E314" s="368"/>
      <c r="F314" s="368"/>
      <c r="G314" s="369">
        <f t="shared" si="137"/>
        <v>0</v>
      </c>
      <c r="H314" s="369"/>
      <c r="I314" s="369"/>
      <c r="J314" s="369"/>
      <c r="K314" s="369"/>
      <c r="L314" s="369"/>
      <c r="M314" s="369"/>
      <c r="N314" s="369">
        <f t="shared" si="138"/>
        <v>0</v>
      </c>
      <c r="O314" s="369"/>
      <c r="P314" s="369"/>
      <c r="Q314" s="369"/>
      <c r="R314" s="369"/>
      <c r="S314" s="369"/>
      <c r="T314" s="369"/>
      <c r="U314" s="369">
        <f t="shared" si="139"/>
        <v>0</v>
      </c>
      <c r="V314" s="370">
        <f t="shared" si="140"/>
        <v>0</v>
      </c>
    </row>
    <row r="315" spans="1:22" s="24" customFormat="1" hidden="1">
      <c r="A315" s="460"/>
      <c r="B315" s="55" t="s">
        <v>2656</v>
      </c>
      <c r="C315" s="368"/>
      <c r="D315" s="367"/>
      <c r="E315" s="368"/>
      <c r="F315" s="368"/>
      <c r="G315" s="369">
        <f t="shared" si="137"/>
        <v>0</v>
      </c>
      <c r="H315" s="369"/>
      <c r="I315" s="369"/>
      <c r="J315" s="369"/>
      <c r="K315" s="369"/>
      <c r="L315" s="369"/>
      <c r="M315" s="369"/>
      <c r="N315" s="369">
        <f t="shared" si="138"/>
        <v>0</v>
      </c>
      <c r="O315" s="369"/>
      <c r="P315" s="369"/>
      <c r="Q315" s="369"/>
      <c r="R315" s="369"/>
      <c r="S315" s="369"/>
      <c r="T315" s="369"/>
      <c r="U315" s="369">
        <f t="shared" si="139"/>
        <v>0</v>
      </c>
      <c r="V315" s="370">
        <f t="shared" si="140"/>
        <v>0</v>
      </c>
    </row>
    <row r="316" spans="1:22" s="24" customFormat="1" hidden="1">
      <c r="A316" s="460"/>
      <c r="B316" s="55" t="s">
        <v>2657</v>
      </c>
      <c r="C316" s="368"/>
      <c r="D316" s="367"/>
      <c r="E316" s="368"/>
      <c r="F316" s="368"/>
      <c r="G316" s="369">
        <f t="shared" si="137"/>
        <v>0</v>
      </c>
      <c r="H316" s="369"/>
      <c r="I316" s="369"/>
      <c r="J316" s="369"/>
      <c r="K316" s="369"/>
      <c r="L316" s="369"/>
      <c r="M316" s="369"/>
      <c r="N316" s="369">
        <f t="shared" si="138"/>
        <v>0</v>
      </c>
      <c r="O316" s="369"/>
      <c r="P316" s="369"/>
      <c r="Q316" s="369"/>
      <c r="R316" s="369"/>
      <c r="S316" s="369"/>
      <c r="T316" s="369"/>
      <c r="U316" s="369">
        <f t="shared" si="139"/>
        <v>0</v>
      </c>
      <c r="V316" s="370">
        <f t="shared" si="140"/>
        <v>0</v>
      </c>
    </row>
    <row r="317" spans="1:22" s="24" customFormat="1" hidden="1">
      <c r="A317" s="460"/>
      <c r="B317" s="55" t="s">
        <v>2658</v>
      </c>
      <c r="C317" s="368"/>
      <c r="D317" s="367"/>
      <c r="E317" s="368"/>
      <c r="F317" s="368"/>
      <c r="G317" s="369">
        <f t="shared" si="137"/>
        <v>0</v>
      </c>
      <c r="H317" s="369"/>
      <c r="I317" s="369"/>
      <c r="J317" s="369"/>
      <c r="K317" s="369"/>
      <c r="L317" s="369"/>
      <c r="M317" s="369"/>
      <c r="N317" s="369">
        <f t="shared" si="138"/>
        <v>0</v>
      </c>
      <c r="O317" s="369"/>
      <c r="P317" s="369"/>
      <c r="Q317" s="369"/>
      <c r="R317" s="369"/>
      <c r="S317" s="369"/>
      <c r="T317" s="369"/>
      <c r="U317" s="369">
        <f t="shared" si="139"/>
        <v>0</v>
      </c>
      <c r="V317" s="370">
        <f t="shared" si="140"/>
        <v>0</v>
      </c>
    </row>
    <row r="318" spans="1:22" s="24" customFormat="1" hidden="1">
      <c r="A318" s="462">
        <v>5</v>
      </c>
      <c r="B318" s="463" t="s">
        <v>2533</v>
      </c>
      <c r="C318" s="404">
        <f t="shared" ref="C318:V318" si="141">C319</f>
        <v>0</v>
      </c>
      <c r="D318" s="404">
        <f t="shared" si="141"/>
        <v>0</v>
      </c>
      <c r="E318" s="404">
        <f t="shared" si="141"/>
        <v>5</v>
      </c>
      <c r="F318" s="404">
        <f t="shared" si="141"/>
        <v>5</v>
      </c>
      <c r="G318" s="381">
        <f t="shared" si="141"/>
        <v>17.3212273</v>
      </c>
      <c r="H318" s="381">
        <f t="shared" si="141"/>
        <v>16.783000000000001</v>
      </c>
      <c r="I318" s="381">
        <f t="shared" si="141"/>
        <v>0.36673000000000006</v>
      </c>
      <c r="J318" s="381">
        <f t="shared" si="141"/>
        <v>0</v>
      </c>
      <c r="K318" s="381">
        <f t="shared" si="141"/>
        <v>0.36673000000000006</v>
      </c>
      <c r="L318" s="381">
        <f t="shared" si="141"/>
        <v>0</v>
      </c>
      <c r="M318" s="381">
        <f t="shared" si="141"/>
        <v>0.17149730000000002</v>
      </c>
      <c r="N318" s="381">
        <f t="shared" si="141"/>
        <v>18.520389190000003</v>
      </c>
      <c r="O318" s="381">
        <f t="shared" si="141"/>
        <v>17.944900000000001</v>
      </c>
      <c r="P318" s="381">
        <f t="shared" si="141"/>
        <v>0.392119</v>
      </c>
      <c r="Q318" s="381">
        <f t="shared" si="141"/>
        <v>0</v>
      </c>
      <c r="R318" s="381">
        <f t="shared" si="141"/>
        <v>0.392119</v>
      </c>
      <c r="S318" s="381">
        <f t="shared" si="141"/>
        <v>0</v>
      </c>
      <c r="T318" s="381">
        <f t="shared" si="141"/>
        <v>0.18337019000000002</v>
      </c>
      <c r="U318" s="381">
        <f t="shared" si="141"/>
        <v>1.1872889999999997E-2</v>
      </c>
      <c r="V318" s="381">
        <f t="shared" si="141"/>
        <v>7.1237339999999982E-2</v>
      </c>
    </row>
    <row r="319" spans="1:22" s="24" customFormat="1" hidden="1">
      <c r="A319" s="460">
        <v>15</v>
      </c>
      <c r="B319" s="55" t="s">
        <v>2294</v>
      </c>
      <c r="C319" s="407"/>
      <c r="D319" s="408"/>
      <c r="E319" s="407">
        <v>5</v>
      </c>
      <c r="F319" s="407">
        <v>5</v>
      </c>
      <c r="G319" s="409">
        <f>H319+I319+M319</f>
        <v>17.3212273</v>
      </c>
      <c r="H319" s="409">
        <f>12.91*1.3</f>
        <v>16.783000000000001</v>
      </c>
      <c r="I319" s="369">
        <f>J319+K319+L319</f>
        <v>0.36673000000000006</v>
      </c>
      <c r="J319" s="409"/>
      <c r="K319" s="409">
        <f>0.2821*1.3</f>
        <v>0.36673000000000006</v>
      </c>
      <c r="L319" s="409"/>
      <c r="M319" s="369">
        <f>(H319+I319)*1%</f>
        <v>0.17149730000000002</v>
      </c>
      <c r="N319" s="409">
        <f>O319+P319+T319</f>
        <v>18.520389190000003</v>
      </c>
      <c r="O319" s="409">
        <f>12.91*1.39</f>
        <v>17.944900000000001</v>
      </c>
      <c r="P319" s="369">
        <f>Q319+R319+S319</f>
        <v>0.392119</v>
      </c>
      <c r="Q319" s="409"/>
      <c r="R319" s="409">
        <f>0.2821*1.39</f>
        <v>0.392119</v>
      </c>
      <c r="S319" s="409"/>
      <c r="T319" s="369">
        <f>(O319+P319)*1%</f>
        <v>0.18337019000000002</v>
      </c>
      <c r="U319" s="409">
        <f>T319-M319</f>
        <v>1.1872889999999997E-2</v>
      </c>
      <c r="V319" s="410">
        <f>U319*6</f>
        <v>7.1237339999999982E-2</v>
      </c>
    </row>
    <row r="320" spans="1:22" s="24" customFormat="1" hidden="1">
      <c r="A320" s="462">
        <v>6</v>
      </c>
      <c r="B320" s="463" t="s">
        <v>2534</v>
      </c>
      <c r="C320" s="404">
        <f t="shared" ref="C320:R321" si="142">C321</f>
        <v>0</v>
      </c>
      <c r="D320" s="404">
        <f t="shared" si="142"/>
        <v>0</v>
      </c>
      <c r="E320" s="404">
        <f t="shared" si="142"/>
        <v>0</v>
      </c>
      <c r="F320" s="404">
        <f t="shared" si="142"/>
        <v>0</v>
      </c>
      <c r="G320" s="381">
        <f t="shared" si="142"/>
        <v>0</v>
      </c>
      <c r="H320" s="381">
        <f t="shared" si="142"/>
        <v>0</v>
      </c>
      <c r="I320" s="381">
        <f t="shared" si="142"/>
        <v>0</v>
      </c>
      <c r="J320" s="381">
        <f t="shared" si="142"/>
        <v>0</v>
      </c>
      <c r="K320" s="381">
        <f t="shared" si="142"/>
        <v>0</v>
      </c>
      <c r="L320" s="381">
        <f t="shared" si="142"/>
        <v>0</v>
      </c>
      <c r="M320" s="381">
        <f t="shared" si="142"/>
        <v>0</v>
      </c>
      <c r="N320" s="381">
        <f t="shared" si="142"/>
        <v>0</v>
      </c>
      <c r="O320" s="381">
        <f t="shared" si="142"/>
        <v>0</v>
      </c>
      <c r="P320" s="381">
        <f t="shared" si="142"/>
        <v>0</v>
      </c>
      <c r="Q320" s="381">
        <f t="shared" si="142"/>
        <v>0</v>
      </c>
      <c r="R320" s="381">
        <f t="shared" si="142"/>
        <v>0</v>
      </c>
      <c r="S320" s="381">
        <f t="shared" ref="M320:V321" si="143">S321</f>
        <v>0</v>
      </c>
      <c r="T320" s="381">
        <f t="shared" si="143"/>
        <v>0</v>
      </c>
      <c r="U320" s="381">
        <f t="shared" si="143"/>
        <v>0</v>
      </c>
      <c r="V320" s="381">
        <f t="shared" si="143"/>
        <v>0</v>
      </c>
    </row>
    <row r="321" spans="1:22" s="24" customFormat="1" hidden="1">
      <c r="A321" s="460">
        <v>16</v>
      </c>
      <c r="B321" s="101" t="s">
        <v>2652</v>
      </c>
      <c r="C321" s="368">
        <f t="shared" si="142"/>
        <v>0</v>
      </c>
      <c r="D321" s="368">
        <f t="shared" si="142"/>
        <v>0</v>
      </c>
      <c r="E321" s="368">
        <f t="shared" si="142"/>
        <v>0</v>
      </c>
      <c r="F321" s="368">
        <f t="shared" si="142"/>
        <v>0</v>
      </c>
      <c r="G321" s="369">
        <f t="shared" si="142"/>
        <v>0</v>
      </c>
      <c r="H321" s="369">
        <f t="shared" si="142"/>
        <v>0</v>
      </c>
      <c r="I321" s="369">
        <f t="shared" si="142"/>
        <v>0</v>
      </c>
      <c r="J321" s="369">
        <f t="shared" si="142"/>
        <v>0</v>
      </c>
      <c r="K321" s="369">
        <f t="shared" si="142"/>
        <v>0</v>
      </c>
      <c r="L321" s="369">
        <f t="shared" si="142"/>
        <v>0</v>
      </c>
      <c r="M321" s="369">
        <f t="shared" si="143"/>
        <v>0</v>
      </c>
      <c r="N321" s="369">
        <f t="shared" si="143"/>
        <v>0</v>
      </c>
      <c r="O321" s="369">
        <f t="shared" si="143"/>
        <v>0</v>
      </c>
      <c r="P321" s="369">
        <f t="shared" si="143"/>
        <v>0</v>
      </c>
      <c r="Q321" s="369">
        <f t="shared" si="143"/>
        <v>0</v>
      </c>
      <c r="R321" s="369">
        <f t="shared" si="143"/>
        <v>0</v>
      </c>
      <c r="S321" s="369">
        <f t="shared" si="143"/>
        <v>0</v>
      </c>
      <c r="T321" s="369">
        <f t="shared" si="143"/>
        <v>0</v>
      </c>
      <c r="U321" s="369">
        <f t="shared" si="143"/>
        <v>0</v>
      </c>
      <c r="V321" s="369">
        <f t="shared" si="143"/>
        <v>0</v>
      </c>
    </row>
    <row r="322" spans="1:22" s="24" customFormat="1" hidden="1">
      <c r="A322" s="460"/>
      <c r="B322" s="55" t="s">
        <v>2656</v>
      </c>
      <c r="C322" s="368"/>
      <c r="D322" s="367"/>
      <c r="E322" s="368"/>
      <c r="F322" s="368"/>
      <c r="G322" s="369">
        <f>H322+I322+M322</f>
        <v>0</v>
      </c>
      <c r="H322" s="369"/>
      <c r="I322" s="369"/>
      <c r="J322" s="369"/>
      <c r="K322" s="369"/>
      <c r="L322" s="369"/>
      <c r="M322" s="369"/>
      <c r="N322" s="369">
        <f>O322+P322+T322</f>
        <v>0</v>
      </c>
      <c r="O322" s="369"/>
      <c r="P322" s="369"/>
      <c r="Q322" s="369"/>
      <c r="R322" s="369"/>
      <c r="S322" s="369"/>
      <c r="T322" s="369"/>
      <c r="U322" s="369">
        <f>N322-G322</f>
        <v>0</v>
      </c>
      <c r="V322" s="370">
        <f>U322*6</f>
        <v>0</v>
      </c>
    </row>
    <row r="323" spans="1:22" s="24" customFormat="1" hidden="1">
      <c r="A323" s="462">
        <v>7</v>
      </c>
      <c r="B323" s="463" t="s">
        <v>2535</v>
      </c>
      <c r="C323" s="404">
        <f t="shared" ref="C323:V323" si="144">C324</f>
        <v>0</v>
      </c>
      <c r="D323" s="404">
        <f t="shared" si="144"/>
        <v>0</v>
      </c>
      <c r="E323" s="404">
        <f t="shared" si="144"/>
        <v>0</v>
      </c>
      <c r="F323" s="404">
        <f t="shared" si="144"/>
        <v>0</v>
      </c>
      <c r="G323" s="381">
        <f t="shared" si="144"/>
        <v>0</v>
      </c>
      <c r="H323" s="381">
        <f t="shared" si="144"/>
        <v>0</v>
      </c>
      <c r="I323" s="381">
        <f t="shared" si="144"/>
        <v>0</v>
      </c>
      <c r="J323" s="381">
        <f t="shared" si="144"/>
        <v>0</v>
      </c>
      <c r="K323" s="381">
        <f t="shared" si="144"/>
        <v>0</v>
      </c>
      <c r="L323" s="381">
        <f t="shared" si="144"/>
        <v>0</v>
      </c>
      <c r="M323" s="381">
        <f t="shared" si="144"/>
        <v>0</v>
      </c>
      <c r="N323" s="381">
        <f t="shared" si="144"/>
        <v>0</v>
      </c>
      <c r="O323" s="381">
        <f t="shared" si="144"/>
        <v>0</v>
      </c>
      <c r="P323" s="381">
        <f t="shared" si="144"/>
        <v>0</v>
      </c>
      <c r="Q323" s="381">
        <f t="shared" si="144"/>
        <v>0</v>
      </c>
      <c r="R323" s="381">
        <f t="shared" si="144"/>
        <v>0</v>
      </c>
      <c r="S323" s="381">
        <f t="shared" si="144"/>
        <v>0</v>
      </c>
      <c r="T323" s="381">
        <f t="shared" si="144"/>
        <v>0</v>
      </c>
      <c r="U323" s="381">
        <f t="shared" si="144"/>
        <v>0</v>
      </c>
      <c r="V323" s="381">
        <f t="shared" si="144"/>
        <v>0</v>
      </c>
    </row>
    <row r="324" spans="1:22" s="24" customFormat="1" hidden="1">
      <c r="A324" s="460">
        <v>17</v>
      </c>
      <c r="B324" s="55" t="s">
        <v>2659</v>
      </c>
      <c r="C324" s="368">
        <f t="shared" ref="C324:V324" si="145">SUM(C325:C330)</f>
        <v>0</v>
      </c>
      <c r="D324" s="368">
        <f t="shared" si="145"/>
        <v>0</v>
      </c>
      <c r="E324" s="368">
        <f t="shared" si="145"/>
        <v>0</v>
      </c>
      <c r="F324" s="368">
        <f t="shared" si="145"/>
        <v>0</v>
      </c>
      <c r="G324" s="369">
        <f t="shared" si="145"/>
        <v>0</v>
      </c>
      <c r="H324" s="369">
        <f t="shared" si="145"/>
        <v>0</v>
      </c>
      <c r="I324" s="369">
        <f t="shared" si="145"/>
        <v>0</v>
      </c>
      <c r="J324" s="369">
        <f t="shared" si="145"/>
        <v>0</v>
      </c>
      <c r="K324" s="369">
        <f t="shared" si="145"/>
        <v>0</v>
      </c>
      <c r="L324" s="369">
        <f t="shared" si="145"/>
        <v>0</v>
      </c>
      <c r="M324" s="369">
        <f t="shared" si="145"/>
        <v>0</v>
      </c>
      <c r="N324" s="369">
        <f t="shared" si="145"/>
        <v>0</v>
      </c>
      <c r="O324" s="369">
        <f t="shared" si="145"/>
        <v>0</v>
      </c>
      <c r="P324" s="369">
        <f t="shared" si="145"/>
        <v>0</v>
      </c>
      <c r="Q324" s="369">
        <f t="shared" si="145"/>
        <v>0</v>
      </c>
      <c r="R324" s="369">
        <f t="shared" si="145"/>
        <v>0</v>
      </c>
      <c r="S324" s="369">
        <f t="shared" si="145"/>
        <v>0</v>
      </c>
      <c r="T324" s="369">
        <f t="shared" si="145"/>
        <v>0</v>
      </c>
      <c r="U324" s="369">
        <f t="shared" si="145"/>
        <v>0</v>
      </c>
      <c r="V324" s="369">
        <f t="shared" si="145"/>
        <v>0</v>
      </c>
    </row>
    <row r="325" spans="1:22" s="24" customFormat="1" hidden="1">
      <c r="A325" s="460"/>
      <c r="B325" s="55" t="s">
        <v>2660</v>
      </c>
      <c r="C325" s="368"/>
      <c r="D325" s="367"/>
      <c r="E325" s="368"/>
      <c r="F325" s="368"/>
      <c r="G325" s="369">
        <f t="shared" ref="G325:G330" si="146">H325+I325+M325</f>
        <v>0</v>
      </c>
      <c r="H325" s="369"/>
      <c r="I325" s="369"/>
      <c r="J325" s="369"/>
      <c r="K325" s="369"/>
      <c r="L325" s="369"/>
      <c r="M325" s="369"/>
      <c r="N325" s="369">
        <f t="shared" ref="N325:N330" si="147">O325+P325+T325</f>
        <v>0</v>
      </c>
      <c r="O325" s="369"/>
      <c r="P325" s="369"/>
      <c r="Q325" s="369"/>
      <c r="R325" s="369"/>
      <c r="S325" s="369"/>
      <c r="T325" s="369"/>
      <c r="U325" s="369">
        <f t="shared" ref="U325:U330" si="148">N325-G325</f>
        <v>0</v>
      </c>
      <c r="V325" s="370">
        <f t="shared" ref="V325:V330" si="149">U325*6</f>
        <v>0</v>
      </c>
    </row>
    <row r="326" spans="1:22" s="24" customFormat="1" hidden="1">
      <c r="A326" s="460"/>
      <c r="B326" s="55" t="s">
        <v>2661</v>
      </c>
      <c r="C326" s="368"/>
      <c r="D326" s="367"/>
      <c r="E326" s="368"/>
      <c r="F326" s="368"/>
      <c r="G326" s="369">
        <f t="shared" si="146"/>
        <v>0</v>
      </c>
      <c r="H326" s="369"/>
      <c r="I326" s="369"/>
      <c r="J326" s="369"/>
      <c r="K326" s="369"/>
      <c r="L326" s="369"/>
      <c r="M326" s="369"/>
      <c r="N326" s="369">
        <f t="shared" si="147"/>
        <v>0</v>
      </c>
      <c r="O326" s="369"/>
      <c r="P326" s="369"/>
      <c r="Q326" s="369"/>
      <c r="R326" s="369"/>
      <c r="S326" s="369"/>
      <c r="T326" s="369"/>
      <c r="U326" s="369">
        <f t="shared" si="148"/>
        <v>0</v>
      </c>
      <c r="V326" s="370">
        <f t="shared" si="149"/>
        <v>0</v>
      </c>
    </row>
    <row r="327" spans="1:22" s="24" customFormat="1" hidden="1">
      <c r="A327" s="460"/>
      <c r="B327" s="55" t="s">
        <v>2662</v>
      </c>
      <c r="C327" s="368"/>
      <c r="D327" s="367"/>
      <c r="E327" s="368"/>
      <c r="F327" s="368"/>
      <c r="G327" s="369">
        <f t="shared" si="146"/>
        <v>0</v>
      </c>
      <c r="H327" s="369"/>
      <c r="I327" s="369"/>
      <c r="J327" s="369"/>
      <c r="K327" s="369"/>
      <c r="L327" s="369"/>
      <c r="M327" s="369"/>
      <c r="N327" s="369">
        <f t="shared" si="147"/>
        <v>0</v>
      </c>
      <c r="O327" s="369"/>
      <c r="P327" s="369"/>
      <c r="Q327" s="369"/>
      <c r="R327" s="369"/>
      <c r="S327" s="369"/>
      <c r="T327" s="369"/>
      <c r="U327" s="369">
        <f t="shared" si="148"/>
        <v>0</v>
      </c>
      <c r="V327" s="370">
        <f t="shared" si="149"/>
        <v>0</v>
      </c>
    </row>
    <row r="328" spans="1:22" s="24" customFormat="1" hidden="1">
      <c r="A328" s="460"/>
      <c r="B328" s="55" t="s">
        <v>2663</v>
      </c>
      <c r="C328" s="368"/>
      <c r="D328" s="367"/>
      <c r="E328" s="368"/>
      <c r="F328" s="368"/>
      <c r="G328" s="369">
        <f t="shared" si="146"/>
        <v>0</v>
      </c>
      <c r="H328" s="369"/>
      <c r="I328" s="369"/>
      <c r="J328" s="369"/>
      <c r="K328" s="369"/>
      <c r="L328" s="369"/>
      <c r="M328" s="369"/>
      <c r="N328" s="369">
        <f t="shared" si="147"/>
        <v>0</v>
      </c>
      <c r="O328" s="369"/>
      <c r="P328" s="369"/>
      <c r="Q328" s="369"/>
      <c r="R328" s="369"/>
      <c r="S328" s="369"/>
      <c r="T328" s="369"/>
      <c r="U328" s="369">
        <f t="shared" si="148"/>
        <v>0</v>
      </c>
      <c r="V328" s="370">
        <f t="shared" si="149"/>
        <v>0</v>
      </c>
    </row>
    <row r="329" spans="1:22" s="24" customFormat="1" hidden="1">
      <c r="A329" s="460"/>
      <c r="B329" s="55" t="s">
        <v>2664</v>
      </c>
      <c r="C329" s="368"/>
      <c r="D329" s="367"/>
      <c r="E329" s="368"/>
      <c r="F329" s="368"/>
      <c r="G329" s="369">
        <f t="shared" si="146"/>
        <v>0</v>
      </c>
      <c r="H329" s="369"/>
      <c r="I329" s="369"/>
      <c r="J329" s="369"/>
      <c r="K329" s="369"/>
      <c r="L329" s="369"/>
      <c r="M329" s="369"/>
      <c r="N329" s="369">
        <f t="shared" si="147"/>
        <v>0</v>
      </c>
      <c r="O329" s="369"/>
      <c r="P329" s="369"/>
      <c r="Q329" s="369"/>
      <c r="R329" s="369"/>
      <c r="S329" s="369"/>
      <c r="T329" s="369"/>
      <c r="U329" s="369">
        <f t="shared" si="148"/>
        <v>0</v>
      </c>
      <c r="V329" s="370">
        <f t="shared" si="149"/>
        <v>0</v>
      </c>
    </row>
    <row r="330" spans="1:22" s="24" customFormat="1" hidden="1">
      <c r="A330" s="460"/>
      <c r="B330" s="55" t="s">
        <v>2665</v>
      </c>
      <c r="C330" s="368"/>
      <c r="D330" s="367"/>
      <c r="E330" s="368"/>
      <c r="F330" s="368"/>
      <c r="G330" s="369">
        <f t="shared" si="146"/>
        <v>0</v>
      </c>
      <c r="H330" s="369"/>
      <c r="I330" s="369"/>
      <c r="J330" s="369"/>
      <c r="K330" s="369"/>
      <c r="L330" s="369"/>
      <c r="M330" s="369"/>
      <c r="N330" s="369">
        <f t="shared" si="147"/>
        <v>0</v>
      </c>
      <c r="O330" s="369"/>
      <c r="P330" s="369"/>
      <c r="Q330" s="369"/>
      <c r="R330" s="369"/>
      <c r="S330" s="369"/>
      <c r="T330" s="369"/>
      <c r="U330" s="369">
        <f t="shared" si="148"/>
        <v>0</v>
      </c>
      <c r="V330" s="370">
        <f t="shared" si="149"/>
        <v>0</v>
      </c>
    </row>
    <row r="331" spans="1:22" s="24" customFormat="1" hidden="1">
      <c r="A331" s="462">
        <v>8</v>
      </c>
      <c r="B331" s="482" t="s">
        <v>2536</v>
      </c>
      <c r="C331" s="404">
        <f t="shared" ref="C331:V331" si="150">C332+SUM(C349:C359)</f>
        <v>3</v>
      </c>
      <c r="D331" s="404">
        <f t="shared" si="150"/>
        <v>1.7569999999999999</v>
      </c>
      <c r="E331" s="404">
        <f t="shared" si="150"/>
        <v>29</v>
      </c>
      <c r="F331" s="404">
        <f t="shared" si="150"/>
        <v>26</v>
      </c>
      <c r="G331" s="381">
        <f t="shared" si="150"/>
        <v>68.919370000000015</v>
      </c>
      <c r="H331" s="381">
        <f t="shared" si="150"/>
        <v>68.237000000000009</v>
      </c>
      <c r="I331" s="381">
        <f t="shared" si="150"/>
        <v>0</v>
      </c>
      <c r="J331" s="381">
        <f t="shared" si="150"/>
        <v>0</v>
      </c>
      <c r="K331" s="381">
        <f t="shared" si="150"/>
        <v>0</v>
      </c>
      <c r="L331" s="381">
        <f t="shared" si="150"/>
        <v>0</v>
      </c>
      <c r="M331" s="381">
        <f t="shared" si="150"/>
        <v>0.68237000000000003</v>
      </c>
      <c r="N331" s="381">
        <f t="shared" si="150"/>
        <v>73.690710999999993</v>
      </c>
      <c r="O331" s="381">
        <f t="shared" si="150"/>
        <v>72.961100000000002</v>
      </c>
      <c r="P331" s="381">
        <f t="shared" si="150"/>
        <v>0</v>
      </c>
      <c r="Q331" s="381">
        <f t="shared" si="150"/>
        <v>0</v>
      </c>
      <c r="R331" s="381">
        <f t="shared" si="150"/>
        <v>0</v>
      </c>
      <c r="S331" s="381">
        <f t="shared" si="150"/>
        <v>0</v>
      </c>
      <c r="T331" s="381">
        <f t="shared" si="150"/>
        <v>0.72961100000000001</v>
      </c>
      <c r="U331" s="381">
        <f t="shared" si="150"/>
        <v>4.7240999999999866E-2</v>
      </c>
      <c r="V331" s="381">
        <f t="shared" si="150"/>
        <v>0.2834459999999992</v>
      </c>
    </row>
    <row r="332" spans="1:22" s="24" customFormat="1" hidden="1">
      <c r="A332" s="460">
        <v>18</v>
      </c>
      <c r="B332" s="55" t="s">
        <v>2666</v>
      </c>
      <c r="C332" s="368">
        <f t="shared" ref="C332:V332" si="151">SUM(C333:C348)</f>
        <v>0</v>
      </c>
      <c r="D332" s="368">
        <f t="shared" si="151"/>
        <v>0</v>
      </c>
      <c r="E332" s="368">
        <f t="shared" si="151"/>
        <v>0</v>
      </c>
      <c r="F332" s="368">
        <f t="shared" si="151"/>
        <v>0</v>
      </c>
      <c r="G332" s="369">
        <f t="shared" si="151"/>
        <v>0</v>
      </c>
      <c r="H332" s="369">
        <f t="shared" si="151"/>
        <v>0</v>
      </c>
      <c r="I332" s="369">
        <f t="shared" si="151"/>
        <v>0</v>
      </c>
      <c r="J332" s="369">
        <f t="shared" si="151"/>
        <v>0</v>
      </c>
      <c r="K332" s="369">
        <f t="shared" si="151"/>
        <v>0</v>
      </c>
      <c r="L332" s="369">
        <f t="shared" si="151"/>
        <v>0</v>
      </c>
      <c r="M332" s="369">
        <f t="shared" si="151"/>
        <v>0</v>
      </c>
      <c r="N332" s="369">
        <f t="shared" si="151"/>
        <v>0</v>
      </c>
      <c r="O332" s="369">
        <f t="shared" si="151"/>
        <v>0</v>
      </c>
      <c r="P332" s="369">
        <f t="shared" si="151"/>
        <v>0</v>
      </c>
      <c r="Q332" s="369">
        <f t="shared" si="151"/>
        <v>0</v>
      </c>
      <c r="R332" s="369">
        <f t="shared" si="151"/>
        <v>0</v>
      </c>
      <c r="S332" s="369">
        <f t="shared" si="151"/>
        <v>0</v>
      </c>
      <c r="T332" s="369">
        <f t="shared" si="151"/>
        <v>0</v>
      </c>
      <c r="U332" s="369">
        <f t="shared" si="151"/>
        <v>0</v>
      </c>
      <c r="V332" s="369">
        <f t="shared" si="151"/>
        <v>0</v>
      </c>
    </row>
    <row r="333" spans="1:22" s="24" customFormat="1" hidden="1">
      <c r="A333" s="460"/>
      <c r="B333" s="55" t="s">
        <v>2667</v>
      </c>
      <c r="C333" s="368"/>
      <c r="D333" s="367"/>
      <c r="E333" s="368"/>
      <c r="F333" s="368"/>
      <c r="G333" s="369">
        <f t="shared" ref="G333:G359" si="152">H333+I333+M333</f>
        <v>0</v>
      </c>
      <c r="H333" s="369"/>
      <c r="I333" s="369"/>
      <c r="J333" s="369"/>
      <c r="K333" s="369"/>
      <c r="L333" s="369"/>
      <c r="M333" s="369"/>
      <c r="N333" s="369">
        <f t="shared" ref="N333:N359" si="153">O333+P333+T333</f>
        <v>0</v>
      </c>
      <c r="O333" s="369"/>
      <c r="P333" s="369"/>
      <c r="Q333" s="369"/>
      <c r="R333" s="369"/>
      <c r="S333" s="369"/>
      <c r="T333" s="369"/>
      <c r="U333" s="369">
        <f t="shared" ref="U333:U359" si="154">N333-G333</f>
        <v>0</v>
      </c>
      <c r="V333" s="370">
        <f t="shared" ref="V333:V359" si="155">U333*6</f>
        <v>0</v>
      </c>
    </row>
    <row r="334" spans="1:22" s="24" customFormat="1" hidden="1">
      <c r="A334" s="460"/>
      <c r="B334" s="55" t="s">
        <v>2668</v>
      </c>
      <c r="C334" s="368"/>
      <c r="D334" s="367"/>
      <c r="E334" s="368"/>
      <c r="F334" s="368"/>
      <c r="G334" s="369">
        <f t="shared" si="152"/>
        <v>0</v>
      </c>
      <c r="H334" s="369"/>
      <c r="I334" s="369"/>
      <c r="J334" s="369"/>
      <c r="K334" s="369"/>
      <c r="L334" s="369"/>
      <c r="M334" s="369"/>
      <c r="N334" s="369">
        <f t="shared" si="153"/>
        <v>0</v>
      </c>
      <c r="O334" s="369"/>
      <c r="P334" s="369"/>
      <c r="Q334" s="369"/>
      <c r="R334" s="369"/>
      <c r="S334" s="369"/>
      <c r="T334" s="369"/>
      <c r="U334" s="369">
        <f t="shared" si="154"/>
        <v>0</v>
      </c>
      <c r="V334" s="370">
        <f t="shared" si="155"/>
        <v>0</v>
      </c>
    </row>
    <row r="335" spans="1:22" s="24" customFormat="1" hidden="1">
      <c r="A335" s="460"/>
      <c r="B335" s="55" t="s">
        <v>2671</v>
      </c>
      <c r="C335" s="368"/>
      <c r="D335" s="367"/>
      <c r="E335" s="368"/>
      <c r="F335" s="368"/>
      <c r="G335" s="369">
        <f t="shared" si="152"/>
        <v>0</v>
      </c>
      <c r="H335" s="369"/>
      <c r="I335" s="369"/>
      <c r="J335" s="369"/>
      <c r="K335" s="369"/>
      <c r="L335" s="369"/>
      <c r="M335" s="369"/>
      <c r="N335" s="369">
        <f t="shared" si="153"/>
        <v>0</v>
      </c>
      <c r="O335" s="369"/>
      <c r="P335" s="369"/>
      <c r="Q335" s="369"/>
      <c r="R335" s="369"/>
      <c r="S335" s="369"/>
      <c r="T335" s="369"/>
      <c r="U335" s="369">
        <f t="shared" si="154"/>
        <v>0</v>
      </c>
      <c r="V335" s="370">
        <f t="shared" si="155"/>
        <v>0</v>
      </c>
    </row>
    <row r="336" spans="1:22" s="24" customFormat="1" hidden="1">
      <c r="A336" s="460"/>
      <c r="B336" s="55" t="s">
        <v>2672</v>
      </c>
      <c r="C336" s="368"/>
      <c r="D336" s="367"/>
      <c r="E336" s="368"/>
      <c r="F336" s="368"/>
      <c r="G336" s="369">
        <f t="shared" si="152"/>
        <v>0</v>
      </c>
      <c r="H336" s="369"/>
      <c r="I336" s="369"/>
      <c r="J336" s="369"/>
      <c r="K336" s="369"/>
      <c r="L336" s="369"/>
      <c r="M336" s="369"/>
      <c r="N336" s="369">
        <f t="shared" si="153"/>
        <v>0</v>
      </c>
      <c r="O336" s="369"/>
      <c r="P336" s="369"/>
      <c r="Q336" s="369"/>
      <c r="R336" s="369"/>
      <c r="S336" s="369"/>
      <c r="T336" s="369"/>
      <c r="U336" s="369">
        <f t="shared" si="154"/>
        <v>0</v>
      </c>
      <c r="V336" s="370">
        <f t="shared" si="155"/>
        <v>0</v>
      </c>
    </row>
    <row r="337" spans="1:22" s="24" customFormat="1" hidden="1">
      <c r="A337" s="460"/>
      <c r="B337" s="55" t="s">
        <v>2674</v>
      </c>
      <c r="C337" s="368"/>
      <c r="D337" s="367"/>
      <c r="E337" s="368"/>
      <c r="F337" s="368"/>
      <c r="G337" s="369">
        <f t="shared" si="152"/>
        <v>0</v>
      </c>
      <c r="H337" s="369"/>
      <c r="I337" s="369"/>
      <c r="J337" s="369"/>
      <c r="K337" s="369"/>
      <c r="L337" s="369"/>
      <c r="M337" s="369"/>
      <c r="N337" s="369">
        <f t="shared" si="153"/>
        <v>0</v>
      </c>
      <c r="O337" s="369"/>
      <c r="P337" s="369"/>
      <c r="Q337" s="369"/>
      <c r="R337" s="369"/>
      <c r="S337" s="369"/>
      <c r="T337" s="369"/>
      <c r="U337" s="369">
        <f t="shared" si="154"/>
        <v>0</v>
      </c>
      <c r="V337" s="370">
        <f t="shared" si="155"/>
        <v>0</v>
      </c>
    </row>
    <row r="338" spans="1:22" s="24" customFormat="1" hidden="1">
      <c r="A338" s="460"/>
      <c r="B338" s="55" t="s">
        <v>2675</v>
      </c>
      <c r="C338" s="368"/>
      <c r="D338" s="367"/>
      <c r="E338" s="368"/>
      <c r="F338" s="368"/>
      <c r="G338" s="369">
        <f t="shared" si="152"/>
        <v>0</v>
      </c>
      <c r="H338" s="369"/>
      <c r="I338" s="369"/>
      <c r="J338" s="369"/>
      <c r="K338" s="369"/>
      <c r="L338" s="369"/>
      <c r="M338" s="369"/>
      <c r="N338" s="369">
        <f t="shared" si="153"/>
        <v>0</v>
      </c>
      <c r="O338" s="369"/>
      <c r="P338" s="369"/>
      <c r="Q338" s="369"/>
      <c r="R338" s="369"/>
      <c r="S338" s="369"/>
      <c r="T338" s="369"/>
      <c r="U338" s="369">
        <f t="shared" si="154"/>
        <v>0</v>
      </c>
      <c r="V338" s="370">
        <f t="shared" si="155"/>
        <v>0</v>
      </c>
    </row>
    <row r="339" spans="1:22" s="24" customFormat="1" ht="25.5" hidden="1">
      <c r="A339" s="460"/>
      <c r="B339" s="55" t="s">
        <v>2678</v>
      </c>
      <c r="C339" s="368"/>
      <c r="D339" s="367"/>
      <c r="E339" s="368"/>
      <c r="F339" s="368"/>
      <c r="G339" s="369">
        <f t="shared" si="152"/>
        <v>0</v>
      </c>
      <c r="H339" s="369"/>
      <c r="I339" s="369"/>
      <c r="J339" s="369"/>
      <c r="K339" s="369"/>
      <c r="L339" s="369"/>
      <c r="M339" s="369"/>
      <c r="N339" s="369">
        <f t="shared" si="153"/>
        <v>0</v>
      </c>
      <c r="O339" s="369"/>
      <c r="P339" s="369"/>
      <c r="Q339" s="369"/>
      <c r="R339" s="369"/>
      <c r="S339" s="369"/>
      <c r="T339" s="369"/>
      <c r="U339" s="369">
        <f t="shared" si="154"/>
        <v>0</v>
      </c>
      <c r="V339" s="370">
        <f t="shared" si="155"/>
        <v>0</v>
      </c>
    </row>
    <row r="340" spans="1:22" s="24" customFormat="1" hidden="1">
      <c r="A340" s="460"/>
      <c r="B340" s="55" t="s">
        <v>2679</v>
      </c>
      <c r="C340" s="368"/>
      <c r="D340" s="367"/>
      <c r="E340" s="368"/>
      <c r="F340" s="368"/>
      <c r="G340" s="369">
        <f t="shared" si="152"/>
        <v>0</v>
      </c>
      <c r="H340" s="369"/>
      <c r="I340" s="369"/>
      <c r="J340" s="369"/>
      <c r="K340" s="369"/>
      <c r="L340" s="369"/>
      <c r="M340" s="369"/>
      <c r="N340" s="369">
        <f t="shared" si="153"/>
        <v>0</v>
      </c>
      <c r="O340" s="369"/>
      <c r="P340" s="369"/>
      <c r="Q340" s="369"/>
      <c r="R340" s="369"/>
      <c r="S340" s="369"/>
      <c r="T340" s="369"/>
      <c r="U340" s="369">
        <f t="shared" si="154"/>
        <v>0</v>
      </c>
      <c r="V340" s="370">
        <f t="shared" si="155"/>
        <v>0</v>
      </c>
    </row>
    <row r="341" spans="1:22" s="24" customFormat="1" hidden="1">
      <c r="A341" s="460"/>
      <c r="B341" s="55" t="s">
        <v>2680</v>
      </c>
      <c r="C341" s="368"/>
      <c r="D341" s="367"/>
      <c r="E341" s="368"/>
      <c r="F341" s="368"/>
      <c r="G341" s="369">
        <f t="shared" si="152"/>
        <v>0</v>
      </c>
      <c r="H341" s="369"/>
      <c r="I341" s="369"/>
      <c r="J341" s="369"/>
      <c r="K341" s="369"/>
      <c r="L341" s="369"/>
      <c r="M341" s="369"/>
      <c r="N341" s="369">
        <f t="shared" si="153"/>
        <v>0</v>
      </c>
      <c r="O341" s="369"/>
      <c r="P341" s="369"/>
      <c r="Q341" s="369"/>
      <c r="R341" s="369"/>
      <c r="S341" s="369"/>
      <c r="T341" s="369"/>
      <c r="U341" s="369">
        <f t="shared" si="154"/>
        <v>0</v>
      </c>
      <c r="V341" s="370">
        <f t="shared" si="155"/>
        <v>0</v>
      </c>
    </row>
    <row r="342" spans="1:22" s="24" customFormat="1" hidden="1">
      <c r="A342" s="460"/>
      <c r="B342" s="55" t="s">
        <v>2681</v>
      </c>
      <c r="C342" s="368"/>
      <c r="D342" s="367"/>
      <c r="E342" s="368"/>
      <c r="F342" s="368"/>
      <c r="G342" s="369">
        <f t="shared" si="152"/>
        <v>0</v>
      </c>
      <c r="H342" s="369"/>
      <c r="I342" s="369"/>
      <c r="J342" s="369"/>
      <c r="K342" s="369"/>
      <c r="L342" s="369"/>
      <c r="M342" s="369"/>
      <c r="N342" s="369">
        <f t="shared" si="153"/>
        <v>0</v>
      </c>
      <c r="O342" s="369"/>
      <c r="P342" s="369"/>
      <c r="Q342" s="369"/>
      <c r="R342" s="369"/>
      <c r="S342" s="369"/>
      <c r="T342" s="369"/>
      <c r="U342" s="369">
        <f t="shared" si="154"/>
        <v>0</v>
      </c>
      <c r="V342" s="370">
        <f t="shared" si="155"/>
        <v>0</v>
      </c>
    </row>
    <row r="343" spans="1:22" s="24" customFormat="1" hidden="1">
      <c r="A343" s="460"/>
      <c r="B343" s="55" t="s">
        <v>2682</v>
      </c>
      <c r="C343" s="368"/>
      <c r="D343" s="367"/>
      <c r="E343" s="368"/>
      <c r="F343" s="368"/>
      <c r="G343" s="369">
        <f t="shared" si="152"/>
        <v>0</v>
      </c>
      <c r="H343" s="369"/>
      <c r="I343" s="369"/>
      <c r="J343" s="369"/>
      <c r="K343" s="369"/>
      <c r="L343" s="369"/>
      <c r="M343" s="369"/>
      <c r="N343" s="369">
        <f t="shared" si="153"/>
        <v>0</v>
      </c>
      <c r="O343" s="369"/>
      <c r="P343" s="369"/>
      <c r="Q343" s="369"/>
      <c r="R343" s="369"/>
      <c r="S343" s="369"/>
      <c r="T343" s="369"/>
      <c r="U343" s="369">
        <f t="shared" si="154"/>
        <v>0</v>
      </c>
      <c r="V343" s="370">
        <f t="shared" si="155"/>
        <v>0</v>
      </c>
    </row>
    <row r="344" spans="1:22" s="24" customFormat="1" hidden="1">
      <c r="A344" s="460"/>
      <c r="B344" s="55" t="s">
        <v>2683</v>
      </c>
      <c r="C344" s="368"/>
      <c r="D344" s="367"/>
      <c r="E344" s="368"/>
      <c r="F344" s="368"/>
      <c r="G344" s="369">
        <f t="shared" si="152"/>
        <v>0</v>
      </c>
      <c r="H344" s="369"/>
      <c r="I344" s="369"/>
      <c r="J344" s="369"/>
      <c r="K344" s="369"/>
      <c r="L344" s="369"/>
      <c r="M344" s="369"/>
      <c r="N344" s="369">
        <f t="shared" si="153"/>
        <v>0</v>
      </c>
      <c r="O344" s="369"/>
      <c r="P344" s="369"/>
      <c r="Q344" s="369"/>
      <c r="R344" s="369"/>
      <c r="S344" s="369"/>
      <c r="T344" s="369"/>
      <c r="U344" s="369">
        <f t="shared" si="154"/>
        <v>0</v>
      </c>
      <c r="V344" s="370">
        <f t="shared" si="155"/>
        <v>0</v>
      </c>
    </row>
    <row r="345" spans="1:22" s="24" customFormat="1" hidden="1">
      <c r="A345" s="460"/>
      <c r="B345" s="55" t="s">
        <v>2684</v>
      </c>
      <c r="C345" s="368"/>
      <c r="D345" s="367"/>
      <c r="E345" s="368"/>
      <c r="F345" s="368"/>
      <c r="G345" s="369">
        <f t="shared" si="152"/>
        <v>0</v>
      </c>
      <c r="H345" s="369"/>
      <c r="I345" s="369"/>
      <c r="J345" s="369"/>
      <c r="K345" s="369"/>
      <c r="L345" s="369"/>
      <c r="M345" s="369"/>
      <c r="N345" s="369">
        <f t="shared" si="153"/>
        <v>0</v>
      </c>
      <c r="O345" s="369"/>
      <c r="P345" s="369"/>
      <c r="Q345" s="369"/>
      <c r="R345" s="369"/>
      <c r="S345" s="369"/>
      <c r="T345" s="369"/>
      <c r="U345" s="369">
        <f t="shared" si="154"/>
        <v>0</v>
      </c>
      <c r="V345" s="370">
        <f t="shared" si="155"/>
        <v>0</v>
      </c>
    </row>
    <row r="346" spans="1:22" s="24" customFormat="1" hidden="1">
      <c r="A346" s="460"/>
      <c r="B346" s="55" t="s">
        <v>2685</v>
      </c>
      <c r="C346" s="368"/>
      <c r="D346" s="367"/>
      <c r="E346" s="368"/>
      <c r="F346" s="368"/>
      <c r="G346" s="369">
        <f t="shared" si="152"/>
        <v>0</v>
      </c>
      <c r="H346" s="369"/>
      <c r="I346" s="369"/>
      <c r="J346" s="369"/>
      <c r="K346" s="369"/>
      <c r="L346" s="369"/>
      <c r="M346" s="369"/>
      <c r="N346" s="369">
        <f t="shared" si="153"/>
        <v>0</v>
      </c>
      <c r="O346" s="369"/>
      <c r="P346" s="369"/>
      <c r="Q346" s="369"/>
      <c r="R346" s="369"/>
      <c r="S346" s="369"/>
      <c r="T346" s="369"/>
      <c r="U346" s="369">
        <f t="shared" si="154"/>
        <v>0</v>
      </c>
      <c r="V346" s="370">
        <f t="shared" si="155"/>
        <v>0</v>
      </c>
    </row>
    <row r="347" spans="1:22" s="24" customFormat="1" hidden="1">
      <c r="A347" s="460"/>
      <c r="B347" s="55" t="s">
        <v>2686</v>
      </c>
      <c r="C347" s="368"/>
      <c r="D347" s="367"/>
      <c r="E347" s="368"/>
      <c r="F347" s="368"/>
      <c r="G347" s="369">
        <f t="shared" si="152"/>
        <v>0</v>
      </c>
      <c r="H347" s="369"/>
      <c r="I347" s="369"/>
      <c r="J347" s="369"/>
      <c r="K347" s="369"/>
      <c r="L347" s="369"/>
      <c r="M347" s="369"/>
      <c r="N347" s="369">
        <f t="shared" si="153"/>
        <v>0</v>
      </c>
      <c r="O347" s="369"/>
      <c r="P347" s="369"/>
      <c r="Q347" s="369"/>
      <c r="R347" s="369"/>
      <c r="S347" s="369"/>
      <c r="T347" s="369"/>
      <c r="U347" s="369">
        <f t="shared" si="154"/>
        <v>0</v>
      </c>
      <c r="V347" s="370">
        <f t="shared" si="155"/>
        <v>0</v>
      </c>
    </row>
    <row r="348" spans="1:22" s="24" customFormat="1" hidden="1">
      <c r="A348" s="460"/>
      <c r="B348" s="55" t="s">
        <v>2687</v>
      </c>
      <c r="C348" s="368"/>
      <c r="D348" s="367"/>
      <c r="E348" s="368"/>
      <c r="F348" s="368"/>
      <c r="G348" s="369">
        <f t="shared" si="152"/>
        <v>0</v>
      </c>
      <c r="H348" s="369"/>
      <c r="I348" s="369"/>
      <c r="J348" s="369"/>
      <c r="K348" s="369"/>
      <c r="L348" s="369"/>
      <c r="M348" s="369"/>
      <c r="N348" s="369">
        <f t="shared" si="153"/>
        <v>0</v>
      </c>
      <c r="O348" s="369"/>
      <c r="P348" s="369"/>
      <c r="Q348" s="369"/>
      <c r="R348" s="369"/>
      <c r="S348" s="369"/>
      <c r="T348" s="369"/>
      <c r="U348" s="369">
        <f t="shared" si="154"/>
        <v>0</v>
      </c>
      <c r="V348" s="370">
        <f t="shared" si="155"/>
        <v>0</v>
      </c>
    </row>
    <row r="349" spans="1:22" s="24" customFormat="1" ht="25.5" hidden="1">
      <c r="A349" s="460">
        <v>19</v>
      </c>
      <c r="B349" s="55" t="s">
        <v>2688</v>
      </c>
      <c r="C349" s="368"/>
      <c r="D349" s="367"/>
      <c r="E349" s="368">
        <v>4</v>
      </c>
      <c r="F349" s="368">
        <v>4</v>
      </c>
      <c r="G349" s="369">
        <f>H349+M349</f>
        <v>14.101620000000002</v>
      </c>
      <c r="H349" s="369">
        <f>10.74*1.3</f>
        <v>13.962000000000002</v>
      </c>
      <c r="I349" s="369">
        <f>J349+K349+L349</f>
        <v>0</v>
      </c>
      <c r="J349" s="369"/>
      <c r="K349" s="369"/>
      <c r="L349" s="369"/>
      <c r="M349" s="369">
        <f>(H349+I349)*1%</f>
        <v>0.13962000000000002</v>
      </c>
      <c r="N349" s="369">
        <f>O349+P349+T349</f>
        <v>15.077885999999999</v>
      </c>
      <c r="O349" s="369">
        <f>10.74*1.39</f>
        <v>14.928599999999999</v>
      </c>
      <c r="P349" s="369">
        <f>Q349+R349+S349</f>
        <v>0</v>
      </c>
      <c r="Q349" s="369"/>
      <c r="R349" s="369"/>
      <c r="S349" s="369"/>
      <c r="T349" s="369">
        <f>(O349+P349)*1%</f>
        <v>0.149286</v>
      </c>
      <c r="U349" s="409">
        <f>T349-M349</f>
        <v>9.6659999999999802E-3</v>
      </c>
      <c r="V349" s="370">
        <f t="shared" si="155"/>
        <v>5.7995999999999881E-2</v>
      </c>
    </row>
    <row r="350" spans="1:22" s="24" customFormat="1" hidden="1">
      <c r="A350" s="460">
        <v>20</v>
      </c>
      <c r="B350" s="55" t="s">
        <v>2689</v>
      </c>
      <c r="C350" s="368"/>
      <c r="D350" s="367"/>
      <c r="E350" s="368"/>
      <c r="F350" s="368"/>
      <c r="G350" s="369">
        <f t="shared" si="152"/>
        <v>0</v>
      </c>
      <c r="H350" s="369"/>
      <c r="I350" s="369"/>
      <c r="J350" s="369"/>
      <c r="K350" s="369"/>
      <c r="L350" s="369"/>
      <c r="M350" s="369"/>
      <c r="N350" s="369">
        <f t="shared" si="153"/>
        <v>0</v>
      </c>
      <c r="O350" s="369"/>
      <c r="P350" s="369"/>
      <c r="Q350" s="369"/>
      <c r="R350" s="369"/>
      <c r="S350" s="369"/>
      <c r="T350" s="369"/>
      <c r="U350" s="369">
        <f t="shared" si="154"/>
        <v>0</v>
      </c>
      <c r="V350" s="370">
        <f t="shared" si="155"/>
        <v>0</v>
      </c>
    </row>
    <row r="351" spans="1:22" s="24" customFormat="1" ht="25.5" hidden="1">
      <c r="A351" s="460">
        <v>21</v>
      </c>
      <c r="B351" s="55" t="s">
        <v>2690</v>
      </c>
      <c r="C351" s="368"/>
      <c r="D351" s="367"/>
      <c r="E351" s="368">
        <v>19</v>
      </c>
      <c r="F351" s="368">
        <v>17</v>
      </c>
      <c r="G351" s="369">
        <f t="shared" si="152"/>
        <v>41.110030000000002</v>
      </c>
      <c r="H351" s="369">
        <f>31.31*1.3</f>
        <v>40.703000000000003</v>
      </c>
      <c r="I351" s="369"/>
      <c r="J351" s="369"/>
      <c r="K351" s="369"/>
      <c r="L351" s="369"/>
      <c r="M351" s="369">
        <f>H351*1%</f>
        <v>0.40703000000000006</v>
      </c>
      <c r="N351" s="369">
        <f t="shared" si="153"/>
        <v>43.956108999999998</v>
      </c>
      <c r="O351" s="369">
        <f>31.31*1.39</f>
        <v>43.520899999999997</v>
      </c>
      <c r="P351" s="369"/>
      <c r="Q351" s="369"/>
      <c r="R351" s="369"/>
      <c r="S351" s="369"/>
      <c r="T351" s="369">
        <f>O351*1%</f>
        <v>0.43520899999999996</v>
      </c>
      <c r="U351" s="369">
        <f>T351-M351</f>
        <v>2.8178999999999899E-2</v>
      </c>
      <c r="V351" s="370">
        <f t="shared" si="155"/>
        <v>0.16907399999999939</v>
      </c>
    </row>
    <row r="352" spans="1:22" s="24" customFormat="1" ht="25.5" hidden="1">
      <c r="A352" s="460">
        <v>22</v>
      </c>
      <c r="B352" s="55" t="s">
        <v>2691</v>
      </c>
      <c r="C352" s="368"/>
      <c r="D352" s="367"/>
      <c r="E352" s="368"/>
      <c r="F352" s="368"/>
      <c r="G352" s="369">
        <f t="shared" si="152"/>
        <v>0</v>
      </c>
      <c r="H352" s="369"/>
      <c r="I352" s="369"/>
      <c r="J352" s="369"/>
      <c r="K352" s="369"/>
      <c r="L352" s="369"/>
      <c r="M352" s="369"/>
      <c r="N352" s="369">
        <f t="shared" si="153"/>
        <v>0</v>
      </c>
      <c r="O352" s="369"/>
      <c r="P352" s="369"/>
      <c r="Q352" s="369"/>
      <c r="R352" s="369"/>
      <c r="S352" s="369"/>
      <c r="T352" s="369"/>
      <c r="U352" s="369">
        <f t="shared" si="154"/>
        <v>0</v>
      </c>
      <c r="V352" s="370">
        <f t="shared" si="155"/>
        <v>0</v>
      </c>
    </row>
    <row r="353" spans="1:22" s="24" customFormat="1" ht="25.5" hidden="1">
      <c r="A353" s="460">
        <v>23</v>
      </c>
      <c r="B353" s="55" t="s">
        <v>2692</v>
      </c>
      <c r="C353" s="368"/>
      <c r="D353" s="367"/>
      <c r="E353" s="368"/>
      <c r="F353" s="368"/>
      <c r="G353" s="369">
        <f t="shared" si="152"/>
        <v>0</v>
      </c>
      <c r="H353" s="369"/>
      <c r="I353" s="369"/>
      <c r="J353" s="369"/>
      <c r="K353" s="369"/>
      <c r="L353" s="369"/>
      <c r="M353" s="369"/>
      <c r="N353" s="369">
        <f t="shared" si="153"/>
        <v>0</v>
      </c>
      <c r="O353" s="369"/>
      <c r="P353" s="369"/>
      <c r="Q353" s="369"/>
      <c r="R353" s="369"/>
      <c r="S353" s="369"/>
      <c r="T353" s="369"/>
      <c r="U353" s="369">
        <f t="shared" si="154"/>
        <v>0</v>
      </c>
      <c r="V353" s="370">
        <f t="shared" si="155"/>
        <v>0</v>
      </c>
    </row>
    <row r="354" spans="1:22" s="24" customFormat="1" ht="38.25" hidden="1">
      <c r="A354" s="460">
        <v>24</v>
      </c>
      <c r="B354" s="55" t="s">
        <v>2693</v>
      </c>
      <c r="C354" s="368">
        <v>3</v>
      </c>
      <c r="D354" s="367">
        <v>1.7569999999999999</v>
      </c>
      <c r="E354" s="368">
        <v>3</v>
      </c>
      <c r="F354" s="368">
        <v>3</v>
      </c>
      <c r="G354" s="369">
        <f t="shared" si="152"/>
        <v>7.8648700000000007</v>
      </c>
      <c r="H354" s="369">
        <f>5.99*1.3</f>
        <v>7.7870000000000008</v>
      </c>
      <c r="I354" s="369"/>
      <c r="J354" s="369"/>
      <c r="K354" s="369"/>
      <c r="L354" s="369"/>
      <c r="M354" s="369">
        <f>H354*1%</f>
        <v>7.7870000000000009E-2</v>
      </c>
      <c r="N354" s="369">
        <f t="shared" si="153"/>
        <v>8.4093610000000005</v>
      </c>
      <c r="O354" s="369">
        <f>5.99*1.39</f>
        <v>8.3261000000000003</v>
      </c>
      <c r="P354" s="369"/>
      <c r="Q354" s="369"/>
      <c r="R354" s="369"/>
      <c r="S354" s="369"/>
      <c r="T354" s="369">
        <f>O354*1%</f>
        <v>8.3261000000000002E-2</v>
      </c>
      <c r="U354" s="369">
        <f>T354-M354</f>
        <v>5.390999999999993E-3</v>
      </c>
      <c r="V354" s="370">
        <f t="shared" si="155"/>
        <v>3.2345999999999958E-2</v>
      </c>
    </row>
    <row r="355" spans="1:22" s="24" customFormat="1" ht="27.75" hidden="1" customHeight="1">
      <c r="A355" s="460">
        <v>25</v>
      </c>
      <c r="B355" s="55" t="s">
        <v>2694</v>
      </c>
      <c r="C355" s="368"/>
      <c r="D355" s="367"/>
      <c r="E355" s="368"/>
      <c r="F355" s="368"/>
      <c r="G355" s="369">
        <f t="shared" si="152"/>
        <v>0</v>
      </c>
      <c r="H355" s="369"/>
      <c r="I355" s="369"/>
      <c r="J355" s="369"/>
      <c r="K355" s="369"/>
      <c r="L355" s="369"/>
      <c r="M355" s="369"/>
      <c r="N355" s="369">
        <f t="shared" si="153"/>
        <v>0</v>
      </c>
      <c r="O355" s="369"/>
      <c r="P355" s="369"/>
      <c r="Q355" s="369"/>
      <c r="R355" s="369"/>
      <c r="S355" s="369"/>
      <c r="T355" s="369"/>
      <c r="U355" s="369">
        <f t="shared" si="154"/>
        <v>0</v>
      </c>
      <c r="V355" s="370">
        <f t="shared" si="155"/>
        <v>0</v>
      </c>
    </row>
    <row r="356" spans="1:22" s="24" customFormat="1" ht="25.5" hidden="1">
      <c r="A356" s="460">
        <v>26</v>
      </c>
      <c r="B356" s="55" t="s">
        <v>2695</v>
      </c>
      <c r="C356" s="368"/>
      <c r="D356" s="367"/>
      <c r="E356" s="368"/>
      <c r="F356" s="368"/>
      <c r="G356" s="369">
        <f t="shared" si="152"/>
        <v>0</v>
      </c>
      <c r="H356" s="369"/>
      <c r="I356" s="369"/>
      <c r="J356" s="369"/>
      <c r="K356" s="369"/>
      <c r="L356" s="369"/>
      <c r="M356" s="369"/>
      <c r="N356" s="369">
        <f t="shared" si="153"/>
        <v>0</v>
      </c>
      <c r="O356" s="369"/>
      <c r="P356" s="369"/>
      <c r="Q356" s="369"/>
      <c r="R356" s="369"/>
      <c r="S356" s="369"/>
      <c r="T356" s="369"/>
      <c r="U356" s="369">
        <f t="shared" si="154"/>
        <v>0</v>
      </c>
      <c r="V356" s="370">
        <f t="shared" si="155"/>
        <v>0</v>
      </c>
    </row>
    <row r="357" spans="1:22" s="24" customFormat="1" hidden="1">
      <c r="A357" s="460">
        <v>27</v>
      </c>
      <c r="B357" s="86" t="s">
        <v>2696</v>
      </c>
      <c r="C357" s="368"/>
      <c r="D357" s="367"/>
      <c r="E357" s="368"/>
      <c r="F357" s="368"/>
      <c r="G357" s="369">
        <f t="shared" si="152"/>
        <v>0</v>
      </c>
      <c r="H357" s="369"/>
      <c r="I357" s="369"/>
      <c r="J357" s="369"/>
      <c r="K357" s="369"/>
      <c r="L357" s="369"/>
      <c r="M357" s="369"/>
      <c r="N357" s="369">
        <f t="shared" si="153"/>
        <v>0</v>
      </c>
      <c r="O357" s="369"/>
      <c r="P357" s="369"/>
      <c r="Q357" s="369"/>
      <c r="R357" s="369"/>
      <c r="S357" s="369"/>
      <c r="T357" s="369"/>
      <c r="U357" s="369">
        <f t="shared" si="154"/>
        <v>0</v>
      </c>
      <c r="V357" s="370">
        <f t="shared" si="155"/>
        <v>0</v>
      </c>
    </row>
    <row r="358" spans="1:22" s="24" customFormat="1" ht="25.5" hidden="1">
      <c r="A358" s="460">
        <v>28</v>
      </c>
      <c r="B358" s="55" t="s">
        <v>2891</v>
      </c>
      <c r="C358" s="368"/>
      <c r="D358" s="367"/>
      <c r="E358" s="368">
        <v>3</v>
      </c>
      <c r="F358" s="368">
        <v>2</v>
      </c>
      <c r="G358" s="369">
        <f t="shared" si="152"/>
        <v>5.8428500000000003</v>
      </c>
      <c r="H358" s="369">
        <f>4.45*1.3</f>
        <v>5.7850000000000001</v>
      </c>
      <c r="I358" s="369">
        <f>J358+K358+L358</f>
        <v>0</v>
      </c>
      <c r="J358" s="369"/>
      <c r="K358" s="369"/>
      <c r="L358" s="369"/>
      <c r="M358" s="369">
        <f>(H358+I358)*1%</f>
        <v>5.7850000000000006E-2</v>
      </c>
      <c r="N358" s="369">
        <f t="shared" si="153"/>
        <v>6.2473550000000007</v>
      </c>
      <c r="O358" s="369">
        <f>4.45*1.39</f>
        <v>6.1855000000000002</v>
      </c>
      <c r="P358" s="369">
        <f>Q358+R358+S358</f>
        <v>0</v>
      </c>
      <c r="Q358" s="369"/>
      <c r="R358" s="369"/>
      <c r="S358" s="369"/>
      <c r="T358" s="369">
        <f>(O358+P358)*1%</f>
        <v>6.1855E-2</v>
      </c>
      <c r="U358" s="409">
        <f>T358-M358</f>
        <v>4.0049999999999947E-3</v>
      </c>
      <c r="V358" s="370">
        <f t="shared" si="155"/>
        <v>2.4029999999999968E-2</v>
      </c>
    </row>
    <row r="359" spans="1:22" s="24" customFormat="1" ht="25.5" hidden="1">
      <c r="A359" s="460">
        <v>29</v>
      </c>
      <c r="B359" s="55" t="s">
        <v>2698</v>
      </c>
      <c r="C359" s="368"/>
      <c r="D359" s="367"/>
      <c r="E359" s="368"/>
      <c r="F359" s="368"/>
      <c r="G359" s="369">
        <f t="shared" si="152"/>
        <v>0</v>
      </c>
      <c r="H359" s="369"/>
      <c r="I359" s="369"/>
      <c r="J359" s="369"/>
      <c r="K359" s="369"/>
      <c r="L359" s="369"/>
      <c r="M359" s="369"/>
      <c r="N359" s="369">
        <f t="shared" si="153"/>
        <v>0</v>
      </c>
      <c r="O359" s="369"/>
      <c r="P359" s="369"/>
      <c r="Q359" s="369"/>
      <c r="R359" s="369"/>
      <c r="S359" s="369"/>
      <c r="T359" s="369"/>
      <c r="U359" s="369">
        <f t="shared" si="154"/>
        <v>0</v>
      </c>
      <c r="V359" s="370">
        <f t="shared" si="155"/>
        <v>0</v>
      </c>
    </row>
    <row r="360" spans="1:22" s="24" customFormat="1" ht="27" hidden="1" customHeight="1">
      <c r="A360" s="462">
        <v>9</v>
      </c>
      <c r="B360" s="482" t="s">
        <v>2537</v>
      </c>
      <c r="C360" s="404">
        <f t="shared" ref="C360:V360" si="156">C361</f>
        <v>0</v>
      </c>
      <c r="D360" s="404">
        <f t="shared" si="156"/>
        <v>0</v>
      </c>
      <c r="E360" s="404">
        <f t="shared" si="156"/>
        <v>0</v>
      </c>
      <c r="F360" s="404">
        <f t="shared" si="156"/>
        <v>0</v>
      </c>
      <c r="G360" s="381">
        <f t="shared" si="156"/>
        <v>0</v>
      </c>
      <c r="H360" s="381">
        <f t="shared" si="156"/>
        <v>0</v>
      </c>
      <c r="I360" s="381">
        <f t="shared" si="156"/>
        <v>0</v>
      </c>
      <c r="J360" s="381">
        <f t="shared" si="156"/>
        <v>0</v>
      </c>
      <c r="K360" s="381">
        <f t="shared" si="156"/>
        <v>0</v>
      </c>
      <c r="L360" s="381">
        <f t="shared" si="156"/>
        <v>0</v>
      </c>
      <c r="M360" s="381">
        <f t="shared" si="156"/>
        <v>0</v>
      </c>
      <c r="N360" s="381">
        <f t="shared" si="156"/>
        <v>0</v>
      </c>
      <c r="O360" s="381">
        <f t="shared" si="156"/>
        <v>0</v>
      </c>
      <c r="P360" s="381">
        <f t="shared" si="156"/>
        <v>0</v>
      </c>
      <c r="Q360" s="381">
        <f t="shared" si="156"/>
        <v>0</v>
      </c>
      <c r="R360" s="381">
        <f t="shared" si="156"/>
        <v>0</v>
      </c>
      <c r="S360" s="381">
        <f t="shared" si="156"/>
        <v>0</v>
      </c>
      <c r="T360" s="381">
        <f t="shared" si="156"/>
        <v>0</v>
      </c>
      <c r="U360" s="381">
        <f t="shared" si="156"/>
        <v>0</v>
      </c>
      <c r="V360" s="381">
        <f t="shared" si="156"/>
        <v>0</v>
      </c>
    </row>
    <row r="361" spans="1:22" s="24" customFormat="1" ht="29.25" hidden="1" customHeight="1">
      <c r="A361" s="460">
        <v>30</v>
      </c>
      <c r="B361" s="55" t="s">
        <v>2699</v>
      </c>
      <c r="C361" s="368">
        <f t="shared" ref="C361:V361" si="157">SUM(C362:C365)</f>
        <v>0</v>
      </c>
      <c r="D361" s="368">
        <f t="shared" si="157"/>
        <v>0</v>
      </c>
      <c r="E361" s="368">
        <f t="shared" si="157"/>
        <v>0</v>
      </c>
      <c r="F361" s="368">
        <f t="shared" si="157"/>
        <v>0</v>
      </c>
      <c r="G361" s="369">
        <f t="shared" si="157"/>
        <v>0</v>
      </c>
      <c r="H361" s="369">
        <f t="shared" si="157"/>
        <v>0</v>
      </c>
      <c r="I361" s="369">
        <f t="shared" si="157"/>
        <v>0</v>
      </c>
      <c r="J361" s="369">
        <f t="shared" si="157"/>
        <v>0</v>
      </c>
      <c r="K361" s="369">
        <f t="shared" si="157"/>
        <v>0</v>
      </c>
      <c r="L361" s="369">
        <f t="shared" si="157"/>
        <v>0</v>
      </c>
      <c r="M361" s="369">
        <f t="shared" si="157"/>
        <v>0</v>
      </c>
      <c r="N361" s="369">
        <f t="shared" si="157"/>
        <v>0</v>
      </c>
      <c r="O361" s="369">
        <f t="shared" si="157"/>
        <v>0</v>
      </c>
      <c r="P361" s="369">
        <f t="shared" si="157"/>
        <v>0</v>
      </c>
      <c r="Q361" s="369">
        <f t="shared" si="157"/>
        <v>0</v>
      </c>
      <c r="R361" s="369">
        <f t="shared" si="157"/>
        <v>0</v>
      </c>
      <c r="S361" s="369">
        <f t="shared" si="157"/>
        <v>0</v>
      </c>
      <c r="T361" s="369">
        <f t="shared" si="157"/>
        <v>0</v>
      </c>
      <c r="U361" s="369">
        <f t="shared" si="157"/>
        <v>0</v>
      </c>
      <c r="V361" s="369">
        <f t="shared" si="157"/>
        <v>0</v>
      </c>
    </row>
    <row r="362" spans="1:22" s="24" customFormat="1" ht="29.25" hidden="1" customHeight="1">
      <c r="A362" s="460"/>
      <c r="B362" s="55" t="s">
        <v>2700</v>
      </c>
      <c r="C362" s="368"/>
      <c r="D362" s="367"/>
      <c r="E362" s="368"/>
      <c r="F362" s="368"/>
      <c r="G362" s="369">
        <f>H362+I362+M362</f>
        <v>0</v>
      </c>
      <c r="H362" s="369"/>
      <c r="I362" s="369"/>
      <c r="J362" s="369"/>
      <c r="K362" s="369"/>
      <c r="L362" s="369"/>
      <c r="M362" s="369"/>
      <c r="N362" s="369">
        <f>O362+P362+T362</f>
        <v>0</v>
      </c>
      <c r="O362" s="369"/>
      <c r="P362" s="369"/>
      <c r="Q362" s="369"/>
      <c r="R362" s="369"/>
      <c r="S362" s="369"/>
      <c r="T362" s="369"/>
      <c r="U362" s="369">
        <f>N362-G362</f>
        <v>0</v>
      </c>
      <c r="V362" s="370">
        <f>U362*6</f>
        <v>0</v>
      </c>
    </row>
    <row r="363" spans="1:22" s="24" customFormat="1" ht="29.25" hidden="1" customHeight="1">
      <c r="A363" s="460"/>
      <c r="B363" s="55" t="s">
        <v>2701</v>
      </c>
      <c r="C363" s="368"/>
      <c r="D363" s="367"/>
      <c r="E363" s="368"/>
      <c r="F363" s="368"/>
      <c r="G363" s="369">
        <f>H363+I363+M363</f>
        <v>0</v>
      </c>
      <c r="H363" s="369"/>
      <c r="I363" s="369"/>
      <c r="J363" s="369"/>
      <c r="K363" s="369"/>
      <c r="L363" s="369"/>
      <c r="M363" s="369"/>
      <c r="N363" s="369">
        <f>O363+P363+T363</f>
        <v>0</v>
      </c>
      <c r="O363" s="369"/>
      <c r="P363" s="369"/>
      <c r="Q363" s="369"/>
      <c r="R363" s="369"/>
      <c r="S363" s="369"/>
      <c r="T363" s="369"/>
      <c r="U363" s="369">
        <f>N363-G363</f>
        <v>0</v>
      </c>
      <c r="V363" s="370">
        <f>U363*6</f>
        <v>0</v>
      </c>
    </row>
    <row r="364" spans="1:22" s="24" customFormat="1" ht="29.25" hidden="1" customHeight="1">
      <c r="A364" s="460"/>
      <c r="B364" s="55" t="s">
        <v>2702</v>
      </c>
      <c r="C364" s="368"/>
      <c r="D364" s="367"/>
      <c r="E364" s="368"/>
      <c r="F364" s="368"/>
      <c r="G364" s="369">
        <f>H364+I364+M364</f>
        <v>0</v>
      </c>
      <c r="H364" s="369"/>
      <c r="I364" s="369"/>
      <c r="J364" s="369"/>
      <c r="K364" s="369"/>
      <c r="L364" s="369"/>
      <c r="M364" s="369"/>
      <c r="N364" s="369">
        <f>O364+P364+T364</f>
        <v>0</v>
      </c>
      <c r="O364" s="369"/>
      <c r="P364" s="369"/>
      <c r="Q364" s="369"/>
      <c r="R364" s="369"/>
      <c r="S364" s="369"/>
      <c r="T364" s="369"/>
      <c r="U364" s="369">
        <f>N364-G364</f>
        <v>0</v>
      </c>
      <c r="V364" s="370">
        <f>U364*6</f>
        <v>0</v>
      </c>
    </row>
    <row r="365" spans="1:22" s="24" customFormat="1" hidden="1">
      <c r="A365" s="460"/>
      <c r="B365" s="55" t="s">
        <v>2703</v>
      </c>
      <c r="C365" s="368"/>
      <c r="D365" s="367"/>
      <c r="E365" s="368"/>
      <c r="F365" s="368"/>
      <c r="G365" s="369">
        <f>H365+I365+M365</f>
        <v>0</v>
      </c>
      <c r="H365" s="369"/>
      <c r="I365" s="369"/>
      <c r="J365" s="369"/>
      <c r="K365" s="369"/>
      <c r="L365" s="369"/>
      <c r="M365" s="369"/>
      <c r="N365" s="369">
        <f>O365+P365+T365</f>
        <v>0</v>
      </c>
      <c r="O365" s="369"/>
      <c r="P365" s="369"/>
      <c r="Q365" s="369"/>
      <c r="R365" s="369"/>
      <c r="S365" s="369"/>
      <c r="T365" s="369"/>
      <c r="U365" s="369">
        <f>N365-G365</f>
        <v>0</v>
      </c>
      <c r="V365" s="370">
        <f>U365*6</f>
        <v>0</v>
      </c>
    </row>
    <row r="366" spans="1:22" s="24" customFormat="1" ht="24.75" hidden="1" customHeight="1">
      <c r="A366" s="462">
        <v>10</v>
      </c>
      <c r="B366" s="463" t="s">
        <v>2704</v>
      </c>
      <c r="C366" s="404">
        <f t="shared" ref="C366:V366" si="158">C367+C402+C414+C422</f>
        <v>12</v>
      </c>
      <c r="D366" s="404">
        <f t="shared" si="158"/>
        <v>9.4719999999999995</v>
      </c>
      <c r="E366" s="404">
        <f t="shared" si="158"/>
        <v>49</v>
      </c>
      <c r="F366" s="404">
        <f t="shared" si="158"/>
        <v>48</v>
      </c>
      <c r="G366" s="381">
        <f t="shared" si="158"/>
        <v>242.27213399999997</v>
      </c>
      <c r="H366" s="381">
        <f t="shared" si="158"/>
        <v>239.48599999999999</v>
      </c>
      <c r="I366" s="381">
        <f t="shared" si="158"/>
        <v>0.38740000000000002</v>
      </c>
      <c r="J366" s="381">
        <f t="shared" si="158"/>
        <v>0</v>
      </c>
      <c r="K366" s="381">
        <f t="shared" si="158"/>
        <v>0.38740000000000002</v>
      </c>
      <c r="L366" s="381">
        <f t="shared" si="158"/>
        <v>0</v>
      </c>
      <c r="M366" s="381">
        <f t="shared" si="158"/>
        <v>2.3987340000000001</v>
      </c>
      <c r="N366" s="381">
        <f t="shared" si="158"/>
        <v>259.04482019999995</v>
      </c>
      <c r="O366" s="381">
        <f t="shared" si="158"/>
        <v>256.06579999999997</v>
      </c>
      <c r="P366" s="381">
        <f t="shared" si="158"/>
        <v>0.41421999999999998</v>
      </c>
      <c r="Q366" s="381">
        <f t="shared" si="158"/>
        <v>0</v>
      </c>
      <c r="R366" s="381">
        <f t="shared" si="158"/>
        <v>0.41421999999999998</v>
      </c>
      <c r="S366" s="381">
        <f t="shared" si="158"/>
        <v>0</v>
      </c>
      <c r="T366" s="381">
        <f t="shared" si="158"/>
        <v>2.5648002000000001</v>
      </c>
      <c r="U366" s="381">
        <f t="shared" si="158"/>
        <v>0.16606619999999972</v>
      </c>
      <c r="V366" s="381">
        <f t="shared" si="158"/>
        <v>0.9797471999999986</v>
      </c>
    </row>
    <row r="367" spans="1:22" s="24" customFormat="1" ht="30.75" hidden="1" customHeight="1">
      <c r="A367" s="483"/>
      <c r="B367" s="484" t="s">
        <v>2538</v>
      </c>
      <c r="C367" s="394">
        <f t="shared" ref="C367:V367" si="159">SUM(C368,C371:C373,C380:C383,C386:C387,C390,C393:C401)</f>
        <v>10</v>
      </c>
      <c r="D367" s="394">
        <f t="shared" si="159"/>
        <v>7.9719999999999995</v>
      </c>
      <c r="E367" s="394">
        <f t="shared" si="159"/>
        <v>30</v>
      </c>
      <c r="F367" s="394">
        <f t="shared" si="159"/>
        <v>29</v>
      </c>
      <c r="G367" s="397">
        <f t="shared" si="159"/>
        <v>111.02465399999998</v>
      </c>
      <c r="H367" s="397">
        <f t="shared" si="159"/>
        <v>109.538</v>
      </c>
      <c r="I367" s="397">
        <f t="shared" si="159"/>
        <v>0.38740000000000002</v>
      </c>
      <c r="J367" s="397">
        <f t="shared" si="159"/>
        <v>0</v>
      </c>
      <c r="K367" s="397">
        <f t="shared" si="159"/>
        <v>0.38740000000000002</v>
      </c>
      <c r="L367" s="397">
        <f t="shared" si="159"/>
        <v>0</v>
      </c>
      <c r="M367" s="397">
        <f t="shared" si="159"/>
        <v>1.099254</v>
      </c>
      <c r="N367" s="397">
        <f t="shared" si="159"/>
        <v>118.71097619999998</v>
      </c>
      <c r="O367" s="397">
        <f t="shared" si="159"/>
        <v>117.12139999999999</v>
      </c>
      <c r="P367" s="397">
        <f t="shared" si="159"/>
        <v>0.41421999999999998</v>
      </c>
      <c r="Q367" s="397">
        <f t="shared" si="159"/>
        <v>0</v>
      </c>
      <c r="R367" s="397">
        <f t="shared" si="159"/>
        <v>0.41421999999999998</v>
      </c>
      <c r="S367" s="397">
        <f t="shared" si="159"/>
        <v>0</v>
      </c>
      <c r="T367" s="397">
        <f t="shared" si="159"/>
        <v>1.1753562</v>
      </c>
      <c r="U367" s="397">
        <f t="shared" si="159"/>
        <v>7.6102199999999939E-2</v>
      </c>
      <c r="V367" s="397">
        <f t="shared" si="159"/>
        <v>0.45661319999999972</v>
      </c>
    </row>
    <row r="368" spans="1:22" s="24" customFormat="1" ht="30.75" hidden="1" customHeight="1">
      <c r="A368" s="485">
        <v>31</v>
      </c>
      <c r="B368" s="498" t="s">
        <v>2705</v>
      </c>
      <c r="C368" s="368">
        <f t="shared" ref="C368:V368" si="160">C369+C370</f>
        <v>0</v>
      </c>
      <c r="D368" s="368">
        <f t="shared" si="160"/>
        <v>0</v>
      </c>
      <c r="E368" s="368">
        <f t="shared" si="160"/>
        <v>11</v>
      </c>
      <c r="F368" s="368">
        <f t="shared" si="160"/>
        <v>11</v>
      </c>
      <c r="G368" s="369">
        <f t="shared" si="160"/>
        <v>35.382723999999996</v>
      </c>
      <c r="H368" s="369">
        <f t="shared" si="160"/>
        <v>34.644999999999996</v>
      </c>
      <c r="I368" s="369">
        <f t="shared" si="160"/>
        <v>0.38740000000000002</v>
      </c>
      <c r="J368" s="369">
        <f t="shared" si="160"/>
        <v>0</v>
      </c>
      <c r="K368" s="369">
        <f t="shared" si="160"/>
        <v>0.38740000000000002</v>
      </c>
      <c r="L368" s="369">
        <f t="shared" si="160"/>
        <v>0</v>
      </c>
      <c r="M368" s="369">
        <f t="shared" si="160"/>
        <v>0.35032399999999997</v>
      </c>
      <c r="N368" s="369">
        <f t="shared" si="160"/>
        <v>37.832297199999992</v>
      </c>
      <c r="O368" s="369">
        <f t="shared" si="160"/>
        <v>37.043499999999995</v>
      </c>
      <c r="P368" s="369">
        <f t="shared" si="160"/>
        <v>0.41421999999999998</v>
      </c>
      <c r="Q368" s="369">
        <f t="shared" si="160"/>
        <v>0</v>
      </c>
      <c r="R368" s="369">
        <f t="shared" si="160"/>
        <v>0.41421999999999998</v>
      </c>
      <c r="S368" s="369">
        <f t="shared" si="160"/>
        <v>0</v>
      </c>
      <c r="T368" s="369">
        <f t="shared" si="160"/>
        <v>0.37457719999999994</v>
      </c>
      <c r="U368" s="369">
        <f t="shared" si="160"/>
        <v>2.4253199999999975E-2</v>
      </c>
      <c r="V368" s="369">
        <f t="shared" si="160"/>
        <v>0.14551919999999985</v>
      </c>
    </row>
    <row r="369" spans="1:22" s="24" customFormat="1" ht="30.75" hidden="1" customHeight="1">
      <c r="A369" s="485"/>
      <c r="B369" s="55" t="s">
        <v>2706</v>
      </c>
      <c r="C369" s="368"/>
      <c r="D369" s="367"/>
      <c r="E369" s="368">
        <v>11</v>
      </c>
      <c r="F369" s="368">
        <v>11</v>
      </c>
      <c r="G369" s="369">
        <f>H369+I369+M369</f>
        <v>35.382723999999996</v>
      </c>
      <c r="H369" s="369">
        <f>26.65*1.3</f>
        <v>34.644999999999996</v>
      </c>
      <c r="I369" s="369">
        <f>J369+K369+L369</f>
        <v>0.38740000000000002</v>
      </c>
      <c r="J369" s="369"/>
      <c r="K369" s="369">
        <f>0.298*1.3</f>
        <v>0.38740000000000002</v>
      </c>
      <c r="L369" s="369"/>
      <c r="M369" s="369">
        <f>(H369+I369)*1%</f>
        <v>0.35032399999999997</v>
      </c>
      <c r="N369" s="369">
        <f>O369+P369+T369</f>
        <v>37.832297199999992</v>
      </c>
      <c r="O369" s="369">
        <f>26.65*1.39</f>
        <v>37.043499999999995</v>
      </c>
      <c r="P369" s="369">
        <f>Q369+R369+S369</f>
        <v>0.41421999999999998</v>
      </c>
      <c r="Q369" s="369"/>
      <c r="R369" s="369">
        <f>0.298*1.39</f>
        <v>0.41421999999999998</v>
      </c>
      <c r="S369" s="369"/>
      <c r="T369" s="369">
        <f>(O369+P369)*1%</f>
        <v>0.37457719999999994</v>
      </c>
      <c r="U369" s="369">
        <f>T369-M369</f>
        <v>2.4253199999999975E-2</v>
      </c>
      <c r="V369" s="370">
        <f>U369*6</f>
        <v>0.14551919999999985</v>
      </c>
    </row>
    <row r="370" spans="1:22" s="24" customFormat="1" ht="30.75" hidden="1" customHeight="1">
      <c r="A370" s="485"/>
      <c r="B370" s="55" t="s">
        <v>2707</v>
      </c>
      <c r="C370" s="368"/>
      <c r="D370" s="367"/>
      <c r="E370" s="368"/>
      <c r="F370" s="368"/>
      <c r="G370" s="369">
        <f>H370+I370+M370</f>
        <v>0</v>
      </c>
      <c r="H370" s="369"/>
      <c r="I370" s="369"/>
      <c r="J370" s="369"/>
      <c r="K370" s="369"/>
      <c r="L370" s="369"/>
      <c r="M370" s="369"/>
      <c r="N370" s="369">
        <f>O370+P370+T370</f>
        <v>0</v>
      </c>
      <c r="O370" s="369"/>
      <c r="P370" s="369"/>
      <c r="Q370" s="369"/>
      <c r="R370" s="369"/>
      <c r="S370" s="369"/>
      <c r="T370" s="369"/>
      <c r="U370" s="369">
        <f>N370-G370</f>
        <v>0</v>
      </c>
      <c r="V370" s="370">
        <f t="shared" ref="V370:V401" si="161">U370*6</f>
        <v>0</v>
      </c>
    </row>
    <row r="371" spans="1:22" s="24" customFormat="1" ht="30.75" hidden="1" customHeight="1">
      <c r="A371" s="485">
        <v>32</v>
      </c>
      <c r="B371" s="55" t="s">
        <v>2711</v>
      </c>
      <c r="C371" s="368">
        <v>6</v>
      </c>
      <c r="D371" s="367">
        <v>5.4669999999999996</v>
      </c>
      <c r="E371" s="368"/>
      <c r="F371" s="368"/>
      <c r="G371" s="369">
        <f>H371+I371+M371</f>
        <v>24.97326</v>
      </c>
      <c r="H371" s="369">
        <f>19.02*1.3</f>
        <v>24.725999999999999</v>
      </c>
      <c r="I371" s="369"/>
      <c r="J371" s="369"/>
      <c r="K371" s="369"/>
      <c r="L371" s="369"/>
      <c r="M371" s="369">
        <f>H371*1%</f>
        <v>0.24726000000000001</v>
      </c>
      <c r="N371" s="369">
        <f>O371+P371+T371</f>
        <v>26.702178</v>
      </c>
      <c r="O371" s="369">
        <f>19.02*1.39</f>
        <v>26.437799999999999</v>
      </c>
      <c r="P371" s="369"/>
      <c r="Q371" s="369"/>
      <c r="R371" s="369"/>
      <c r="S371" s="369"/>
      <c r="T371" s="369">
        <f>O371*1%</f>
        <v>0.264378</v>
      </c>
      <c r="U371" s="369">
        <f>T371-M371</f>
        <v>1.7117999999999994E-2</v>
      </c>
      <c r="V371" s="370">
        <f t="shared" si="161"/>
        <v>0.10270799999999997</v>
      </c>
    </row>
    <row r="372" spans="1:22" s="24" customFormat="1" ht="30.75" hidden="1" customHeight="1">
      <c r="A372" s="485">
        <v>33</v>
      </c>
      <c r="B372" s="55" t="s">
        <v>2712</v>
      </c>
      <c r="C372" s="368"/>
      <c r="D372" s="367"/>
      <c r="E372" s="368"/>
      <c r="F372" s="368"/>
      <c r="G372" s="369">
        <f>H372+I372+M372</f>
        <v>0</v>
      </c>
      <c r="H372" s="369"/>
      <c r="I372" s="369"/>
      <c r="J372" s="369"/>
      <c r="K372" s="369"/>
      <c r="L372" s="369"/>
      <c r="M372" s="369"/>
      <c r="N372" s="369">
        <f>O372+P372+T372</f>
        <v>0</v>
      </c>
      <c r="O372" s="369"/>
      <c r="P372" s="369"/>
      <c r="Q372" s="369"/>
      <c r="R372" s="369"/>
      <c r="S372" s="369"/>
      <c r="T372" s="369"/>
      <c r="U372" s="369">
        <f>N372-G372</f>
        <v>0</v>
      </c>
      <c r="V372" s="370">
        <f t="shared" si="161"/>
        <v>0</v>
      </c>
    </row>
    <row r="373" spans="1:22" s="24" customFormat="1" ht="30.75" hidden="1" customHeight="1">
      <c r="A373" s="485">
        <v>34</v>
      </c>
      <c r="B373" s="498" t="s">
        <v>2291</v>
      </c>
      <c r="C373" s="368">
        <f t="shared" ref="C373:V373" si="162">SUM(C374:C379)</f>
        <v>0</v>
      </c>
      <c r="D373" s="368">
        <f t="shared" si="162"/>
        <v>0</v>
      </c>
      <c r="E373" s="368">
        <f t="shared" si="162"/>
        <v>0</v>
      </c>
      <c r="F373" s="368">
        <f t="shared" si="162"/>
        <v>0</v>
      </c>
      <c r="G373" s="369">
        <f t="shared" si="162"/>
        <v>0</v>
      </c>
      <c r="H373" s="369">
        <f t="shared" si="162"/>
        <v>0</v>
      </c>
      <c r="I373" s="369">
        <f t="shared" si="162"/>
        <v>0</v>
      </c>
      <c r="J373" s="369">
        <f t="shared" si="162"/>
        <v>0</v>
      </c>
      <c r="K373" s="369">
        <f t="shared" si="162"/>
        <v>0</v>
      </c>
      <c r="L373" s="369">
        <f t="shared" si="162"/>
        <v>0</v>
      </c>
      <c r="M373" s="369">
        <f t="shared" si="162"/>
        <v>0</v>
      </c>
      <c r="N373" s="369">
        <f t="shared" si="162"/>
        <v>0</v>
      </c>
      <c r="O373" s="369">
        <f t="shared" si="162"/>
        <v>0</v>
      </c>
      <c r="P373" s="369">
        <f t="shared" si="162"/>
        <v>0</v>
      </c>
      <c r="Q373" s="369">
        <f t="shared" si="162"/>
        <v>0</v>
      </c>
      <c r="R373" s="369">
        <f t="shared" si="162"/>
        <v>0</v>
      </c>
      <c r="S373" s="369">
        <f t="shared" si="162"/>
        <v>0</v>
      </c>
      <c r="T373" s="369">
        <f t="shared" si="162"/>
        <v>0</v>
      </c>
      <c r="U373" s="369">
        <f t="shared" si="162"/>
        <v>0</v>
      </c>
      <c r="V373" s="369">
        <f t="shared" si="162"/>
        <v>0</v>
      </c>
    </row>
    <row r="374" spans="1:22" s="24" customFormat="1" ht="30.75" hidden="1" customHeight="1">
      <c r="A374" s="485"/>
      <c r="B374" s="55" t="s">
        <v>2713</v>
      </c>
      <c r="C374" s="368"/>
      <c r="D374" s="367"/>
      <c r="E374" s="368"/>
      <c r="F374" s="368"/>
      <c r="G374" s="369">
        <f t="shared" ref="G374:G382" si="163">H374+I374+M374</f>
        <v>0</v>
      </c>
      <c r="H374" s="369"/>
      <c r="I374" s="369"/>
      <c r="J374" s="369"/>
      <c r="K374" s="369"/>
      <c r="L374" s="369"/>
      <c r="M374" s="369"/>
      <c r="N374" s="369">
        <f t="shared" ref="N374:N382" si="164">O374+P374+T374</f>
        <v>0</v>
      </c>
      <c r="O374" s="369"/>
      <c r="P374" s="369"/>
      <c r="Q374" s="369"/>
      <c r="R374" s="369"/>
      <c r="S374" s="369"/>
      <c r="T374" s="369"/>
      <c r="U374" s="369">
        <f t="shared" ref="U374:U382" si="165">N374-G374</f>
        <v>0</v>
      </c>
      <c r="V374" s="370">
        <f t="shared" si="161"/>
        <v>0</v>
      </c>
    </row>
    <row r="375" spans="1:22" s="24" customFormat="1" ht="30.75" hidden="1" customHeight="1">
      <c r="A375" s="485"/>
      <c r="B375" s="55" t="s">
        <v>2714</v>
      </c>
      <c r="C375" s="368"/>
      <c r="D375" s="367"/>
      <c r="E375" s="368"/>
      <c r="F375" s="368"/>
      <c r="G375" s="369">
        <f t="shared" si="163"/>
        <v>0</v>
      </c>
      <c r="H375" s="369"/>
      <c r="I375" s="369"/>
      <c r="J375" s="369"/>
      <c r="K375" s="369"/>
      <c r="L375" s="369"/>
      <c r="M375" s="369"/>
      <c r="N375" s="369">
        <f t="shared" si="164"/>
        <v>0</v>
      </c>
      <c r="O375" s="369"/>
      <c r="P375" s="369"/>
      <c r="Q375" s="369"/>
      <c r="R375" s="369"/>
      <c r="S375" s="369"/>
      <c r="T375" s="369"/>
      <c r="U375" s="369">
        <f t="shared" si="165"/>
        <v>0</v>
      </c>
      <c r="V375" s="370">
        <f t="shared" si="161"/>
        <v>0</v>
      </c>
    </row>
    <row r="376" spans="1:22" s="24" customFormat="1" ht="30.75" hidden="1" customHeight="1">
      <c r="A376" s="485"/>
      <c r="B376" s="55" t="s">
        <v>2715</v>
      </c>
      <c r="C376" s="368"/>
      <c r="D376" s="367"/>
      <c r="E376" s="368"/>
      <c r="F376" s="368"/>
      <c r="G376" s="369">
        <f t="shared" si="163"/>
        <v>0</v>
      </c>
      <c r="H376" s="369"/>
      <c r="I376" s="369"/>
      <c r="J376" s="369"/>
      <c r="K376" s="369"/>
      <c r="L376" s="369"/>
      <c r="M376" s="369"/>
      <c r="N376" s="369">
        <f t="shared" si="164"/>
        <v>0</v>
      </c>
      <c r="O376" s="369"/>
      <c r="P376" s="369"/>
      <c r="Q376" s="369"/>
      <c r="R376" s="369"/>
      <c r="S376" s="369"/>
      <c r="T376" s="369"/>
      <c r="U376" s="369">
        <f t="shared" si="165"/>
        <v>0</v>
      </c>
      <c r="V376" s="370">
        <f t="shared" si="161"/>
        <v>0</v>
      </c>
    </row>
    <row r="377" spans="1:22" s="24" customFormat="1" ht="30.75" hidden="1" customHeight="1">
      <c r="A377" s="485"/>
      <c r="B377" s="55" t="s">
        <v>2716</v>
      </c>
      <c r="C377" s="368"/>
      <c r="D377" s="367"/>
      <c r="E377" s="368"/>
      <c r="F377" s="368"/>
      <c r="G377" s="369">
        <f t="shared" si="163"/>
        <v>0</v>
      </c>
      <c r="H377" s="369"/>
      <c r="I377" s="369"/>
      <c r="J377" s="369"/>
      <c r="K377" s="369"/>
      <c r="L377" s="369"/>
      <c r="M377" s="369"/>
      <c r="N377" s="369">
        <f t="shared" si="164"/>
        <v>0</v>
      </c>
      <c r="O377" s="369"/>
      <c r="P377" s="369"/>
      <c r="Q377" s="369"/>
      <c r="R377" s="369"/>
      <c r="S377" s="369"/>
      <c r="T377" s="369"/>
      <c r="U377" s="369">
        <f t="shared" si="165"/>
        <v>0</v>
      </c>
      <c r="V377" s="370">
        <f t="shared" si="161"/>
        <v>0</v>
      </c>
    </row>
    <row r="378" spans="1:22" s="24" customFormat="1" ht="30.75" hidden="1" customHeight="1">
      <c r="A378" s="485"/>
      <c r="B378" s="55" t="s">
        <v>2717</v>
      </c>
      <c r="C378" s="368"/>
      <c r="D378" s="367"/>
      <c r="E378" s="368"/>
      <c r="F378" s="368"/>
      <c r="G378" s="369">
        <f t="shared" si="163"/>
        <v>0</v>
      </c>
      <c r="H378" s="369"/>
      <c r="I378" s="369"/>
      <c r="J378" s="369"/>
      <c r="K378" s="369"/>
      <c r="L378" s="369"/>
      <c r="M378" s="369"/>
      <c r="N378" s="369">
        <f t="shared" si="164"/>
        <v>0</v>
      </c>
      <c r="O378" s="369"/>
      <c r="P378" s="369"/>
      <c r="Q378" s="369"/>
      <c r="R378" s="369"/>
      <c r="S378" s="369"/>
      <c r="T378" s="369"/>
      <c r="U378" s="369">
        <f t="shared" si="165"/>
        <v>0</v>
      </c>
      <c r="V378" s="370">
        <f t="shared" si="161"/>
        <v>0</v>
      </c>
    </row>
    <row r="379" spans="1:22" s="24" customFormat="1" ht="30.75" hidden="1" customHeight="1">
      <c r="A379" s="485"/>
      <c r="B379" s="55" t="s">
        <v>2718</v>
      </c>
      <c r="C379" s="368"/>
      <c r="D379" s="367"/>
      <c r="E379" s="368"/>
      <c r="F379" s="368"/>
      <c r="G379" s="369">
        <f t="shared" si="163"/>
        <v>0</v>
      </c>
      <c r="H379" s="369"/>
      <c r="I379" s="369"/>
      <c r="J379" s="369"/>
      <c r="K379" s="369"/>
      <c r="L379" s="369"/>
      <c r="M379" s="369"/>
      <c r="N379" s="369">
        <f t="shared" si="164"/>
        <v>0</v>
      </c>
      <c r="O379" s="369"/>
      <c r="P379" s="369"/>
      <c r="Q379" s="369"/>
      <c r="R379" s="369"/>
      <c r="S379" s="369"/>
      <c r="T379" s="369"/>
      <c r="U379" s="369">
        <f t="shared" si="165"/>
        <v>0</v>
      </c>
      <c r="V379" s="370">
        <f t="shared" si="161"/>
        <v>0</v>
      </c>
    </row>
    <row r="380" spans="1:22" s="24" customFormat="1" ht="30.75" hidden="1" customHeight="1">
      <c r="A380" s="485">
        <v>35</v>
      </c>
      <c r="B380" s="498" t="s">
        <v>2721</v>
      </c>
      <c r="C380" s="368"/>
      <c r="D380" s="367"/>
      <c r="E380" s="368"/>
      <c r="F380" s="368"/>
      <c r="G380" s="369">
        <f t="shared" si="163"/>
        <v>0</v>
      </c>
      <c r="H380" s="369"/>
      <c r="I380" s="369"/>
      <c r="J380" s="369"/>
      <c r="K380" s="369"/>
      <c r="L380" s="369"/>
      <c r="M380" s="369"/>
      <c r="N380" s="369">
        <f t="shared" si="164"/>
        <v>0</v>
      </c>
      <c r="O380" s="369"/>
      <c r="P380" s="369"/>
      <c r="Q380" s="369"/>
      <c r="R380" s="369"/>
      <c r="S380" s="369"/>
      <c r="T380" s="369"/>
      <c r="U380" s="369">
        <f t="shared" si="165"/>
        <v>0</v>
      </c>
      <c r="V380" s="370">
        <f t="shared" si="161"/>
        <v>0</v>
      </c>
    </row>
    <row r="381" spans="1:22" s="24" customFormat="1" ht="30.75" hidden="1" customHeight="1">
      <c r="A381" s="485">
        <v>36</v>
      </c>
      <c r="B381" s="55" t="s">
        <v>2722</v>
      </c>
      <c r="C381" s="368"/>
      <c r="D381" s="367"/>
      <c r="E381" s="368"/>
      <c r="F381" s="368"/>
      <c r="G381" s="369">
        <f t="shared" si="163"/>
        <v>0</v>
      </c>
      <c r="H381" s="369"/>
      <c r="I381" s="369"/>
      <c r="J381" s="369"/>
      <c r="K381" s="369"/>
      <c r="L381" s="369"/>
      <c r="M381" s="369"/>
      <c r="N381" s="369">
        <f t="shared" si="164"/>
        <v>0</v>
      </c>
      <c r="O381" s="369"/>
      <c r="P381" s="369"/>
      <c r="Q381" s="369"/>
      <c r="R381" s="369"/>
      <c r="S381" s="369"/>
      <c r="T381" s="369"/>
      <c r="U381" s="369">
        <f t="shared" si="165"/>
        <v>0</v>
      </c>
      <c r="V381" s="370">
        <f t="shared" si="161"/>
        <v>0</v>
      </c>
    </row>
    <row r="382" spans="1:22" s="24" customFormat="1" ht="30.75" hidden="1" customHeight="1">
      <c r="A382" s="485">
        <v>37</v>
      </c>
      <c r="B382" s="55" t="s">
        <v>2478</v>
      </c>
      <c r="C382" s="368"/>
      <c r="D382" s="367"/>
      <c r="E382" s="368"/>
      <c r="F382" s="368"/>
      <c r="G382" s="369">
        <f t="shared" si="163"/>
        <v>0</v>
      </c>
      <c r="H382" s="369"/>
      <c r="I382" s="369"/>
      <c r="J382" s="369"/>
      <c r="K382" s="369"/>
      <c r="L382" s="369"/>
      <c r="M382" s="369"/>
      <c r="N382" s="369">
        <f t="shared" si="164"/>
        <v>0</v>
      </c>
      <c r="O382" s="369"/>
      <c r="P382" s="369"/>
      <c r="Q382" s="369"/>
      <c r="R382" s="369"/>
      <c r="S382" s="369"/>
      <c r="T382" s="369"/>
      <c r="U382" s="369">
        <f t="shared" si="165"/>
        <v>0</v>
      </c>
      <c r="V382" s="370">
        <f t="shared" si="161"/>
        <v>0</v>
      </c>
    </row>
    <row r="383" spans="1:22" s="24" customFormat="1" ht="30.75" hidden="1" customHeight="1">
      <c r="A383" s="485">
        <v>38</v>
      </c>
      <c r="B383" s="498" t="s">
        <v>2723</v>
      </c>
      <c r="C383" s="368">
        <f t="shared" ref="C383:V383" si="166">SUM(C384:C385)</f>
        <v>0</v>
      </c>
      <c r="D383" s="368">
        <f t="shared" si="166"/>
        <v>0</v>
      </c>
      <c r="E383" s="368">
        <f t="shared" si="166"/>
        <v>7</v>
      </c>
      <c r="F383" s="368">
        <f t="shared" si="166"/>
        <v>7</v>
      </c>
      <c r="G383" s="369">
        <f t="shared" si="166"/>
        <v>18.657730000000001</v>
      </c>
      <c r="H383" s="369">
        <f t="shared" si="166"/>
        <v>18.472999999999999</v>
      </c>
      <c r="I383" s="369">
        <f t="shared" si="166"/>
        <v>0</v>
      </c>
      <c r="J383" s="369">
        <f t="shared" si="166"/>
        <v>0</v>
      </c>
      <c r="K383" s="369">
        <f t="shared" si="166"/>
        <v>0</v>
      </c>
      <c r="L383" s="369">
        <f t="shared" si="166"/>
        <v>0</v>
      </c>
      <c r="M383" s="369">
        <f t="shared" si="166"/>
        <v>0.18473000000000001</v>
      </c>
      <c r="N383" s="369">
        <f t="shared" si="166"/>
        <v>19.949418999999999</v>
      </c>
      <c r="O383" s="369">
        <f t="shared" si="166"/>
        <v>19.751899999999999</v>
      </c>
      <c r="P383" s="369">
        <f t="shared" si="166"/>
        <v>0</v>
      </c>
      <c r="Q383" s="369">
        <f t="shared" si="166"/>
        <v>0</v>
      </c>
      <c r="R383" s="369">
        <f t="shared" si="166"/>
        <v>0</v>
      </c>
      <c r="S383" s="369">
        <f t="shared" si="166"/>
        <v>0</v>
      </c>
      <c r="T383" s="369">
        <f t="shared" si="166"/>
        <v>0.197519</v>
      </c>
      <c r="U383" s="369">
        <f t="shared" si="166"/>
        <v>1.2788999999999995E-2</v>
      </c>
      <c r="V383" s="369">
        <f t="shared" si="166"/>
        <v>7.6733999999999969E-2</v>
      </c>
    </row>
    <row r="384" spans="1:22" s="24" customFormat="1" ht="30.75" hidden="1" customHeight="1">
      <c r="A384" s="485"/>
      <c r="B384" s="55" t="s">
        <v>2724</v>
      </c>
      <c r="C384" s="368"/>
      <c r="D384" s="367"/>
      <c r="E384" s="368">
        <v>4</v>
      </c>
      <c r="F384" s="368">
        <v>4</v>
      </c>
      <c r="G384" s="369">
        <f>H384+I384+M384</f>
        <v>11.50188</v>
      </c>
      <c r="H384" s="369">
        <f>8.76*1.3</f>
        <v>11.388</v>
      </c>
      <c r="I384" s="369">
        <f>J384+K384+L384</f>
        <v>0</v>
      </c>
      <c r="J384" s="369"/>
      <c r="K384" s="369"/>
      <c r="L384" s="369"/>
      <c r="M384" s="369">
        <f>(H384+I384)*1%</f>
        <v>0.11388</v>
      </c>
      <c r="N384" s="369">
        <f>O384+P384+T384</f>
        <v>12.298164</v>
      </c>
      <c r="O384" s="369">
        <f>8.76*1.39</f>
        <v>12.176399999999999</v>
      </c>
      <c r="P384" s="369">
        <f>Q384+R384+S384</f>
        <v>0</v>
      </c>
      <c r="Q384" s="369"/>
      <c r="R384" s="369"/>
      <c r="S384" s="369"/>
      <c r="T384" s="369">
        <f>(O384+P384)*1%</f>
        <v>0.121764</v>
      </c>
      <c r="U384" s="409">
        <f>T384-M384</f>
        <v>7.8840000000000021E-3</v>
      </c>
      <c r="V384" s="370">
        <f>U384*6</f>
        <v>4.7304000000000013E-2</v>
      </c>
    </row>
    <row r="385" spans="1:22" s="24" customFormat="1" ht="30.75" hidden="1" customHeight="1">
      <c r="A385" s="485"/>
      <c r="B385" s="55" t="s">
        <v>2725</v>
      </c>
      <c r="C385" s="368"/>
      <c r="D385" s="367"/>
      <c r="E385" s="368">
        <v>3</v>
      </c>
      <c r="F385" s="368">
        <v>3</v>
      </c>
      <c r="G385" s="369">
        <f>H385+I385+M385</f>
        <v>7.1558500000000009</v>
      </c>
      <c r="H385" s="369">
        <f>5.45*1.3</f>
        <v>7.0850000000000009</v>
      </c>
      <c r="I385" s="369">
        <f>J385+K385+L385</f>
        <v>0</v>
      </c>
      <c r="J385" s="369"/>
      <c r="K385" s="369"/>
      <c r="L385" s="369"/>
      <c r="M385" s="369">
        <f>(H385+I385)*1%</f>
        <v>7.085000000000001E-2</v>
      </c>
      <c r="N385" s="369">
        <f>O385+P385+T385</f>
        <v>7.6512549999999999</v>
      </c>
      <c r="O385" s="369">
        <f>5.45*1.39</f>
        <v>7.5754999999999999</v>
      </c>
      <c r="P385" s="369">
        <f>Q385+R385+S385</f>
        <v>0</v>
      </c>
      <c r="Q385" s="369"/>
      <c r="R385" s="369"/>
      <c r="S385" s="369"/>
      <c r="T385" s="369">
        <f>(O385+P385)*1%</f>
        <v>7.5755000000000003E-2</v>
      </c>
      <c r="U385" s="409">
        <f>T385-M385</f>
        <v>4.9049999999999927E-3</v>
      </c>
      <c r="V385" s="370">
        <f>U385*6</f>
        <v>2.9429999999999956E-2</v>
      </c>
    </row>
    <row r="386" spans="1:22" s="24" customFormat="1" ht="30.75" hidden="1" customHeight="1">
      <c r="A386" s="485">
        <v>39</v>
      </c>
      <c r="B386" s="55" t="s">
        <v>2467</v>
      </c>
      <c r="C386" s="368"/>
      <c r="D386" s="367"/>
      <c r="E386" s="368"/>
      <c r="F386" s="368"/>
      <c r="G386" s="369">
        <f>H386+I386+M386</f>
        <v>0</v>
      </c>
      <c r="H386" s="369"/>
      <c r="I386" s="369"/>
      <c r="J386" s="369"/>
      <c r="K386" s="369"/>
      <c r="L386" s="369"/>
      <c r="M386" s="369"/>
      <c r="N386" s="369">
        <f>O386+P386+T386</f>
        <v>0</v>
      </c>
      <c r="O386" s="369"/>
      <c r="P386" s="369"/>
      <c r="Q386" s="369"/>
      <c r="R386" s="369"/>
      <c r="S386" s="369"/>
      <c r="T386" s="369"/>
      <c r="U386" s="369">
        <f>N386-G386</f>
        <v>0</v>
      </c>
      <c r="V386" s="370">
        <f t="shared" si="161"/>
        <v>0</v>
      </c>
    </row>
    <row r="387" spans="1:22" s="24" customFormat="1" ht="30.75" hidden="1" customHeight="1">
      <c r="A387" s="485">
        <v>40</v>
      </c>
      <c r="B387" s="55" t="s">
        <v>2726</v>
      </c>
      <c r="C387" s="368">
        <f t="shared" ref="C387:V387" si="167">SUM(C388:C389)</f>
        <v>0</v>
      </c>
      <c r="D387" s="368">
        <f t="shared" si="167"/>
        <v>0</v>
      </c>
      <c r="E387" s="368">
        <f t="shared" si="167"/>
        <v>4</v>
      </c>
      <c r="F387" s="368">
        <f t="shared" si="167"/>
        <v>4</v>
      </c>
      <c r="G387" s="369">
        <f t="shared" si="167"/>
        <v>12.447240000000001</v>
      </c>
      <c r="H387" s="369">
        <f t="shared" si="167"/>
        <v>12.324000000000002</v>
      </c>
      <c r="I387" s="369">
        <f t="shared" si="167"/>
        <v>0</v>
      </c>
      <c r="J387" s="369">
        <f t="shared" si="167"/>
        <v>0</v>
      </c>
      <c r="K387" s="369">
        <f t="shared" si="167"/>
        <v>0</v>
      </c>
      <c r="L387" s="369">
        <f t="shared" si="167"/>
        <v>0</v>
      </c>
      <c r="M387" s="369">
        <f t="shared" si="167"/>
        <v>0.12324000000000002</v>
      </c>
      <c r="N387" s="369">
        <f t="shared" si="167"/>
        <v>13.308971999999999</v>
      </c>
      <c r="O387" s="369">
        <f t="shared" si="167"/>
        <v>13.177199999999999</v>
      </c>
      <c r="P387" s="369">
        <f t="shared" si="167"/>
        <v>0</v>
      </c>
      <c r="Q387" s="369">
        <f t="shared" si="167"/>
        <v>0</v>
      </c>
      <c r="R387" s="369">
        <f t="shared" si="167"/>
        <v>0</v>
      </c>
      <c r="S387" s="369">
        <f t="shared" si="167"/>
        <v>0</v>
      </c>
      <c r="T387" s="369">
        <f t="shared" si="167"/>
        <v>0.131772</v>
      </c>
      <c r="U387" s="369">
        <f t="shared" si="167"/>
        <v>8.531999999999984E-3</v>
      </c>
      <c r="V387" s="369">
        <f t="shared" si="167"/>
        <v>5.1191999999999904E-2</v>
      </c>
    </row>
    <row r="388" spans="1:22" s="24" customFormat="1" ht="30.75" hidden="1" customHeight="1">
      <c r="A388" s="485"/>
      <c r="B388" s="55" t="s">
        <v>2727</v>
      </c>
      <c r="C388" s="368"/>
      <c r="D388" s="367"/>
      <c r="E388" s="368">
        <v>3</v>
      </c>
      <c r="F388" s="368">
        <v>3</v>
      </c>
      <c r="G388" s="369">
        <f>H388+I388+M388</f>
        <v>9.0465700000000009</v>
      </c>
      <c r="H388" s="369">
        <f>6.89*1.3</f>
        <v>8.9570000000000007</v>
      </c>
      <c r="I388" s="369"/>
      <c r="J388" s="369"/>
      <c r="K388" s="369"/>
      <c r="L388" s="369"/>
      <c r="M388" s="369">
        <f>(H388+I388)*1%</f>
        <v>8.9570000000000011E-2</v>
      </c>
      <c r="N388" s="369">
        <f>O388+P388+T388</f>
        <v>9.6728709999999989</v>
      </c>
      <c r="O388" s="369">
        <f>6.89*1.39</f>
        <v>9.5770999999999997</v>
      </c>
      <c r="P388" s="369"/>
      <c r="Q388" s="369"/>
      <c r="R388" s="369"/>
      <c r="S388" s="369"/>
      <c r="T388" s="369">
        <f>(O388+P388)*1%</f>
        <v>9.5770999999999995E-2</v>
      </c>
      <c r="U388" s="409">
        <f>T388-M388</f>
        <v>6.2009999999999843E-3</v>
      </c>
      <c r="V388" s="370">
        <f>U388*6</f>
        <v>3.7205999999999906E-2</v>
      </c>
    </row>
    <row r="389" spans="1:22" s="24" customFormat="1" ht="30.75" hidden="1" customHeight="1">
      <c r="A389" s="485"/>
      <c r="B389" s="55" t="s">
        <v>2728</v>
      </c>
      <c r="C389" s="368"/>
      <c r="D389" s="367"/>
      <c r="E389" s="368">
        <v>1</v>
      </c>
      <c r="F389" s="368">
        <v>1</v>
      </c>
      <c r="G389" s="369">
        <f>H389+I389+M389</f>
        <v>3.4006699999999999</v>
      </c>
      <c r="H389" s="369">
        <f>2.59*1.3</f>
        <v>3.367</v>
      </c>
      <c r="I389" s="369"/>
      <c r="J389" s="369"/>
      <c r="K389" s="369"/>
      <c r="L389" s="369"/>
      <c r="M389" s="369">
        <f>(H389+I389)*1%</f>
        <v>3.3669999999999999E-2</v>
      </c>
      <c r="N389" s="369">
        <f>O389+P389+T389</f>
        <v>3.6361009999999996</v>
      </c>
      <c r="O389" s="369">
        <f>2.59*1.39</f>
        <v>3.6000999999999994</v>
      </c>
      <c r="P389" s="369"/>
      <c r="Q389" s="369"/>
      <c r="R389" s="369"/>
      <c r="S389" s="369"/>
      <c r="T389" s="369">
        <f>(O389+P389)*1%</f>
        <v>3.6000999999999998E-2</v>
      </c>
      <c r="U389" s="409">
        <f>T389-M389</f>
        <v>2.3309999999999997E-3</v>
      </c>
      <c r="V389" s="370">
        <f>U389*6</f>
        <v>1.3985999999999998E-2</v>
      </c>
    </row>
    <row r="390" spans="1:22" s="24" customFormat="1" ht="30.75" hidden="1" customHeight="1">
      <c r="A390" s="485">
        <v>41</v>
      </c>
      <c r="B390" s="498" t="s">
        <v>2479</v>
      </c>
      <c r="C390" s="368">
        <f t="shared" ref="C390:V390" si="168">SUM(C391:C392)</f>
        <v>0</v>
      </c>
      <c r="D390" s="368">
        <f t="shared" si="168"/>
        <v>0</v>
      </c>
      <c r="E390" s="368">
        <f t="shared" si="168"/>
        <v>0</v>
      </c>
      <c r="F390" s="368">
        <f t="shared" si="168"/>
        <v>0</v>
      </c>
      <c r="G390" s="369">
        <f t="shared" si="168"/>
        <v>0</v>
      </c>
      <c r="H390" s="369">
        <f t="shared" si="168"/>
        <v>0</v>
      </c>
      <c r="I390" s="369">
        <f t="shared" si="168"/>
        <v>0</v>
      </c>
      <c r="J390" s="369">
        <f t="shared" si="168"/>
        <v>0</v>
      </c>
      <c r="K390" s="369">
        <f t="shared" si="168"/>
        <v>0</v>
      </c>
      <c r="L390" s="369">
        <f t="shared" si="168"/>
        <v>0</v>
      </c>
      <c r="M390" s="369">
        <f t="shared" si="168"/>
        <v>0</v>
      </c>
      <c r="N390" s="369">
        <f t="shared" si="168"/>
        <v>0</v>
      </c>
      <c r="O390" s="369">
        <f t="shared" si="168"/>
        <v>0</v>
      </c>
      <c r="P390" s="369">
        <f t="shared" si="168"/>
        <v>0</v>
      </c>
      <c r="Q390" s="369">
        <f t="shared" si="168"/>
        <v>0</v>
      </c>
      <c r="R390" s="369">
        <f t="shared" si="168"/>
        <v>0</v>
      </c>
      <c r="S390" s="369">
        <f t="shared" si="168"/>
        <v>0</v>
      </c>
      <c r="T390" s="369">
        <f t="shared" si="168"/>
        <v>0</v>
      </c>
      <c r="U390" s="369">
        <f t="shared" si="168"/>
        <v>0</v>
      </c>
      <c r="V390" s="369">
        <f t="shared" si="168"/>
        <v>0</v>
      </c>
    </row>
    <row r="391" spans="1:22" s="24" customFormat="1" ht="30.75" hidden="1" customHeight="1">
      <c r="A391" s="485"/>
      <c r="B391" s="86" t="s">
        <v>2729</v>
      </c>
      <c r="C391" s="368"/>
      <c r="D391" s="367"/>
      <c r="E391" s="368"/>
      <c r="F391" s="368"/>
      <c r="G391" s="369">
        <f t="shared" ref="G391:G400" si="169">H391+I391+M391</f>
        <v>0</v>
      </c>
      <c r="H391" s="369"/>
      <c r="I391" s="369"/>
      <c r="J391" s="369"/>
      <c r="K391" s="369"/>
      <c r="L391" s="369"/>
      <c r="M391" s="369"/>
      <c r="N391" s="369">
        <f t="shared" ref="N391:N400" si="170">O391+P391+T391</f>
        <v>0</v>
      </c>
      <c r="O391" s="369"/>
      <c r="P391" s="369"/>
      <c r="Q391" s="369"/>
      <c r="R391" s="369"/>
      <c r="S391" s="369"/>
      <c r="T391" s="369"/>
      <c r="U391" s="369">
        <f t="shared" ref="U391:U400" si="171">N391-G391</f>
        <v>0</v>
      </c>
      <c r="V391" s="370">
        <f t="shared" si="161"/>
        <v>0</v>
      </c>
    </row>
    <row r="392" spans="1:22" s="24" customFormat="1" ht="30.75" hidden="1" customHeight="1">
      <c r="A392" s="485"/>
      <c r="B392" s="499" t="s">
        <v>2730</v>
      </c>
      <c r="C392" s="368"/>
      <c r="D392" s="367"/>
      <c r="E392" s="368"/>
      <c r="F392" s="368"/>
      <c r="G392" s="369">
        <f t="shared" si="169"/>
        <v>0</v>
      </c>
      <c r="H392" s="369"/>
      <c r="I392" s="369"/>
      <c r="J392" s="369"/>
      <c r="K392" s="369"/>
      <c r="L392" s="369"/>
      <c r="M392" s="369"/>
      <c r="N392" s="369">
        <f t="shared" si="170"/>
        <v>0</v>
      </c>
      <c r="O392" s="369"/>
      <c r="P392" s="369"/>
      <c r="Q392" s="369"/>
      <c r="R392" s="369"/>
      <c r="S392" s="369"/>
      <c r="T392" s="369"/>
      <c r="U392" s="369">
        <f t="shared" si="171"/>
        <v>0</v>
      </c>
      <c r="V392" s="370">
        <f t="shared" si="161"/>
        <v>0</v>
      </c>
    </row>
    <row r="393" spans="1:22" s="24" customFormat="1" ht="30.75" hidden="1" customHeight="1">
      <c r="A393" s="485">
        <v>42</v>
      </c>
      <c r="B393" s="55" t="s">
        <v>2300</v>
      </c>
      <c r="C393" s="368"/>
      <c r="D393" s="367"/>
      <c r="E393" s="368">
        <v>2</v>
      </c>
      <c r="F393" s="368">
        <v>1</v>
      </c>
      <c r="G393" s="369">
        <f t="shared" si="169"/>
        <v>3.6370100000000001</v>
      </c>
      <c r="H393" s="369">
        <f>2.77*1.3</f>
        <v>3.601</v>
      </c>
      <c r="I393" s="369"/>
      <c r="J393" s="369"/>
      <c r="K393" s="369"/>
      <c r="L393" s="369"/>
      <c r="M393" s="369">
        <f>(H393+I393)*1%</f>
        <v>3.601E-2</v>
      </c>
      <c r="N393" s="369">
        <f t="shared" si="170"/>
        <v>3.8888029999999998</v>
      </c>
      <c r="O393" s="369">
        <f>2.77*1.39</f>
        <v>3.8502999999999998</v>
      </c>
      <c r="P393" s="369"/>
      <c r="Q393" s="369"/>
      <c r="R393" s="369"/>
      <c r="S393" s="369"/>
      <c r="T393" s="369">
        <f>(O393+P393)*1%</f>
        <v>3.8503000000000003E-2</v>
      </c>
      <c r="U393" s="409">
        <f>T393-M393</f>
        <v>2.4930000000000022E-3</v>
      </c>
      <c r="V393" s="370">
        <f t="shared" si="161"/>
        <v>1.4958000000000013E-2</v>
      </c>
    </row>
    <row r="394" spans="1:22" s="24" customFormat="1" ht="30.75" hidden="1" customHeight="1">
      <c r="A394" s="485">
        <v>43</v>
      </c>
      <c r="B394" s="55" t="s">
        <v>2731</v>
      </c>
      <c r="C394" s="368">
        <v>4</v>
      </c>
      <c r="D394" s="367">
        <v>2.5049999999999999</v>
      </c>
      <c r="E394" s="368">
        <v>3</v>
      </c>
      <c r="F394" s="368">
        <v>3</v>
      </c>
      <c r="G394" s="369">
        <f t="shared" si="169"/>
        <v>8.10121</v>
      </c>
      <c r="H394" s="369">
        <f>6.17*1.3</f>
        <v>8.0210000000000008</v>
      </c>
      <c r="I394" s="369"/>
      <c r="J394" s="369"/>
      <c r="K394" s="369"/>
      <c r="L394" s="369"/>
      <c r="M394" s="369">
        <f>H394*1%</f>
        <v>8.0210000000000004E-2</v>
      </c>
      <c r="N394" s="369">
        <f t="shared" si="170"/>
        <v>8.6620629999999998</v>
      </c>
      <c r="O394" s="369">
        <f>6.17*1.39</f>
        <v>8.5762999999999998</v>
      </c>
      <c r="P394" s="369"/>
      <c r="Q394" s="369"/>
      <c r="R394" s="369"/>
      <c r="S394" s="369"/>
      <c r="T394" s="369">
        <f>O394*1%</f>
        <v>8.5763000000000006E-2</v>
      </c>
      <c r="U394" s="369">
        <f>T394-M394</f>
        <v>5.5530000000000024E-3</v>
      </c>
      <c r="V394" s="370">
        <f t="shared" si="161"/>
        <v>3.3318000000000014E-2</v>
      </c>
    </row>
    <row r="395" spans="1:22" s="24" customFormat="1" ht="30.75" hidden="1" customHeight="1">
      <c r="A395" s="485">
        <v>44</v>
      </c>
      <c r="B395" s="498" t="s">
        <v>2666</v>
      </c>
      <c r="C395" s="368"/>
      <c r="D395" s="367"/>
      <c r="E395" s="368"/>
      <c r="F395" s="368"/>
      <c r="G395" s="369">
        <f t="shared" si="169"/>
        <v>0</v>
      </c>
      <c r="H395" s="369"/>
      <c r="I395" s="369"/>
      <c r="J395" s="369"/>
      <c r="K395" s="369"/>
      <c r="L395" s="369"/>
      <c r="M395" s="369"/>
      <c r="N395" s="369">
        <f t="shared" si="170"/>
        <v>0</v>
      </c>
      <c r="O395" s="369"/>
      <c r="P395" s="369"/>
      <c r="Q395" s="369"/>
      <c r="R395" s="369"/>
      <c r="S395" s="369"/>
      <c r="T395" s="369"/>
      <c r="U395" s="369">
        <f t="shared" si="171"/>
        <v>0</v>
      </c>
      <c r="V395" s="370">
        <f t="shared" si="161"/>
        <v>0</v>
      </c>
    </row>
    <row r="396" spans="1:22" s="24" customFormat="1" ht="30.75" hidden="1" customHeight="1">
      <c r="A396" s="485">
        <v>45</v>
      </c>
      <c r="B396" s="55" t="s">
        <v>2732</v>
      </c>
      <c r="C396" s="368"/>
      <c r="D396" s="367"/>
      <c r="E396" s="368"/>
      <c r="F396" s="368"/>
      <c r="G396" s="369">
        <f t="shared" si="169"/>
        <v>0</v>
      </c>
      <c r="H396" s="369"/>
      <c r="I396" s="369"/>
      <c r="J396" s="369"/>
      <c r="K396" s="369"/>
      <c r="L396" s="369"/>
      <c r="M396" s="369"/>
      <c r="N396" s="369">
        <f t="shared" si="170"/>
        <v>0</v>
      </c>
      <c r="O396" s="369"/>
      <c r="P396" s="369"/>
      <c r="Q396" s="369"/>
      <c r="R396" s="369"/>
      <c r="S396" s="369"/>
      <c r="T396" s="369"/>
      <c r="U396" s="369">
        <f t="shared" si="171"/>
        <v>0</v>
      </c>
      <c r="V396" s="370">
        <f t="shared" si="161"/>
        <v>0</v>
      </c>
    </row>
    <row r="397" spans="1:22" s="24" customFormat="1" ht="30.75" hidden="1" customHeight="1">
      <c r="A397" s="485">
        <v>46</v>
      </c>
      <c r="B397" s="55" t="s">
        <v>2292</v>
      </c>
      <c r="C397" s="368"/>
      <c r="D397" s="367"/>
      <c r="E397" s="368"/>
      <c r="F397" s="368"/>
      <c r="G397" s="369">
        <f t="shared" si="169"/>
        <v>0</v>
      </c>
      <c r="H397" s="369"/>
      <c r="I397" s="369"/>
      <c r="J397" s="369"/>
      <c r="K397" s="369"/>
      <c r="L397" s="369"/>
      <c r="M397" s="369"/>
      <c r="N397" s="369">
        <f t="shared" si="170"/>
        <v>0</v>
      </c>
      <c r="O397" s="369"/>
      <c r="P397" s="369"/>
      <c r="Q397" s="369"/>
      <c r="R397" s="369"/>
      <c r="S397" s="369"/>
      <c r="T397" s="369"/>
      <c r="U397" s="369">
        <f t="shared" si="171"/>
        <v>0</v>
      </c>
      <c r="V397" s="370">
        <f t="shared" si="161"/>
        <v>0</v>
      </c>
    </row>
    <row r="398" spans="1:22" s="24" customFormat="1" ht="30.75" hidden="1" customHeight="1">
      <c r="A398" s="485">
        <v>47</v>
      </c>
      <c r="B398" s="55" t="s">
        <v>2293</v>
      </c>
      <c r="C398" s="368"/>
      <c r="D398" s="367"/>
      <c r="E398" s="368"/>
      <c r="F398" s="368"/>
      <c r="G398" s="369">
        <f t="shared" si="169"/>
        <v>0</v>
      </c>
      <c r="H398" s="369"/>
      <c r="I398" s="369"/>
      <c r="J398" s="369"/>
      <c r="K398" s="369"/>
      <c r="L398" s="369"/>
      <c r="M398" s="369"/>
      <c r="N398" s="369">
        <f t="shared" si="170"/>
        <v>0</v>
      </c>
      <c r="O398" s="369"/>
      <c r="P398" s="369"/>
      <c r="Q398" s="369"/>
      <c r="R398" s="369"/>
      <c r="S398" s="369"/>
      <c r="T398" s="369"/>
      <c r="U398" s="369">
        <f t="shared" si="171"/>
        <v>0</v>
      </c>
      <c r="V398" s="370">
        <f t="shared" si="161"/>
        <v>0</v>
      </c>
    </row>
    <row r="399" spans="1:22" s="24" customFormat="1" ht="30.75" hidden="1" customHeight="1">
      <c r="A399" s="485">
        <v>48</v>
      </c>
      <c r="B399" s="86" t="s">
        <v>2733</v>
      </c>
      <c r="C399" s="368"/>
      <c r="D399" s="367"/>
      <c r="E399" s="368"/>
      <c r="F399" s="368"/>
      <c r="G399" s="369">
        <f t="shared" si="169"/>
        <v>0</v>
      </c>
      <c r="H399" s="369"/>
      <c r="I399" s="369"/>
      <c r="J399" s="369"/>
      <c r="K399" s="369"/>
      <c r="L399" s="369"/>
      <c r="M399" s="369"/>
      <c r="N399" s="369">
        <f t="shared" si="170"/>
        <v>0</v>
      </c>
      <c r="O399" s="369"/>
      <c r="P399" s="369"/>
      <c r="Q399" s="369"/>
      <c r="R399" s="369"/>
      <c r="S399" s="369"/>
      <c r="T399" s="369"/>
      <c r="U399" s="369">
        <f t="shared" si="171"/>
        <v>0</v>
      </c>
      <c r="V399" s="370">
        <f t="shared" si="161"/>
        <v>0</v>
      </c>
    </row>
    <row r="400" spans="1:22" s="24" customFormat="1" ht="30.75" hidden="1" customHeight="1">
      <c r="A400" s="485">
        <v>49</v>
      </c>
      <c r="B400" s="86" t="s">
        <v>2734</v>
      </c>
      <c r="C400" s="368"/>
      <c r="D400" s="367"/>
      <c r="E400" s="368"/>
      <c r="F400" s="368"/>
      <c r="G400" s="369">
        <f t="shared" si="169"/>
        <v>0</v>
      </c>
      <c r="H400" s="369"/>
      <c r="I400" s="369"/>
      <c r="J400" s="369"/>
      <c r="K400" s="369"/>
      <c r="L400" s="369"/>
      <c r="M400" s="369"/>
      <c r="N400" s="369">
        <f t="shared" si="170"/>
        <v>0</v>
      </c>
      <c r="O400" s="369"/>
      <c r="P400" s="369"/>
      <c r="Q400" s="369"/>
      <c r="R400" s="369"/>
      <c r="S400" s="369"/>
      <c r="T400" s="369"/>
      <c r="U400" s="369">
        <f t="shared" si="171"/>
        <v>0</v>
      </c>
      <c r="V400" s="370">
        <f t="shared" si="161"/>
        <v>0</v>
      </c>
    </row>
    <row r="401" spans="1:22" s="24" customFormat="1" ht="24.75" hidden="1" customHeight="1">
      <c r="A401" s="485">
        <v>50</v>
      </c>
      <c r="B401" s="55" t="s">
        <v>2735</v>
      </c>
      <c r="C401" s="368"/>
      <c r="D401" s="367"/>
      <c r="E401" s="368">
        <v>3</v>
      </c>
      <c r="F401" s="368">
        <v>3</v>
      </c>
      <c r="G401" s="369">
        <f>H401+I401+M401</f>
        <v>7.8254800000000007</v>
      </c>
      <c r="H401" s="369">
        <f>5.96*1.3</f>
        <v>7.7480000000000002</v>
      </c>
      <c r="I401" s="369"/>
      <c r="J401" s="369"/>
      <c r="K401" s="369"/>
      <c r="L401" s="369"/>
      <c r="M401" s="369">
        <f>(H401+I401)*1%</f>
        <v>7.7480000000000007E-2</v>
      </c>
      <c r="N401" s="369">
        <f>O401+P401+T401</f>
        <v>8.3672439999999995</v>
      </c>
      <c r="O401" s="369">
        <f>5.96*1.39</f>
        <v>8.2843999999999998</v>
      </c>
      <c r="P401" s="369"/>
      <c r="Q401" s="369"/>
      <c r="R401" s="369"/>
      <c r="S401" s="369"/>
      <c r="T401" s="369">
        <f>(O401+P401)*1%</f>
        <v>8.2844000000000001E-2</v>
      </c>
      <c r="U401" s="409">
        <f>T401-M401</f>
        <v>5.3639999999999938E-3</v>
      </c>
      <c r="V401" s="370">
        <f t="shared" si="161"/>
        <v>3.2183999999999963E-2</v>
      </c>
    </row>
    <row r="402" spans="1:22" s="24" customFormat="1" ht="24.75" hidden="1" customHeight="1">
      <c r="A402" s="483"/>
      <c r="B402" s="484" t="s">
        <v>2539</v>
      </c>
      <c r="C402" s="394">
        <f t="shared" ref="C402:V402" si="172">C403</f>
        <v>0</v>
      </c>
      <c r="D402" s="394">
        <f t="shared" si="172"/>
        <v>0</v>
      </c>
      <c r="E402" s="394">
        <f t="shared" si="172"/>
        <v>0</v>
      </c>
      <c r="F402" s="394">
        <f t="shared" si="172"/>
        <v>0</v>
      </c>
      <c r="G402" s="397">
        <f t="shared" si="172"/>
        <v>69.707169999999991</v>
      </c>
      <c r="H402" s="397">
        <f t="shared" si="172"/>
        <v>69.01700000000001</v>
      </c>
      <c r="I402" s="397">
        <f t="shared" si="172"/>
        <v>0</v>
      </c>
      <c r="J402" s="397">
        <f t="shared" si="172"/>
        <v>0</v>
      </c>
      <c r="K402" s="397">
        <f t="shared" si="172"/>
        <v>0</v>
      </c>
      <c r="L402" s="397">
        <f t="shared" si="172"/>
        <v>0</v>
      </c>
      <c r="M402" s="397">
        <f t="shared" si="172"/>
        <v>0.69017000000000006</v>
      </c>
      <c r="N402" s="397">
        <f t="shared" si="172"/>
        <v>74.533051</v>
      </c>
      <c r="O402" s="397">
        <f t="shared" si="172"/>
        <v>73.795100000000005</v>
      </c>
      <c r="P402" s="397">
        <f t="shared" si="172"/>
        <v>0</v>
      </c>
      <c r="Q402" s="397">
        <f t="shared" si="172"/>
        <v>0</v>
      </c>
      <c r="R402" s="397">
        <f t="shared" si="172"/>
        <v>0</v>
      </c>
      <c r="S402" s="397">
        <f t="shared" si="172"/>
        <v>0</v>
      </c>
      <c r="T402" s="397">
        <f t="shared" si="172"/>
        <v>0.73795099999999991</v>
      </c>
      <c r="U402" s="397">
        <f t="shared" si="172"/>
        <v>4.7780999999999844E-2</v>
      </c>
      <c r="V402" s="397">
        <f t="shared" si="172"/>
        <v>0.27003599999999911</v>
      </c>
    </row>
    <row r="403" spans="1:22" s="24" customFormat="1" ht="24.75" hidden="1" customHeight="1">
      <c r="A403" s="485">
        <v>51</v>
      </c>
      <c r="B403" s="55" t="s">
        <v>2736</v>
      </c>
      <c r="C403" s="368">
        <f t="shared" ref="C403:V403" si="173">SUM(C404:C412)</f>
        <v>0</v>
      </c>
      <c r="D403" s="368">
        <f t="shared" si="173"/>
        <v>0</v>
      </c>
      <c r="E403" s="368">
        <f t="shared" si="173"/>
        <v>0</v>
      </c>
      <c r="F403" s="368">
        <f t="shared" si="173"/>
        <v>0</v>
      </c>
      <c r="G403" s="369">
        <f t="shared" si="173"/>
        <v>69.707169999999991</v>
      </c>
      <c r="H403" s="369">
        <f t="shared" si="173"/>
        <v>69.01700000000001</v>
      </c>
      <c r="I403" s="369">
        <f t="shared" si="173"/>
        <v>0</v>
      </c>
      <c r="J403" s="369">
        <f t="shared" si="173"/>
        <v>0</v>
      </c>
      <c r="K403" s="369">
        <f t="shared" si="173"/>
        <v>0</v>
      </c>
      <c r="L403" s="369">
        <f t="shared" si="173"/>
        <v>0</v>
      </c>
      <c r="M403" s="369">
        <f t="shared" si="173"/>
        <v>0.69017000000000006</v>
      </c>
      <c r="N403" s="369">
        <f t="shared" si="173"/>
        <v>74.533051</v>
      </c>
      <c r="O403" s="369">
        <f t="shared" si="173"/>
        <v>73.795100000000005</v>
      </c>
      <c r="P403" s="369">
        <f t="shared" si="173"/>
        <v>0</v>
      </c>
      <c r="Q403" s="369">
        <f t="shared" si="173"/>
        <v>0</v>
      </c>
      <c r="R403" s="369">
        <f t="shared" si="173"/>
        <v>0</v>
      </c>
      <c r="S403" s="369">
        <f t="shared" si="173"/>
        <v>0</v>
      </c>
      <c r="T403" s="369">
        <f t="shared" si="173"/>
        <v>0.73795099999999991</v>
      </c>
      <c r="U403" s="369">
        <f t="shared" si="173"/>
        <v>4.7780999999999844E-2</v>
      </c>
      <c r="V403" s="369">
        <f t="shared" si="173"/>
        <v>0.27003599999999911</v>
      </c>
    </row>
    <row r="404" spans="1:22" s="24" customFormat="1" ht="24.75" hidden="1" customHeight="1">
      <c r="A404" s="485"/>
      <c r="B404" s="97" t="s">
        <v>2737</v>
      </c>
      <c r="C404" s="368"/>
      <c r="D404" s="367"/>
      <c r="E404" s="368"/>
      <c r="F404" s="368"/>
      <c r="G404" s="369">
        <f t="shared" ref="G404:G412" si="174">H404+I404+M404</f>
        <v>53.688570000000006</v>
      </c>
      <c r="H404" s="369">
        <f>(34.89+6)*1.3</f>
        <v>53.157000000000004</v>
      </c>
      <c r="I404" s="369"/>
      <c r="J404" s="369"/>
      <c r="K404" s="369"/>
      <c r="L404" s="369"/>
      <c r="M404" s="369">
        <f>H404*1%</f>
        <v>0.5315700000000001</v>
      </c>
      <c r="N404" s="369">
        <f>O404+P404+T404</f>
        <v>57.405470999999999</v>
      </c>
      <c r="O404" s="369">
        <f>(34.89+6)*1.39</f>
        <v>56.8371</v>
      </c>
      <c r="P404" s="369"/>
      <c r="Q404" s="369"/>
      <c r="R404" s="369"/>
      <c r="S404" s="369"/>
      <c r="T404" s="369">
        <f>O404*1%</f>
        <v>0.56837099999999996</v>
      </c>
      <c r="U404" s="369">
        <f>T404-M404</f>
        <v>3.6800999999999862E-2</v>
      </c>
      <c r="V404" s="370">
        <f t="shared" ref="V404:V411" si="175">U404*6</f>
        <v>0.22080599999999917</v>
      </c>
    </row>
    <row r="405" spans="1:22" s="24" customFormat="1" ht="24.75" hidden="1" customHeight="1">
      <c r="A405" s="485"/>
      <c r="B405" s="97" t="s">
        <v>2738</v>
      </c>
      <c r="C405" s="368"/>
      <c r="D405" s="367"/>
      <c r="E405" s="368"/>
      <c r="F405" s="368"/>
      <c r="G405" s="369">
        <f t="shared" si="174"/>
        <v>0</v>
      </c>
      <c r="H405" s="369"/>
      <c r="I405" s="369"/>
      <c r="J405" s="369"/>
      <c r="K405" s="369"/>
      <c r="L405" s="369"/>
      <c r="M405" s="369"/>
      <c r="N405" s="369">
        <f t="shared" ref="N405:N412" si="176">O405+P405+T405</f>
        <v>0</v>
      </c>
      <c r="O405" s="369"/>
      <c r="P405" s="369"/>
      <c r="Q405" s="369"/>
      <c r="R405" s="369"/>
      <c r="S405" s="369"/>
      <c r="T405" s="369"/>
      <c r="U405" s="369">
        <f>N405-G405</f>
        <v>0</v>
      </c>
      <c r="V405" s="370">
        <f t="shared" si="175"/>
        <v>0</v>
      </c>
    </row>
    <row r="406" spans="1:22" s="24" customFormat="1" ht="24.75" hidden="1" customHeight="1">
      <c r="A406" s="485"/>
      <c r="B406" s="97" t="s">
        <v>2739</v>
      </c>
      <c r="C406" s="368"/>
      <c r="D406" s="367"/>
      <c r="E406" s="368"/>
      <c r="F406" s="368"/>
      <c r="G406" s="369">
        <f t="shared" si="174"/>
        <v>0</v>
      </c>
      <c r="H406" s="369"/>
      <c r="I406" s="369"/>
      <c r="J406" s="369"/>
      <c r="K406" s="369"/>
      <c r="L406" s="369"/>
      <c r="M406" s="369"/>
      <c r="N406" s="369">
        <f t="shared" si="176"/>
        <v>0</v>
      </c>
      <c r="O406" s="369"/>
      <c r="P406" s="369"/>
      <c r="Q406" s="369"/>
      <c r="R406" s="369"/>
      <c r="S406" s="369"/>
      <c r="T406" s="369"/>
      <c r="U406" s="369">
        <f>N406-G406</f>
        <v>0</v>
      </c>
      <c r="V406" s="370">
        <f t="shared" si="175"/>
        <v>0</v>
      </c>
    </row>
    <row r="407" spans="1:22" s="24" customFormat="1" ht="24.75" hidden="1" customHeight="1">
      <c r="A407" s="485"/>
      <c r="B407" s="97" t="s">
        <v>2740</v>
      </c>
      <c r="C407" s="368"/>
      <c r="D407" s="367"/>
      <c r="E407" s="368"/>
      <c r="F407" s="368"/>
      <c r="G407" s="369">
        <f t="shared" si="174"/>
        <v>0</v>
      </c>
      <c r="H407" s="369"/>
      <c r="I407" s="369"/>
      <c r="J407" s="369"/>
      <c r="K407" s="369"/>
      <c r="L407" s="369"/>
      <c r="M407" s="369"/>
      <c r="N407" s="369">
        <f t="shared" si="176"/>
        <v>0</v>
      </c>
      <c r="O407" s="369"/>
      <c r="P407" s="369"/>
      <c r="Q407" s="369"/>
      <c r="R407" s="369"/>
      <c r="S407" s="369"/>
      <c r="T407" s="369"/>
      <c r="U407" s="369">
        <f>N407-G407</f>
        <v>0</v>
      </c>
      <c r="V407" s="370">
        <f t="shared" si="175"/>
        <v>0</v>
      </c>
    </row>
    <row r="408" spans="1:22" s="24" customFormat="1" ht="24.75" hidden="1" customHeight="1">
      <c r="A408" s="485"/>
      <c r="B408" s="97" t="s">
        <v>2892</v>
      </c>
      <c r="C408" s="368"/>
      <c r="D408" s="367"/>
      <c r="E408" s="368"/>
      <c r="F408" s="368"/>
      <c r="G408" s="369">
        <f t="shared" si="174"/>
        <v>3.5188400000000004</v>
      </c>
      <c r="H408" s="369">
        <f>2.68*1.3</f>
        <v>3.4840000000000004</v>
      </c>
      <c r="I408" s="369"/>
      <c r="J408" s="369"/>
      <c r="K408" s="369"/>
      <c r="L408" s="369"/>
      <c r="M408" s="369">
        <f>H408*1%</f>
        <v>3.4840000000000003E-2</v>
      </c>
      <c r="N408" s="369">
        <f t="shared" si="176"/>
        <v>3.7624520000000001</v>
      </c>
      <c r="O408" s="369">
        <f>2.68*1.39</f>
        <v>3.7252000000000001</v>
      </c>
      <c r="P408" s="369"/>
      <c r="Q408" s="369"/>
      <c r="R408" s="369"/>
      <c r="S408" s="369"/>
      <c r="T408" s="369">
        <f>O408*1%</f>
        <v>3.7252E-2</v>
      </c>
      <c r="U408" s="369">
        <f>T408-M408</f>
        <v>2.4119999999999975E-3</v>
      </c>
      <c r="V408" s="370">
        <f t="shared" si="175"/>
        <v>1.4471999999999985E-2</v>
      </c>
    </row>
    <row r="409" spans="1:22" s="24" customFormat="1" ht="24.75" hidden="1" customHeight="1">
      <c r="A409" s="485"/>
      <c r="B409" s="97" t="s">
        <v>2742</v>
      </c>
      <c r="C409" s="368"/>
      <c r="D409" s="367"/>
      <c r="E409" s="368"/>
      <c r="F409" s="368"/>
      <c r="G409" s="369">
        <f t="shared" si="174"/>
        <v>4.9500099999999998</v>
      </c>
      <c r="H409" s="369">
        <f>3.77*1.3</f>
        <v>4.9009999999999998</v>
      </c>
      <c r="I409" s="369"/>
      <c r="J409" s="369"/>
      <c r="K409" s="369"/>
      <c r="L409" s="369"/>
      <c r="M409" s="369">
        <f>H409*1%</f>
        <v>4.9009999999999998E-2</v>
      </c>
      <c r="N409" s="369">
        <f t="shared" si="176"/>
        <v>5.2927029999999995</v>
      </c>
      <c r="O409" s="369">
        <f>3.77*1.39</f>
        <v>5.2402999999999995</v>
      </c>
      <c r="P409" s="369"/>
      <c r="Q409" s="369"/>
      <c r="R409" s="369"/>
      <c r="S409" s="369"/>
      <c r="T409" s="369">
        <f>O409*1%</f>
        <v>5.2402999999999998E-2</v>
      </c>
      <c r="U409" s="369">
        <f>T409-M409</f>
        <v>3.3930000000000002E-3</v>
      </c>
      <c r="V409" s="370">
        <f t="shared" si="175"/>
        <v>2.0358000000000001E-2</v>
      </c>
    </row>
    <row r="410" spans="1:22" s="24" customFormat="1" ht="24.75" hidden="1" customHeight="1">
      <c r="A410" s="485"/>
      <c r="B410" s="97" t="s">
        <v>2743</v>
      </c>
      <c r="C410" s="368"/>
      <c r="D410" s="367"/>
      <c r="E410" s="368"/>
      <c r="F410" s="368"/>
      <c r="G410" s="369">
        <f t="shared" si="174"/>
        <v>2.6916500000000001</v>
      </c>
      <c r="H410" s="369">
        <f>2.05*1.3</f>
        <v>2.665</v>
      </c>
      <c r="I410" s="369"/>
      <c r="J410" s="369"/>
      <c r="K410" s="369"/>
      <c r="L410" s="369"/>
      <c r="M410" s="369">
        <f>H410*1%</f>
        <v>2.665E-2</v>
      </c>
      <c r="N410" s="369">
        <f t="shared" si="176"/>
        <v>2.8779949999999994</v>
      </c>
      <c r="O410" s="369">
        <f>2.05*1.39</f>
        <v>2.8494999999999995</v>
      </c>
      <c r="P410" s="369"/>
      <c r="Q410" s="369"/>
      <c r="R410" s="369"/>
      <c r="S410" s="369"/>
      <c r="T410" s="369">
        <f>O410*1%</f>
        <v>2.8494999999999996E-2</v>
      </c>
      <c r="U410" s="369">
        <f>T410-M410</f>
        <v>1.8449999999999959E-3</v>
      </c>
      <c r="V410" s="370">
        <f t="shared" si="175"/>
        <v>1.1069999999999976E-2</v>
      </c>
    </row>
    <row r="411" spans="1:22" s="24" customFormat="1" ht="24.75" hidden="1" customHeight="1">
      <c r="A411" s="485"/>
      <c r="B411" s="97" t="s">
        <v>2744</v>
      </c>
      <c r="C411" s="368"/>
      <c r="D411" s="367"/>
      <c r="E411" s="368"/>
      <c r="F411" s="368"/>
      <c r="G411" s="369">
        <f t="shared" si="174"/>
        <v>0</v>
      </c>
      <c r="H411" s="369"/>
      <c r="I411" s="369"/>
      <c r="J411" s="369"/>
      <c r="K411" s="369"/>
      <c r="L411" s="369"/>
      <c r="M411" s="369">
        <f>H411*1%</f>
        <v>0</v>
      </c>
      <c r="N411" s="369">
        <f t="shared" si="176"/>
        <v>0</v>
      </c>
      <c r="O411" s="369"/>
      <c r="P411" s="369"/>
      <c r="Q411" s="369"/>
      <c r="R411" s="369"/>
      <c r="S411" s="369"/>
      <c r="T411" s="369"/>
      <c r="U411" s="369">
        <f>T411-M411</f>
        <v>0</v>
      </c>
      <c r="V411" s="370">
        <f t="shared" si="175"/>
        <v>0</v>
      </c>
    </row>
    <row r="412" spans="1:22" s="24" customFormat="1" ht="30" hidden="1" customHeight="1">
      <c r="A412" s="485"/>
      <c r="B412" s="97" t="s">
        <v>2893</v>
      </c>
      <c r="C412" s="368"/>
      <c r="D412" s="367"/>
      <c r="E412" s="368"/>
      <c r="F412" s="368"/>
      <c r="G412" s="369">
        <f t="shared" si="174"/>
        <v>4.8581000000000003</v>
      </c>
      <c r="H412" s="369">
        <f>3.7*1.3</f>
        <v>4.8100000000000005</v>
      </c>
      <c r="I412" s="369"/>
      <c r="J412" s="369"/>
      <c r="K412" s="369"/>
      <c r="L412" s="369"/>
      <c r="M412" s="369">
        <f>H412*1%</f>
        <v>4.8100000000000004E-2</v>
      </c>
      <c r="N412" s="369">
        <f t="shared" si="176"/>
        <v>5.1944299999999997</v>
      </c>
      <c r="O412" s="369">
        <f>3.7*1.39</f>
        <v>5.1429999999999998</v>
      </c>
      <c r="P412" s="369"/>
      <c r="Q412" s="369"/>
      <c r="R412" s="369"/>
      <c r="S412" s="369"/>
      <c r="T412" s="369">
        <f>O412*1%</f>
        <v>5.1429999999999997E-2</v>
      </c>
      <c r="U412" s="369">
        <f>T412-M412</f>
        <v>3.3299999999999927E-3</v>
      </c>
      <c r="V412" s="370">
        <f>U412*1</f>
        <v>3.3299999999999927E-3</v>
      </c>
    </row>
    <row r="413" spans="1:22" s="24" customFormat="1" ht="30" hidden="1" customHeight="1">
      <c r="A413" s="485">
        <v>52</v>
      </c>
      <c r="B413" s="97" t="s">
        <v>2746</v>
      </c>
      <c r="C413" s="368"/>
      <c r="D413" s="367"/>
      <c r="E413" s="368"/>
      <c r="F413" s="368"/>
      <c r="G413" s="369"/>
      <c r="H413" s="369"/>
      <c r="I413" s="369"/>
      <c r="J413" s="369"/>
      <c r="K413" s="369"/>
      <c r="L413" s="369"/>
      <c r="M413" s="369"/>
      <c r="N413" s="369"/>
      <c r="O413" s="369"/>
      <c r="P413" s="369"/>
      <c r="Q413" s="369"/>
      <c r="R413" s="369"/>
      <c r="S413" s="369"/>
      <c r="T413" s="369"/>
      <c r="U413" s="369"/>
      <c r="V413" s="370"/>
    </row>
    <row r="414" spans="1:22" s="24" customFormat="1" ht="29.25" hidden="1" customHeight="1">
      <c r="A414" s="483"/>
      <c r="B414" s="484" t="s">
        <v>2540</v>
      </c>
      <c r="C414" s="394">
        <f t="shared" ref="C414:V414" si="177">C415+C418+C419+C420+C421</f>
        <v>2</v>
      </c>
      <c r="D414" s="394">
        <f t="shared" si="177"/>
        <v>1.5</v>
      </c>
      <c r="E414" s="394">
        <f t="shared" si="177"/>
        <v>13</v>
      </c>
      <c r="F414" s="394">
        <f t="shared" si="177"/>
        <v>13</v>
      </c>
      <c r="G414" s="397">
        <f t="shared" si="177"/>
        <v>39.875810000000001</v>
      </c>
      <c r="H414" s="397">
        <f t="shared" si="177"/>
        <v>39.481000000000002</v>
      </c>
      <c r="I414" s="397">
        <f t="shared" si="177"/>
        <v>0</v>
      </c>
      <c r="J414" s="397">
        <f t="shared" si="177"/>
        <v>0</v>
      </c>
      <c r="K414" s="397">
        <f t="shared" si="177"/>
        <v>0</v>
      </c>
      <c r="L414" s="397">
        <f t="shared" si="177"/>
        <v>0</v>
      </c>
      <c r="M414" s="397">
        <f t="shared" si="177"/>
        <v>0.39480999999999999</v>
      </c>
      <c r="N414" s="397">
        <f t="shared" si="177"/>
        <v>42.636442999999993</v>
      </c>
      <c r="O414" s="397">
        <f t="shared" si="177"/>
        <v>42.214299999999994</v>
      </c>
      <c r="P414" s="397">
        <f t="shared" si="177"/>
        <v>0</v>
      </c>
      <c r="Q414" s="397">
        <f t="shared" si="177"/>
        <v>0</v>
      </c>
      <c r="R414" s="397">
        <f t="shared" si="177"/>
        <v>0</v>
      </c>
      <c r="S414" s="397">
        <f t="shared" si="177"/>
        <v>0</v>
      </c>
      <c r="T414" s="397">
        <f t="shared" si="177"/>
        <v>0.42214299999999999</v>
      </c>
      <c r="U414" s="397">
        <f t="shared" si="177"/>
        <v>2.7332999999999948E-2</v>
      </c>
      <c r="V414" s="397">
        <f t="shared" si="177"/>
        <v>0.16399799999999967</v>
      </c>
    </row>
    <row r="415" spans="1:22" s="24" customFormat="1" ht="27" hidden="1" customHeight="1">
      <c r="A415" s="485">
        <v>53</v>
      </c>
      <c r="B415" s="498" t="s">
        <v>2747</v>
      </c>
      <c r="C415" s="368">
        <f t="shared" ref="C415:V415" si="178">C416+C417</f>
        <v>0</v>
      </c>
      <c r="D415" s="368">
        <f t="shared" si="178"/>
        <v>0</v>
      </c>
      <c r="E415" s="368">
        <f t="shared" si="178"/>
        <v>4</v>
      </c>
      <c r="F415" s="368">
        <f t="shared" si="178"/>
        <v>4</v>
      </c>
      <c r="G415" s="369">
        <f t="shared" si="178"/>
        <v>10.832249999999998</v>
      </c>
      <c r="H415" s="369">
        <f t="shared" si="178"/>
        <v>10.724999999999998</v>
      </c>
      <c r="I415" s="369">
        <f t="shared" si="178"/>
        <v>0</v>
      </c>
      <c r="J415" s="369">
        <f t="shared" si="178"/>
        <v>0</v>
      </c>
      <c r="K415" s="369">
        <f t="shared" si="178"/>
        <v>0</v>
      </c>
      <c r="L415" s="369">
        <f t="shared" si="178"/>
        <v>0</v>
      </c>
      <c r="M415" s="369">
        <f t="shared" si="178"/>
        <v>0.10725</v>
      </c>
      <c r="N415" s="369">
        <f t="shared" si="178"/>
        <v>11.582174999999999</v>
      </c>
      <c r="O415" s="369">
        <f t="shared" si="178"/>
        <v>11.467499999999999</v>
      </c>
      <c r="P415" s="369">
        <f t="shared" si="178"/>
        <v>0</v>
      </c>
      <c r="Q415" s="369">
        <f t="shared" si="178"/>
        <v>0</v>
      </c>
      <c r="R415" s="369">
        <f t="shared" si="178"/>
        <v>0</v>
      </c>
      <c r="S415" s="369">
        <f t="shared" si="178"/>
        <v>0</v>
      </c>
      <c r="T415" s="369">
        <f t="shared" si="178"/>
        <v>0.114675</v>
      </c>
      <c r="U415" s="369">
        <f t="shared" si="178"/>
        <v>7.4249999999999941E-3</v>
      </c>
      <c r="V415" s="369">
        <f t="shared" si="178"/>
        <v>4.4549999999999965E-2</v>
      </c>
    </row>
    <row r="416" spans="1:22" s="24" customFormat="1" ht="27" hidden="1" customHeight="1">
      <c r="A416" s="485"/>
      <c r="B416" s="86" t="s">
        <v>2748</v>
      </c>
      <c r="C416" s="368"/>
      <c r="D416" s="367"/>
      <c r="E416" s="368">
        <v>3</v>
      </c>
      <c r="F416" s="368">
        <v>3</v>
      </c>
      <c r="G416" s="369">
        <f t="shared" ref="G416:G421" si="179">H416+I416+M416</f>
        <v>8.3375499999999985</v>
      </c>
      <c r="H416" s="369">
        <f>6.35*1.3</f>
        <v>8.254999999999999</v>
      </c>
      <c r="I416" s="369"/>
      <c r="J416" s="369"/>
      <c r="K416" s="369"/>
      <c r="L416" s="369"/>
      <c r="M416" s="369">
        <f t="shared" ref="M416:M421" si="180">H416*1%</f>
        <v>8.2549999999999998E-2</v>
      </c>
      <c r="N416" s="369">
        <f t="shared" ref="N416:N421" si="181">O416+P416+T416</f>
        <v>8.9147649999999992</v>
      </c>
      <c r="O416" s="369">
        <f>6.35*1.39</f>
        <v>8.8264999999999993</v>
      </c>
      <c r="P416" s="369"/>
      <c r="Q416" s="369"/>
      <c r="R416" s="369"/>
      <c r="S416" s="369"/>
      <c r="T416" s="369">
        <f t="shared" ref="T416:T421" si="182">O416*1%</f>
        <v>8.8264999999999996E-2</v>
      </c>
      <c r="U416" s="370">
        <f t="shared" ref="U416:U421" si="183">T416-M416</f>
        <v>5.7149999999999979E-3</v>
      </c>
      <c r="V416" s="370">
        <f t="shared" ref="V416:V421" si="184">U416*6</f>
        <v>3.4289999999999987E-2</v>
      </c>
    </row>
    <row r="417" spans="1:22" s="24" customFormat="1" ht="27" hidden="1" customHeight="1">
      <c r="A417" s="485"/>
      <c r="B417" s="86" t="s">
        <v>2894</v>
      </c>
      <c r="C417" s="368"/>
      <c r="D417" s="367"/>
      <c r="E417" s="368">
        <v>1</v>
      </c>
      <c r="F417" s="368">
        <v>1</v>
      </c>
      <c r="G417" s="369">
        <f t="shared" si="179"/>
        <v>2.4946999999999999</v>
      </c>
      <c r="H417" s="369">
        <f>1.9*1.3</f>
        <v>2.4699999999999998</v>
      </c>
      <c r="I417" s="369"/>
      <c r="J417" s="369"/>
      <c r="K417" s="369"/>
      <c r="L417" s="369"/>
      <c r="M417" s="369">
        <f t="shared" si="180"/>
        <v>2.47E-2</v>
      </c>
      <c r="N417" s="369">
        <f t="shared" si="181"/>
        <v>2.6674099999999994</v>
      </c>
      <c r="O417" s="369">
        <f>1.9*1.39</f>
        <v>2.6409999999999996</v>
      </c>
      <c r="P417" s="369"/>
      <c r="Q417" s="369"/>
      <c r="R417" s="369"/>
      <c r="S417" s="369"/>
      <c r="T417" s="369">
        <f t="shared" si="182"/>
        <v>2.6409999999999996E-2</v>
      </c>
      <c r="U417" s="370">
        <f t="shared" si="183"/>
        <v>1.7099999999999962E-3</v>
      </c>
      <c r="V417" s="370">
        <f t="shared" si="184"/>
        <v>1.0259999999999977E-2</v>
      </c>
    </row>
    <row r="418" spans="1:22" s="24" customFormat="1" ht="27" hidden="1" customHeight="1">
      <c r="A418" s="485">
        <v>54</v>
      </c>
      <c r="B418" s="55" t="s">
        <v>2750</v>
      </c>
      <c r="C418" s="368"/>
      <c r="D418" s="367"/>
      <c r="E418" s="368">
        <v>3</v>
      </c>
      <c r="F418" s="368">
        <v>3</v>
      </c>
      <c r="G418" s="369">
        <f t="shared" si="179"/>
        <v>9.5323799999999999</v>
      </c>
      <c r="H418" s="369">
        <f>7.26*1.3</f>
        <v>9.4380000000000006</v>
      </c>
      <c r="I418" s="369">
        <f>J418+K418+L418</f>
        <v>0</v>
      </c>
      <c r="J418" s="369"/>
      <c r="K418" s="369"/>
      <c r="L418" s="369"/>
      <c r="M418" s="369">
        <f t="shared" si="180"/>
        <v>9.4380000000000006E-2</v>
      </c>
      <c r="N418" s="369">
        <f t="shared" si="181"/>
        <v>10.192313999999998</v>
      </c>
      <c r="O418" s="369">
        <f>7.26*1.39</f>
        <v>10.091399999999998</v>
      </c>
      <c r="P418" s="369">
        <f>Q418+R418+S418</f>
        <v>0</v>
      </c>
      <c r="Q418" s="369"/>
      <c r="R418" s="369"/>
      <c r="S418" s="369"/>
      <c r="T418" s="369">
        <f t="shared" si="182"/>
        <v>0.10091399999999999</v>
      </c>
      <c r="U418" s="370">
        <f t="shared" si="183"/>
        <v>6.5339999999999843E-3</v>
      </c>
      <c r="V418" s="370">
        <f t="shared" si="184"/>
        <v>3.9203999999999906E-2</v>
      </c>
    </row>
    <row r="419" spans="1:22" s="24" customFormat="1" ht="27" hidden="1" customHeight="1">
      <c r="A419" s="485">
        <v>55</v>
      </c>
      <c r="B419" s="55" t="s">
        <v>2751</v>
      </c>
      <c r="C419" s="368">
        <v>2</v>
      </c>
      <c r="D419" s="367">
        <v>1.5</v>
      </c>
      <c r="E419" s="368">
        <v>2</v>
      </c>
      <c r="F419" s="368">
        <v>2</v>
      </c>
      <c r="G419" s="369">
        <f t="shared" si="179"/>
        <v>6.3549199999999999</v>
      </c>
      <c r="H419" s="369">
        <f>4.84*1.3</f>
        <v>6.2919999999999998</v>
      </c>
      <c r="I419" s="369"/>
      <c r="J419" s="369"/>
      <c r="K419" s="369"/>
      <c r="L419" s="369"/>
      <c r="M419" s="369">
        <f t="shared" si="180"/>
        <v>6.2920000000000004E-2</v>
      </c>
      <c r="N419" s="369">
        <f t="shared" si="181"/>
        <v>6.7948759999999986</v>
      </c>
      <c r="O419" s="369">
        <f>4.84*1.39</f>
        <v>6.7275999999999989</v>
      </c>
      <c r="P419" s="369"/>
      <c r="Q419" s="369"/>
      <c r="R419" s="369"/>
      <c r="S419" s="369"/>
      <c r="T419" s="369">
        <f t="shared" si="182"/>
        <v>6.7275999999999989E-2</v>
      </c>
      <c r="U419" s="370">
        <f t="shared" si="183"/>
        <v>4.3559999999999849E-3</v>
      </c>
      <c r="V419" s="370">
        <f t="shared" si="184"/>
        <v>2.6135999999999909E-2</v>
      </c>
    </row>
    <row r="420" spans="1:22" s="24" customFormat="1" ht="27" hidden="1" customHeight="1">
      <c r="A420" s="485">
        <v>56</v>
      </c>
      <c r="B420" s="55" t="s">
        <v>2752</v>
      </c>
      <c r="C420" s="368"/>
      <c r="D420" s="367"/>
      <c r="E420" s="368">
        <v>3</v>
      </c>
      <c r="F420" s="368">
        <v>3</v>
      </c>
      <c r="G420" s="369">
        <f t="shared" si="179"/>
        <v>9.0465700000000009</v>
      </c>
      <c r="H420" s="369">
        <f>6.89*1.3</f>
        <v>8.9570000000000007</v>
      </c>
      <c r="I420" s="369"/>
      <c r="J420" s="369"/>
      <c r="K420" s="369"/>
      <c r="L420" s="369"/>
      <c r="M420" s="369">
        <f t="shared" si="180"/>
        <v>8.9570000000000011E-2</v>
      </c>
      <c r="N420" s="369">
        <f t="shared" si="181"/>
        <v>9.6728709999999989</v>
      </c>
      <c r="O420" s="369">
        <f>6.89*1.39</f>
        <v>9.5770999999999997</v>
      </c>
      <c r="P420" s="369"/>
      <c r="Q420" s="369"/>
      <c r="R420" s="369"/>
      <c r="S420" s="369"/>
      <c r="T420" s="369">
        <f t="shared" si="182"/>
        <v>9.5770999999999995E-2</v>
      </c>
      <c r="U420" s="370">
        <f t="shared" si="183"/>
        <v>6.2009999999999843E-3</v>
      </c>
      <c r="V420" s="370">
        <f t="shared" si="184"/>
        <v>3.7205999999999906E-2</v>
      </c>
    </row>
    <row r="421" spans="1:22" s="24" customFormat="1" ht="24.75" hidden="1" customHeight="1">
      <c r="A421" s="485">
        <v>57</v>
      </c>
      <c r="B421" s="55" t="s">
        <v>2753</v>
      </c>
      <c r="C421" s="368"/>
      <c r="D421" s="367"/>
      <c r="E421" s="368">
        <v>1</v>
      </c>
      <c r="F421" s="368">
        <v>1</v>
      </c>
      <c r="G421" s="369">
        <f t="shared" si="179"/>
        <v>4.1096899999999996</v>
      </c>
      <c r="H421" s="369">
        <f>3.13*1.3</f>
        <v>4.069</v>
      </c>
      <c r="I421" s="369"/>
      <c r="J421" s="369"/>
      <c r="K421" s="369"/>
      <c r="L421" s="369"/>
      <c r="M421" s="369">
        <f t="shared" si="180"/>
        <v>4.0689999999999997E-2</v>
      </c>
      <c r="N421" s="369">
        <f t="shared" si="181"/>
        <v>4.3942069999999998</v>
      </c>
      <c r="O421" s="369">
        <f>3.13*1.39</f>
        <v>4.3506999999999998</v>
      </c>
      <c r="P421" s="369"/>
      <c r="Q421" s="369"/>
      <c r="R421" s="369"/>
      <c r="S421" s="369"/>
      <c r="T421" s="369">
        <f t="shared" si="182"/>
        <v>4.3506999999999997E-2</v>
      </c>
      <c r="U421" s="370">
        <f t="shared" si="183"/>
        <v>2.8170000000000001E-3</v>
      </c>
      <c r="V421" s="370">
        <f t="shared" si="184"/>
        <v>1.6902E-2</v>
      </c>
    </row>
    <row r="422" spans="1:22" s="24" customFormat="1" hidden="1">
      <c r="A422" s="483"/>
      <c r="B422" s="484" t="s">
        <v>2754</v>
      </c>
      <c r="C422" s="394">
        <f t="shared" ref="C422:V422" si="185">SUM(C423:C438)</f>
        <v>0</v>
      </c>
      <c r="D422" s="394">
        <f t="shared" si="185"/>
        <v>0</v>
      </c>
      <c r="E422" s="394">
        <f t="shared" si="185"/>
        <v>6</v>
      </c>
      <c r="F422" s="394">
        <f t="shared" si="185"/>
        <v>6</v>
      </c>
      <c r="G422" s="397">
        <f t="shared" si="185"/>
        <v>21.6645</v>
      </c>
      <c r="H422" s="397">
        <f t="shared" si="185"/>
        <v>21.45</v>
      </c>
      <c r="I422" s="397">
        <f t="shared" si="185"/>
        <v>0</v>
      </c>
      <c r="J422" s="397">
        <f t="shared" si="185"/>
        <v>0</v>
      </c>
      <c r="K422" s="397">
        <f t="shared" si="185"/>
        <v>0</v>
      </c>
      <c r="L422" s="397">
        <f t="shared" si="185"/>
        <v>0</v>
      </c>
      <c r="M422" s="397">
        <f t="shared" si="185"/>
        <v>0.21449999999999997</v>
      </c>
      <c r="N422" s="397">
        <f t="shared" si="185"/>
        <v>23.164349999999999</v>
      </c>
      <c r="O422" s="397">
        <f t="shared" si="185"/>
        <v>22.934999999999999</v>
      </c>
      <c r="P422" s="397">
        <f t="shared" si="185"/>
        <v>0</v>
      </c>
      <c r="Q422" s="397">
        <f t="shared" si="185"/>
        <v>0</v>
      </c>
      <c r="R422" s="397">
        <f t="shared" si="185"/>
        <v>0</v>
      </c>
      <c r="S422" s="397">
        <f t="shared" si="185"/>
        <v>0</v>
      </c>
      <c r="T422" s="397">
        <f t="shared" si="185"/>
        <v>0.22935</v>
      </c>
      <c r="U422" s="397">
        <f t="shared" si="185"/>
        <v>1.4850000000000009E-2</v>
      </c>
      <c r="V422" s="397">
        <f t="shared" si="185"/>
        <v>8.9100000000000054E-2</v>
      </c>
    </row>
    <row r="423" spans="1:22" s="24" customFormat="1" ht="22.5" hidden="1" customHeight="1">
      <c r="A423" s="485">
        <v>58</v>
      </c>
      <c r="B423" s="55" t="s">
        <v>2755</v>
      </c>
      <c r="C423" s="368"/>
      <c r="D423" s="367"/>
      <c r="E423" s="368">
        <v>1</v>
      </c>
      <c r="F423" s="368">
        <v>1</v>
      </c>
      <c r="G423" s="369">
        <f t="shared" ref="G423:G438" si="186">H423+I423+M423</f>
        <v>4.1096899999999996</v>
      </c>
      <c r="H423" s="369">
        <f>3.13*1.3</f>
        <v>4.069</v>
      </c>
      <c r="I423" s="369"/>
      <c r="J423" s="369"/>
      <c r="K423" s="369"/>
      <c r="L423" s="369"/>
      <c r="M423" s="369">
        <f>H423*1%</f>
        <v>4.0689999999999997E-2</v>
      </c>
      <c r="N423" s="369">
        <f>O423+P423+T423</f>
        <v>4.3942069999999998</v>
      </c>
      <c r="O423" s="369">
        <f>3.13*1.39</f>
        <v>4.3506999999999998</v>
      </c>
      <c r="P423" s="369"/>
      <c r="Q423" s="369"/>
      <c r="R423" s="369"/>
      <c r="S423" s="369"/>
      <c r="T423" s="369">
        <f>O423*1%</f>
        <v>4.3506999999999997E-2</v>
      </c>
      <c r="U423" s="370">
        <f>T423-M423</f>
        <v>2.8170000000000001E-3</v>
      </c>
      <c r="V423" s="370">
        <f>U423*6</f>
        <v>1.6902E-2</v>
      </c>
    </row>
    <row r="424" spans="1:22" s="24" customFormat="1" ht="22.5" hidden="1" customHeight="1">
      <c r="A424" s="485">
        <v>59</v>
      </c>
      <c r="B424" s="55" t="s">
        <v>2756</v>
      </c>
      <c r="C424" s="368"/>
      <c r="D424" s="367"/>
      <c r="E424" s="368"/>
      <c r="F424" s="368"/>
      <c r="G424" s="369">
        <f t="shared" si="186"/>
        <v>0</v>
      </c>
      <c r="H424" s="369"/>
      <c r="I424" s="369"/>
      <c r="J424" s="369"/>
      <c r="K424" s="369"/>
      <c r="L424" s="369"/>
      <c r="M424" s="369"/>
      <c r="N424" s="369">
        <f t="shared" ref="N424:N438" si="187">O424+P424+T424</f>
        <v>0</v>
      </c>
      <c r="O424" s="369"/>
      <c r="P424" s="369"/>
      <c r="Q424" s="369"/>
      <c r="R424" s="369"/>
      <c r="S424" s="369"/>
      <c r="T424" s="369"/>
      <c r="U424" s="369">
        <f t="shared" ref="U424:U437" si="188">N424-G424</f>
        <v>0</v>
      </c>
      <c r="V424" s="370">
        <f t="shared" ref="V424:V438" si="189">U424*6</f>
        <v>0</v>
      </c>
    </row>
    <row r="425" spans="1:22" s="24" customFormat="1" ht="25.5" hidden="1">
      <c r="A425" s="485">
        <v>60</v>
      </c>
      <c r="B425" s="55" t="s">
        <v>2757</v>
      </c>
      <c r="C425" s="368"/>
      <c r="D425" s="367"/>
      <c r="E425" s="368"/>
      <c r="F425" s="368"/>
      <c r="G425" s="369">
        <f t="shared" si="186"/>
        <v>0</v>
      </c>
      <c r="H425" s="369"/>
      <c r="I425" s="369"/>
      <c r="J425" s="369"/>
      <c r="K425" s="369"/>
      <c r="L425" s="369"/>
      <c r="M425" s="369"/>
      <c r="N425" s="369">
        <f t="shared" si="187"/>
        <v>0</v>
      </c>
      <c r="O425" s="369"/>
      <c r="P425" s="369"/>
      <c r="Q425" s="369"/>
      <c r="R425" s="369"/>
      <c r="S425" s="369"/>
      <c r="T425" s="369"/>
      <c r="U425" s="369">
        <f t="shared" si="188"/>
        <v>0</v>
      </c>
      <c r="V425" s="370">
        <f t="shared" si="189"/>
        <v>0</v>
      </c>
    </row>
    <row r="426" spans="1:22" s="24" customFormat="1" ht="25.5" hidden="1">
      <c r="A426" s="485">
        <v>61</v>
      </c>
      <c r="B426" s="55" t="s">
        <v>2758</v>
      </c>
      <c r="C426" s="368"/>
      <c r="D426" s="367"/>
      <c r="E426" s="368"/>
      <c r="F426" s="368"/>
      <c r="G426" s="369">
        <f t="shared" si="186"/>
        <v>0</v>
      </c>
      <c r="H426" s="369"/>
      <c r="I426" s="369"/>
      <c r="J426" s="369"/>
      <c r="K426" s="369"/>
      <c r="L426" s="369"/>
      <c r="M426" s="369"/>
      <c r="N426" s="369">
        <f t="shared" si="187"/>
        <v>0</v>
      </c>
      <c r="O426" s="369"/>
      <c r="P426" s="369"/>
      <c r="Q426" s="369"/>
      <c r="R426" s="369"/>
      <c r="S426" s="369"/>
      <c r="T426" s="369"/>
      <c r="U426" s="369">
        <f t="shared" si="188"/>
        <v>0</v>
      </c>
      <c r="V426" s="370">
        <f t="shared" si="189"/>
        <v>0</v>
      </c>
    </row>
    <row r="427" spans="1:22" s="24" customFormat="1" ht="25.5" hidden="1">
      <c r="A427" s="485">
        <v>62</v>
      </c>
      <c r="B427" s="55" t="s">
        <v>2905</v>
      </c>
      <c r="C427" s="368"/>
      <c r="D427" s="367"/>
      <c r="E427" s="368"/>
      <c r="F427" s="368"/>
      <c r="G427" s="369">
        <f t="shared" si="186"/>
        <v>0</v>
      </c>
      <c r="H427" s="369"/>
      <c r="I427" s="369"/>
      <c r="J427" s="369"/>
      <c r="K427" s="369"/>
      <c r="L427" s="369"/>
      <c r="M427" s="369"/>
      <c r="N427" s="369">
        <f t="shared" si="187"/>
        <v>0</v>
      </c>
      <c r="O427" s="369"/>
      <c r="P427" s="369"/>
      <c r="Q427" s="369"/>
      <c r="R427" s="369"/>
      <c r="S427" s="369"/>
      <c r="T427" s="369"/>
      <c r="U427" s="369">
        <f t="shared" si="188"/>
        <v>0</v>
      </c>
      <c r="V427" s="370">
        <f t="shared" si="189"/>
        <v>0</v>
      </c>
    </row>
    <row r="428" spans="1:22" s="24" customFormat="1" ht="25.5" hidden="1" customHeight="1">
      <c r="A428" s="485">
        <v>63</v>
      </c>
      <c r="B428" s="55" t="s">
        <v>2760</v>
      </c>
      <c r="C428" s="368"/>
      <c r="D428" s="367"/>
      <c r="E428" s="368"/>
      <c r="F428" s="368"/>
      <c r="G428" s="369">
        <f t="shared" si="186"/>
        <v>0</v>
      </c>
      <c r="H428" s="369"/>
      <c r="I428" s="369"/>
      <c r="J428" s="369"/>
      <c r="K428" s="369"/>
      <c r="L428" s="369"/>
      <c r="M428" s="369"/>
      <c r="N428" s="369">
        <f t="shared" si="187"/>
        <v>0</v>
      </c>
      <c r="O428" s="369"/>
      <c r="P428" s="369"/>
      <c r="Q428" s="369"/>
      <c r="R428" s="369"/>
      <c r="S428" s="369"/>
      <c r="T428" s="369"/>
      <c r="U428" s="369">
        <f t="shared" si="188"/>
        <v>0</v>
      </c>
      <c r="V428" s="370">
        <f t="shared" si="189"/>
        <v>0</v>
      </c>
    </row>
    <row r="429" spans="1:22" s="24" customFormat="1" ht="25.5" hidden="1">
      <c r="A429" s="485">
        <v>64</v>
      </c>
      <c r="B429" s="55" t="s">
        <v>2761</v>
      </c>
      <c r="C429" s="368"/>
      <c r="D429" s="367"/>
      <c r="E429" s="368"/>
      <c r="F429" s="368"/>
      <c r="G429" s="369">
        <f t="shared" si="186"/>
        <v>0</v>
      </c>
      <c r="H429" s="369"/>
      <c r="I429" s="369"/>
      <c r="J429" s="369"/>
      <c r="K429" s="369"/>
      <c r="L429" s="369"/>
      <c r="M429" s="369"/>
      <c r="N429" s="369">
        <f t="shared" si="187"/>
        <v>0</v>
      </c>
      <c r="O429" s="369"/>
      <c r="P429" s="369"/>
      <c r="Q429" s="369"/>
      <c r="R429" s="369"/>
      <c r="S429" s="369"/>
      <c r="T429" s="369"/>
      <c r="U429" s="369">
        <f t="shared" si="188"/>
        <v>0</v>
      </c>
      <c r="V429" s="370">
        <f t="shared" si="189"/>
        <v>0</v>
      </c>
    </row>
    <row r="430" spans="1:22" s="24" customFormat="1" ht="25.5" hidden="1">
      <c r="A430" s="485">
        <v>65</v>
      </c>
      <c r="B430" s="55" t="s">
        <v>2762</v>
      </c>
      <c r="C430" s="368"/>
      <c r="D430" s="367"/>
      <c r="E430" s="368"/>
      <c r="F430" s="368"/>
      <c r="G430" s="369">
        <f t="shared" si="186"/>
        <v>0</v>
      </c>
      <c r="H430" s="369"/>
      <c r="I430" s="369"/>
      <c r="J430" s="369"/>
      <c r="K430" s="369"/>
      <c r="L430" s="369"/>
      <c r="M430" s="369"/>
      <c r="N430" s="369">
        <f t="shared" si="187"/>
        <v>0</v>
      </c>
      <c r="O430" s="369"/>
      <c r="P430" s="369"/>
      <c r="Q430" s="369"/>
      <c r="R430" s="369"/>
      <c r="S430" s="369"/>
      <c r="T430" s="369"/>
      <c r="U430" s="369">
        <f t="shared" si="188"/>
        <v>0</v>
      </c>
      <c r="V430" s="370">
        <f t="shared" si="189"/>
        <v>0</v>
      </c>
    </row>
    <row r="431" spans="1:22" s="24" customFormat="1" ht="25.5" hidden="1">
      <c r="A431" s="485">
        <v>66</v>
      </c>
      <c r="B431" s="55" t="s">
        <v>2763</v>
      </c>
      <c r="C431" s="368"/>
      <c r="D431" s="367"/>
      <c r="E431" s="368"/>
      <c r="F431" s="368"/>
      <c r="G431" s="369">
        <f t="shared" si="186"/>
        <v>0</v>
      </c>
      <c r="H431" s="369"/>
      <c r="I431" s="369"/>
      <c r="J431" s="369"/>
      <c r="K431" s="369"/>
      <c r="L431" s="369"/>
      <c r="M431" s="369"/>
      <c r="N431" s="369">
        <f t="shared" si="187"/>
        <v>0</v>
      </c>
      <c r="O431" s="369"/>
      <c r="P431" s="369"/>
      <c r="Q431" s="369"/>
      <c r="R431" s="369"/>
      <c r="S431" s="369"/>
      <c r="T431" s="369"/>
      <c r="U431" s="369">
        <f t="shared" si="188"/>
        <v>0</v>
      </c>
      <c r="V431" s="370">
        <f t="shared" si="189"/>
        <v>0</v>
      </c>
    </row>
    <row r="432" spans="1:22" s="24" customFormat="1" hidden="1">
      <c r="A432" s="485">
        <v>67</v>
      </c>
      <c r="B432" s="55" t="s">
        <v>2764</v>
      </c>
      <c r="C432" s="368"/>
      <c r="D432" s="367"/>
      <c r="E432" s="368"/>
      <c r="F432" s="368"/>
      <c r="G432" s="369">
        <f t="shared" si="186"/>
        <v>0</v>
      </c>
      <c r="H432" s="369"/>
      <c r="I432" s="369"/>
      <c r="J432" s="369"/>
      <c r="K432" s="369"/>
      <c r="L432" s="369"/>
      <c r="M432" s="369"/>
      <c r="N432" s="369">
        <f t="shared" si="187"/>
        <v>0</v>
      </c>
      <c r="O432" s="369"/>
      <c r="P432" s="369"/>
      <c r="Q432" s="369"/>
      <c r="R432" s="369"/>
      <c r="S432" s="369"/>
      <c r="T432" s="369"/>
      <c r="U432" s="369">
        <f t="shared" si="188"/>
        <v>0</v>
      </c>
      <c r="V432" s="370">
        <f t="shared" si="189"/>
        <v>0</v>
      </c>
    </row>
    <row r="433" spans="1:22" s="24" customFormat="1" ht="25.5" hidden="1">
      <c r="A433" s="485">
        <v>68</v>
      </c>
      <c r="B433" s="55" t="s">
        <v>2765</v>
      </c>
      <c r="C433" s="368"/>
      <c r="D433" s="367"/>
      <c r="E433" s="368"/>
      <c r="F433" s="368"/>
      <c r="G433" s="369">
        <f t="shared" si="186"/>
        <v>0</v>
      </c>
      <c r="H433" s="369"/>
      <c r="I433" s="369"/>
      <c r="J433" s="369"/>
      <c r="K433" s="369"/>
      <c r="L433" s="369"/>
      <c r="M433" s="369">
        <f>H433*1%</f>
        <v>0</v>
      </c>
      <c r="N433" s="369">
        <f t="shared" si="187"/>
        <v>0</v>
      </c>
      <c r="O433" s="369"/>
      <c r="P433" s="369"/>
      <c r="Q433" s="369"/>
      <c r="R433" s="369"/>
      <c r="S433" s="369"/>
      <c r="T433" s="369">
        <f>O433*1%</f>
        <v>0</v>
      </c>
      <c r="U433" s="370">
        <f>T433-M433</f>
        <v>0</v>
      </c>
      <c r="V433" s="370">
        <f t="shared" si="189"/>
        <v>0</v>
      </c>
    </row>
    <row r="434" spans="1:22" s="24" customFormat="1" ht="24" hidden="1" customHeight="1">
      <c r="A434" s="485">
        <v>69</v>
      </c>
      <c r="B434" s="55" t="s">
        <v>2766</v>
      </c>
      <c r="C434" s="368"/>
      <c r="D434" s="367"/>
      <c r="E434" s="368">
        <v>2</v>
      </c>
      <c r="F434" s="368">
        <v>2</v>
      </c>
      <c r="G434" s="369">
        <f t="shared" si="186"/>
        <v>5.6590299999999996</v>
      </c>
      <c r="H434" s="369">
        <f>4.31*1.3</f>
        <v>5.6029999999999998</v>
      </c>
      <c r="I434" s="369"/>
      <c r="J434" s="369"/>
      <c r="K434" s="369"/>
      <c r="L434" s="369"/>
      <c r="M434" s="369">
        <f>(H434+I434)*1%</f>
        <v>5.6029999999999996E-2</v>
      </c>
      <c r="N434" s="369">
        <f t="shared" si="187"/>
        <v>6.0508089999999992</v>
      </c>
      <c r="O434" s="369">
        <f>4.31*1.39</f>
        <v>5.990899999999999</v>
      </c>
      <c r="P434" s="369"/>
      <c r="Q434" s="369"/>
      <c r="R434" s="369"/>
      <c r="S434" s="369"/>
      <c r="T434" s="369">
        <f>(O434+P434)*1%</f>
        <v>5.990899999999999E-2</v>
      </c>
      <c r="U434" s="369">
        <f>T434-M434</f>
        <v>3.8789999999999936E-3</v>
      </c>
      <c r="V434" s="370">
        <f t="shared" si="189"/>
        <v>2.3273999999999961E-2</v>
      </c>
    </row>
    <row r="435" spans="1:22" s="24" customFormat="1" ht="24" hidden="1" customHeight="1">
      <c r="A435" s="485">
        <v>70</v>
      </c>
      <c r="B435" s="55" t="s">
        <v>2767</v>
      </c>
      <c r="C435" s="368"/>
      <c r="D435" s="367"/>
      <c r="E435" s="368">
        <v>2</v>
      </c>
      <c r="F435" s="368">
        <v>2</v>
      </c>
      <c r="G435" s="369">
        <f t="shared" si="186"/>
        <v>8.2587700000000002</v>
      </c>
      <c r="H435" s="369">
        <f>6.29*1.3</f>
        <v>8.1769999999999996</v>
      </c>
      <c r="I435" s="369"/>
      <c r="J435" s="369"/>
      <c r="K435" s="369"/>
      <c r="L435" s="369"/>
      <c r="M435" s="369">
        <f>(H435+I435)*1%</f>
        <v>8.1769999999999995E-2</v>
      </c>
      <c r="N435" s="369">
        <f t="shared" si="187"/>
        <v>8.8305310000000006</v>
      </c>
      <c r="O435" s="369">
        <f>6.29*1.39</f>
        <v>8.7431000000000001</v>
      </c>
      <c r="P435" s="369"/>
      <c r="Q435" s="369"/>
      <c r="R435" s="369"/>
      <c r="S435" s="369"/>
      <c r="T435" s="369">
        <f>(O435+P435)*1%</f>
        <v>8.7431000000000009E-2</v>
      </c>
      <c r="U435" s="369">
        <f>T435-M435</f>
        <v>5.6610000000000132E-3</v>
      </c>
      <c r="V435" s="370">
        <f t="shared" si="189"/>
        <v>3.3966000000000079E-2</v>
      </c>
    </row>
    <row r="436" spans="1:22" s="24" customFormat="1" ht="24" hidden="1" customHeight="1">
      <c r="A436" s="485">
        <v>71</v>
      </c>
      <c r="B436" s="55" t="s">
        <v>2768</v>
      </c>
      <c r="C436" s="368"/>
      <c r="D436" s="367"/>
      <c r="E436" s="368"/>
      <c r="F436" s="368"/>
      <c r="G436" s="369">
        <f t="shared" si="186"/>
        <v>0</v>
      </c>
      <c r="H436" s="369"/>
      <c r="I436" s="369"/>
      <c r="J436" s="369"/>
      <c r="K436" s="369"/>
      <c r="L436" s="369"/>
      <c r="M436" s="369"/>
      <c r="N436" s="369">
        <f t="shared" si="187"/>
        <v>0</v>
      </c>
      <c r="O436" s="369"/>
      <c r="P436" s="369"/>
      <c r="Q436" s="369"/>
      <c r="R436" s="369"/>
      <c r="S436" s="369"/>
      <c r="T436" s="369"/>
      <c r="U436" s="369">
        <f t="shared" si="188"/>
        <v>0</v>
      </c>
      <c r="V436" s="370">
        <f t="shared" si="189"/>
        <v>0</v>
      </c>
    </row>
    <row r="437" spans="1:22" s="24" customFormat="1" ht="26.25" hidden="1" customHeight="1">
      <c r="A437" s="485">
        <v>72</v>
      </c>
      <c r="B437" s="55" t="s">
        <v>2769</v>
      </c>
      <c r="C437" s="368"/>
      <c r="D437" s="367"/>
      <c r="E437" s="368"/>
      <c r="F437" s="368"/>
      <c r="G437" s="369">
        <f t="shared" si="186"/>
        <v>0</v>
      </c>
      <c r="H437" s="369"/>
      <c r="I437" s="369"/>
      <c r="J437" s="369"/>
      <c r="K437" s="369"/>
      <c r="L437" s="369"/>
      <c r="M437" s="369"/>
      <c r="N437" s="369">
        <f t="shared" si="187"/>
        <v>0</v>
      </c>
      <c r="O437" s="369"/>
      <c r="P437" s="369"/>
      <c r="Q437" s="369"/>
      <c r="R437" s="369"/>
      <c r="S437" s="369"/>
      <c r="T437" s="369"/>
      <c r="U437" s="369">
        <f t="shared" si="188"/>
        <v>0</v>
      </c>
      <c r="V437" s="370">
        <f t="shared" si="189"/>
        <v>0</v>
      </c>
    </row>
    <row r="438" spans="1:22" s="29" customFormat="1" ht="27" hidden="1" customHeight="1">
      <c r="A438" s="485">
        <v>73</v>
      </c>
      <c r="B438" s="55" t="s">
        <v>2770</v>
      </c>
      <c r="C438" s="368"/>
      <c r="D438" s="367"/>
      <c r="E438" s="368">
        <v>1</v>
      </c>
      <c r="F438" s="368">
        <v>1</v>
      </c>
      <c r="G438" s="369">
        <f t="shared" si="186"/>
        <v>3.6370100000000001</v>
      </c>
      <c r="H438" s="369">
        <f>2.77*1.3</f>
        <v>3.601</v>
      </c>
      <c r="I438" s="369"/>
      <c r="J438" s="369"/>
      <c r="K438" s="369"/>
      <c r="L438" s="369"/>
      <c r="M438" s="369">
        <f>(H438+I438)*1%</f>
        <v>3.601E-2</v>
      </c>
      <c r="N438" s="369">
        <f t="shared" si="187"/>
        <v>3.8888029999999998</v>
      </c>
      <c r="O438" s="369">
        <f>2.77*1.39</f>
        <v>3.8502999999999998</v>
      </c>
      <c r="P438" s="369"/>
      <c r="Q438" s="369"/>
      <c r="R438" s="369"/>
      <c r="S438" s="369"/>
      <c r="T438" s="369">
        <f>(O438+P438)*1%</f>
        <v>3.8503000000000003E-2</v>
      </c>
      <c r="U438" s="369">
        <f>T438-M438</f>
        <v>2.4930000000000022E-3</v>
      </c>
      <c r="V438" s="370">
        <f t="shared" si="189"/>
        <v>1.4958000000000013E-2</v>
      </c>
    </row>
    <row r="439" spans="1:22" s="29" customFormat="1" hidden="1">
      <c r="A439" s="434">
        <v>1</v>
      </c>
      <c r="B439" s="99" t="s">
        <v>2493</v>
      </c>
      <c r="C439" s="58">
        <f>SUM(C440:C449)</f>
        <v>0</v>
      </c>
      <c r="D439" s="176">
        <f t="shared" ref="D439:V439" si="190">SUM(D440:D449)</f>
        <v>0</v>
      </c>
      <c r="E439" s="58">
        <f t="shared" si="190"/>
        <v>0</v>
      </c>
      <c r="F439" s="58">
        <f t="shared" si="190"/>
        <v>0</v>
      </c>
      <c r="G439" s="435">
        <f t="shared" si="190"/>
        <v>0</v>
      </c>
      <c r="H439" s="436">
        <f t="shared" si="190"/>
        <v>0</v>
      </c>
      <c r="I439" s="435">
        <f>SUM(I440:I449)</f>
        <v>0</v>
      </c>
      <c r="J439" s="436">
        <f t="shared" si="190"/>
        <v>0</v>
      </c>
      <c r="K439" s="436">
        <f t="shared" si="190"/>
        <v>0</v>
      </c>
      <c r="L439" s="436">
        <f t="shared" si="190"/>
        <v>0</v>
      </c>
      <c r="M439" s="435">
        <f t="shared" si="190"/>
        <v>0</v>
      </c>
      <c r="N439" s="437">
        <f t="shared" si="190"/>
        <v>0</v>
      </c>
      <c r="O439" s="437">
        <f>SUM(O440:O449)</f>
        <v>0</v>
      </c>
      <c r="P439" s="437">
        <f t="shared" si="190"/>
        <v>0</v>
      </c>
      <c r="Q439" s="437">
        <f t="shared" si="190"/>
        <v>0</v>
      </c>
      <c r="R439" s="437">
        <f t="shared" si="190"/>
        <v>0</v>
      </c>
      <c r="S439" s="437">
        <f t="shared" si="190"/>
        <v>0</v>
      </c>
      <c r="T439" s="437">
        <f t="shared" si="190"/>
        <v>0</v>
      </c>
      <c r="U439" s="437">
        <f t="shared" si="190"/>
        <v>0</v>
      </c>
      <c r="V439" s="437">
        <f t="shared" si="190"/>
        <v>0</v>
      </c>
    </row>
    <row r="440" spans="1:22" s="29" customFormat="1" hidden="1">
      <c r="A440" s="438"/>
      <c r="B440" s="101" t="s">
        <v>2906</v>
      </c>
      <c r="C440" s="96"/>
      <c r="D440" s="175"/>
      <c r="E440" s="96"/>
      <c r="F440" s="96"/>
      <c r="G440" s="439">
        <f t="shared" ref="G440:G449" si="191">H440+I440+M440</f>
        <v>0</v>
      </c>
      <c r="H440" s="440"/>
      <c r="I440" s="441">
        <f>SUM(J440:L440)</f>
        <v>0</v>
      </c>
      <c r="J440" s="440"/>
      <c r="K440" s="440"/>
      <c r="L440" s="440"/>
      <c r="M440" s="439">
        <f t="shared" ref="M440:M449" si="192">(H440+I440)*1%</f>
        <v>0</v>
      </c>
      <c r="N440" s="442">
        <f>O440+P440+T440</f>
        <v>0</v>
      </c>
      <c r="O440" s="443">
        <f t="shared" ref="O440:O449" si="193">(H440/1.3)*1.39</f>
        <v>0</v>
      </c>
      <c r="P440" s="442">
        <f>SUM(Q440:S440)</f>
        <v>0</v>
      </c>
      <c r="Q440" s="443">
        <f t="shared" ref="Q440:S449" si="194">(J440/1.3)*1.39</f>
        <v>0</v>
      </c>
      <c r="R440" s="443">
        <f t="shared" si="194"/>
        <v>0</v>
      </c>
      <c r="S440" s="443">
        <f t="shared" si="194"/>
        <v>0</v>
      </c>
      <c r="T440" s="443">
        <f t="shared" ref="T440:T449" si="195">(O440+P440)*1%</f>
        <v>0</v>
      </c>
      <c r="U440" s="442">
        <f>T440-M440</f>
        <v>0</v>
      </c>
      <c r="V440" s="444">
        <f>U440*6</f>
        <v>0</v>
      </c>
    </row>
    <row r="441" spans="1:22" s="29" customFormat="1" hidden="1">
      <c r="A441" s="438"/>
      <c r="B441" s="101" t="s">
        <v>2907</v>
      </c>
      <c r="C441" s="96"/>
      <c r="D441" s="180"/>
      <c r="E441" s="96"/>
      <c r="F441" s="96"/>
      <c r="G441" s="439">
        <f t="shared" si="191"/>
        <v>0</v>
      </c>
      <c r="H441" s="440"/>
      <c r="I441" s="441">
        <f t="shared" ref="I441:I518" si="196">SUM(J441:L441)</f>
        <v>0</v>
      </c>
      <c r="J441" s="440"/>
      <c r="K441" s="440"/>
      <c r="L441" s="440"/>
      <c r="M441" s="439">
        <f t="shared" si="192"/>
        <v>0</v>
      </c>
      <c r="N441" s="442">
        <f t="shared" ref="N441:N518" si="197">O441+P441+T441</f>
        <v>0</v>
      </c>
      <c r="O441" s="443">
        <f t="shared" si="193"/>
        <v>0</v>
      </c>
      <c r="P441" s="442">
        <f t="shared" ref="P441:P449" si="198">SUM(Q441:S441)</f>
        <v>0</v>
      </c>
      <c r="Q441" s="443">
        <f t="shared" si="194"/>
        <v>0</v>
      </c>
      <c r="R441" s="443">
        <f t="shared" si="194"/>
        <v>0</v>
      </c>
      <c r="S441" s="443">
        <f t="shared" si="194"/>
        <v>0</v>
      </c>
      <c r="T441" s="443">
        <f t="shared" si="195"/>
        <v>0</v>
      </c>
      <c r="U441" s="442">
        <f t="shared" ref="U441:U449" si="199">T441-M441</f>
        <v>0</v>
      </c>
      <c r="V441" s="444">
        <f t="shared" ref="V441:V449" si="200">U441*6</f>
        <v>0</v>
      </c>
    </row>
    <row r="442" spans="1:22" s="29" customFormat="1" hidden="1">
      <c r="A442" s="438"/>
      <c r="B442" s="101" t="s">
        <v>2908</v>
      </c>
      <c r="C442" s="96"/>
      <c r="D442" s="180"/>
      <c r="E442" s="96"/>
      <c r="F442" s="96"/>
      <c r="G442" s="439">
        <f t="shared" si="191"/>
        <v>0</v>
      </c>
      <c r="H442" s="440"/>
      <c r="I442" s="441">
        <f t="shared" si="196"/>
        <v>0</v>
      </c>
      <c r="J442" s="440"/>
      <c r="K442" s="440"/>
      <c r="L442" s="440"/>
      <c r="M442" s="439">
        <f t="shared" si="192"/>
        <v>0</v>
      </c>
      <c r="N442" s="442">
        <f t="shared" si="197"/>
        <v>0</v>
      </c>
      <c r="O442" s="443">
        <f t="shared" si="193"/>
        <v>0</v>
      </c>
      <c r="P442" s="442">
        <f t="shared" si="198"/>
        <v>0</v>
      </c>
      <c r="Q442" s="443">
        <f t="shared" si="194"/>
        <v>0</v>
      </c>
      <c r="R442" s="443">
        <f t="shared" si="194"/>
        <v>0</v>
      </c>
      <c r="S442" s="443">
        <f t="shared" si="194"/>
        <v>0</v>
      </c>
      <c r="T442" s="443">
        <f t="shared" si="195"/>
        <v>0</v>
      </c>
      <c r="U442" s="442">
        <f t="shared" si="199"/>
        <v>0</v>
      </c>
      <c r="V442" s="444">
        <f t="shared" si="200"/>
        <v>0</v>
      </c>
    </row>
    <row r="443" spans="1:22" s="29" customFormat="1" hidden="1">
      <c r="A443" s="438"/>
      <c r="B443" s="101" t="s">
        <v>2909</v>
      </c>
      <c r="C443" s="96"/>
      <c r="D443" s="175"/>
      <c r="E443" s="96"/>
      <c r="F443" s="96"/>
      <c r="G443" s="439">
        <f t="shared" si="191"/>
        <v>0</v>
      </c>
      <c r="H443" s="440"/>
      <c r="I443" s="441">
        <f t="shared" si="196"/>
        <v>0</v>
      </c>
      <c r="J443" s="440"/>
      <c r="K443" s="440"/>
      <c r="L443" s="440"/>
      <c r="M443" s="439">
        <f t="shared" si="192"/>
        <v>0</v>
      </c>
      <c r="N443" s="442">
        <f t="shared" si="197"/>
        <v>0</v>
      </c>
      <c r="O443" s="443">
        <f t="shared" si="193"/>
        <v>0</v>
      </c>
      <c r="P443" s="442">
        <f t="shared" si="198"/>
        <v>0</v>
      </c>
      <c r="Q443" s="443">
        <f t="shared" si="194"/>
        <v>0</v>
      </c>
      <c r="R443" s="443">
        <f t="shared" si="194"/>
        <v>0</v>
      </c>
      <c r="S443" s="443">
        <f t="shared" si="194"/>
        <v>0</v>
      </c>
      <c r="T443" s="443">
        <f t="shared" si="195"/>
        <v>0</v>
      </c>
      <c r="U443" s="442">
        <f t="shared" si="199"/>
        <v>0</v>
      </c>
      <c r="V443" s="444">
        <f t="shared" si="200"/>
        <v>0</v>
      </c>
    </row>
    <row r="444" spans="1:22" s="29" customFormat="1" hidden="1">
      <c r="A444" s="438"/>
      <c r="B444" s="101" t="s">
        <v>2910</v>
      </c>
      <c r="C444" s="96"/>
      <c r="D444" s="175"/>
      <c r="E444" s="96"/>
      <c r="F444" s="96"/>
      <c r="G444" s="439">
        <f t="shared" si="191"/>
        <v>0</v>
      </c>
      <c r="H444" s="440"/>
      <c r="I444" s="441">
        <f t="shared" si="196"/>
        <v>0</v>
      </c>
      <c r="J444" s="440"/>
      <c r="K444" s="440"/>
      <c r="L444" s="440"/>
      <c r="M444" s="439">
        <f t="shared" si="192"/>
        <v>0</v>
      </c>
      <c r="N444" s="442">
        <f t="shared" si="197"/>
        <v>0</v>
      </c>
      <c r="O444" s="443">
        <f t="shared" si="193"/>
        <v>0</v>
      </c>
      <c r="P444" s="442">
        <f t="shared" si="198"/>
        <v>0</v>
      </c>
      <c r="Q444" s="443">
        <f t="shared" si="194"/>
        <v>0</v>
      </c>
      <c r="R444" s="443">
        <f t="shared" si="194"/>
        <v>0</v>
      </c>
      <c r="S444" s="443">
        <f t="shared" si="194"/>
        <v>0</v>
      </c>
      <c r="T444" s="443">
        <f t="shared" si="195"/>
        <v>0</v>
      </c>
      <c r="U444" s="442">
        <f t="shared" si="199"/>
        <v>0</v>
      </c>
      <c r="V444" s="444">
        <f t="shared" si="200"/>
        <v>0</v>
      </c>
    </row>
    <row r="445" spans="1:22" s="29" customFormat="1" hidden="1">
      <c r="A445" s="438"/>
      <c r="B445" s="101" t="s">
        <v>2911</v>
      </c>
      <c r="C445" s="96"/>
      <c r="D445" s="175"/>
      <c r="E445" s="96"/>
      <c r="F445" s="96"/>
      <c r="G445" s="439">
        <f t="shared" si="191"/>
        <v>0</v>
      </c>
      <c r="H445" s="440"/>
      <c r="I445" s="441">
        <f t="shared" si="196"/>
        <v>0</v>
      </c>
      <c r="J445" s="440"/>
      <c r="K445" s="440"/>
      <c r="L445" s="440"/>
      <c r="M445" s="439">
        <f t="shared" si="192"/>
        <v>0</v>
      </c>
      <c r="N445" s="442">
        <f t="shared" si="197"/>
        <v>0</v>
      </c>
      <c r="O445" s="443">
        <f t="shared" si="193"/>
        <v>0</v>
      </c>
      <c r="P445" s="442">
        <f t="shared" si="198"/>
        <v>0</v>
      </c>
      <c r="Q445" s="443">
        <f t="shared" si="194"/>
        <v>0</v>
      </c>
      <c r="R445" s="443">
        <f t="shared" si="194"/>
        <v>0</v>
      </c>
      <c r="S445" s="443">
        <f t="shared" si="194"/>
        <v>0</v>
      </c>
      <c r="T445" s="443">
        <f t="shared" si="195"/>
        <v>0</v>
      </c>
      <c r="U445" s="442">
        <f t="shared" si="199"/>
        <v>0</v>
      </c>
      <c r="V445" s="444">
        <f t="shared" si="200"/>
        <v>0</v>
      </c>
    </row>
    <row r="446" spans="1:22" s="29" customFormat="1" hidden="1">
      <c r="A446" s="438"/>
      <c r="B446" s="101" t="s">
        <v>2912</v>
      </c>
      <c r="C446" s="96"/>
      <c r="D446" s="175"/>
      <c r="E446" s="96"/>
      <c r="F446" s="96"/>
      <c r="G446" s="439">
        <f t="shared" si="191"/>
        <v>0</v>
      </c>
      <c r="H446" s="440"/>
      <c r="I446" s="441">
        <f t="shared" si="196"/>
        <v>0</v>
      </c>
      <c r="J446" s="440"/>
      <c r="K446" s="440"/>
      <c r="L446" s="440"/>
      <c r="M446" s="439">
        <f t="shared" si="192"/>
        <v>0</v>
      </c>
      <c r="N446" s="442">
        <f t="shared" si="197"/>
        <v>0</v>
      </c>
      <c r="O446" s="443">
        <f t="shared" si="193"/>
        <v>0</v>
      </c>
      <c r="P446" s="442">
        <f t="shared" si="198"/>
        <v>0</v>
      </c>
      <c r="Q446" s="443">
        <f t="shared" si="194"/>
        <v>0</v>
      </c>
      <c r="R446" s="443">
        <f t="shared" si="194"/>
        <v>0</v>
      </c>
      <c r="S446" s="443">
        <f t="shared" si="194"/>
        <v>0</v>
      </c>
      <c r="T446" s="443">
        <f t="shared" si="195"/>
        <v>0</v>
      </c>
      <c r="U446" s="442">
        <f t="shared" si="199"/>
        <v>0</v>
      </c>
      <c r="V446" s="444">
        <f t="shared" si="200"/>
        <v>0</v>
      </c>
    </row>
    <row r="447" spans="1:22" s="29" customFormat="1" hidden="1">
      <c r="A447" s="438"/>
      <c r="B447" s="101" t="s">
        <v>2536</v>
      </c>
      <c r="C447" s="96"/>
      <c r="D447" s="175"/>
      <c r="E447" s="96"/>
      <c r="F447" s="96"/>
      <c r="G447" s="439">
        <f t="shared" si="191"/>
        <v>0</v>
      </c>
      <c r="H447" s="440"/>
      <c r="I447" s="441">
        <f t="shared" si="196"/>
        <v>0</v>
      </c>
      <c r="J447" s="440"/>
      <c r="K447" s="440"/>
      <c r="L447" s="440"/>
      <c r="M447" s="439">
        <f t="shared" si="192"/>
        <v>0</v>
      </c>
      <c r="N447" s="442">
        <f t="shared" si="197"/>
        <v>0</v>
      </c>
      <c r="O447" s="443">
        <f t="shared" si="193"/>
        <v>0</v>
      </c>
      <c r="P447" s="442">
        <f t="shared" si="198"/>
        <v>0</v>
      </c>
      <c r="Q447" s="443">
        <f t="shared" si="194"/>
        <v>0</v>
      </c>
      <c r="R447" s="443">
        <f t="shared" si="194"/>
        <v>0</v>
      </c>
      <c r="S447" s="443">
        <f t="shared" si="194"/>
        <v>0</v>
      </c>
      <c r="T447" s="443">
        <f t="shared" si="195"/>
        <v>0</v>
      </c>
      <c r="U447" s="442">
        <f t="shared" si="199"/>
        <v>0</v>
      </c>
      <c r="V447" s="444">
        <f t="shared" si="200"/>
        <v>0</v>
      </c>
    </row>
    <row r="448" spans="1:22" s="29" customFormat="1" hidden="1">
      <c r="A448" s="438"/>
      <c r="B448" s="101" t="s">
        <v>2537</v>
      </c>
      <c r="C448" s="96"/>
      <c r="D448" s="175"/>
      <c r="E448" s="96"/>
      <c r="F448" s="96"/>
      <c r="G448" s="439">
        <f t="shared" si="191"/>
        <v>0</v>
      </c>
      <c r="H448" s="440"/>
      <c r="I448" s="441">
        <f t="shared" si="196"/>
        <v>0</v>
      </c>
      <c r="J448" s="440"/>
      <c r="K448" s="440"/>
      <c r="L448" s="440"/>
      <c r="M448" s="439">
        <f t="shared" si="192"/>
        <v>0</v>
      </c>
      <c r="N448" s="442">
        <f t="shared" si="197"/>
        <v>0</v>
      </c>
      <c r="O448" s="443">
        <f t="shared" si="193"/>
        <v>0</v>
      </c>
      <c r="P448" s="442">
        <f t="shared" si="198"/>
        <v>0</v>
      </c>
      <c r="Q448" s="443">
        <f t="shared" si="194"/>
        <v>0</v>
      </c>
      <c r="R448" s="443">
        <f t="shared" si="194"/>
        <v>0</v>
      </c>
      <c r="S448" s="443">
        <f t="shared" si="194"/>
        <v>0</v>
      </c>
      <c r="T448" s="443">
        <f t="shared" si="195"/>
        <v>0</v>
      </c>
      <c r="U448" s="442">
        <f t="shared" si="199"/>
        <v>0</v>
      </c>
      <c r="V448" s="444">
        <f t="shared" si="200"/>
        <v>0</v>
      </c>
    </row>
    <row r="449" spans="1:22" s="51" customFormat="1" hidden="1">
      <c r="A449" s="53"/>
      <c r="B449" s="78" t="s">
        <v>2492</v>
      </c>
      <c r="C449" s="96"/>
      <c r="D449" s="175"/>
      <c r="E449" s="96"/>
      <c r="F449" s="96"/>
      <c r="G449" s="439">
        <f t="shared" si="191"/>
        <v>0</v>
      </c>
      <c r="H449" s="440"/>
      <c r="I449" s="441">
        <f t="shared" si="196"/>
        <v>0</v>
      </c>
      <c r="J449" s="440"/>
      <c r="K449" s="440"/>
      <c r="L449" s="440"/>
      <c r="M449" s="439">
        <f t="shared" si="192"/>
        <v>0</v>
      </c>
      <c r="N449" s="442">
        <f t="shared" si="197"/>
        <v>0</v>
      </c>
      <c r="O449" s="443">
        <f t="shared" si="193"/>
        <v>0</v>
      </c>
      <c r="P449" s="442">
        <f t="shared" si="198"/>
        <v>0</v>
      </c>
      <c r="Q449" s="443">
        <f t="shared" si="194"/>
        <v>0</v>
      </c>
      <c r="R449" s="443">
        <f t="shared" si="194"/>
        <v>0</v>
      </c>
      <c r="S449" s="443">
        <f t="shared" si="194"/>
        <v>0</v>
      </c>
      <c r="T449" s="443">
        <f t="shared" si="195"/>
        <v>0</v>
      </c>
      <c r="U449" s="442">
        <f t="shared" si="199"/>
        <v>0</v>
      </c>
      <c r="V449" s="444">
        <f t="shared" si="200"/>
        <v>0</v>
      </c>
    </row>
    <row r="450" spans="1:22" s="29" customFormat="1" hidden="1">
      <c r="A450" s="434">
        <v>2</v>
      </c>
      <c r="B450" s="99" t="s">
        <v>2494</v>
      </c>
      <c r="C450" s="58">
        <f>SUM(C451:C460)</f>
        <v>0</v>
      </c>
      <c r="D450" s="176">
        <f t="shared" ref="D450:U450" si="201">SUM(D451:D460)</f>
        <v>0</v>
      </c>
      <c r="E450" s="58">
        <f t="shared" si="201"/>
        <v>0</v>
      </c>
      <c r="F450" s="58">
        <f t="shared" si="201"/>
        <v>0</v>
      </c>
      <c r="G450" s="435">
        <f t="shared" si="201"/>
        <v>0</v>
      </c>
      <c r="H450" s="436">
        <f t="shared" si="201"/>
        <v>0</v>
      </c>
      <c r="I450" s="435">
        <f t="shared" si="201"/>
        <v>0</v>
      </c>
      <c r="J450" s="436">
        <f t="shared" si="201"/>
        <v>0</v>
      </c>
      <c r="K450" s="436">
        <f t="shared" si="201"/>
        <v>0</v>
      </c>
      <c r="L450" s="436">
        <f t="shared" si="201"/>
        <v>0</v>
      </c>
      <c r="M450" s="435">
        <f t="shared" si="201"/>
        <v>0</v>
      </c>
      <c r="N450" s="437">
        <f t="shared" si="201"/>
        <v>0</v>
      </c>
      <c r="O450" s="437">
        <f t="shared" si="201"/>
        <v>0</v>
      </c>
      <c r="P450" s="437">
        <f t="shared" si="201"/>
        <v>0</v>
      </c>
      <c r="Q450" s="437">
        <f t="shared" si="201"/>
        <v>0</v>
      </c>
      <c r="R450" s="437">
        <f t="shared" si="201"/>
        <v>0</v>
      </c>
      <c r="S450" s="437">
        <f t="shared" si="201"/>
        <v>0</v>
      </c>
      <c r="T450" s="437">
        <f t="shared" si="201"/>
        <v>0</v>
      </c>
      <c r="U450" s="437">
        <f t="shared" si="201"/>
        <v>0</v>
      </c>
      <c r="V450" s="437">
        <f>SUM(V451:V460)</f>
        <v>0</v>
      </c>
    </row>
    <row r="451" spans="1:22" s="29" customFormat="1" hidden="1">
      <c r="A451" s="438"/>
      <c r="B451" s="101" t="s">
        <v>2906</v>
      </c>
      <c r="C451" s="96"/>
      <c r="D451" s="175"/>
      <c r="E451" s="96"/>
      <c r="F451" s="96"/>
      <c r="G451" s="441">
        <f t="shared" ref="G451:G518" si="202">H451+I451+M451</f>
        <v>0</v>
      </c>
      <c r="H451" s="440"/>
      <c r="I451" s="441">
        <f t="shared" si="196"/>
        <v>0</v>
      </c>
      <c r="J451" s="440"/>
      <c r="K451" s="440"/>
      <c r="L451" s="440"/>
      <c r="M451" s="439">
        <f t="shared" ref="M451:M460" si="203">(H451+I451)*1%</f>
        <v>0</v>
      </c>
      <c r="N451" s="442">
        <f t="shared" si="197"/>
        <v>0</v>
      </c>
      <c r="O451" s="443">
        <f t="shared" ref="O451:O460" si="204">(H451/1.3)*1.39</f>
        <v>0</v>
      </c>
      <c r="P451" s="442">
        <f>SUM(Q451:S451)</f>
        <v>0</v>
      </c>
      <c r="Q451" s="443">
        <f t="shared" ref="Q451:S460" si="205">(J451/1.3)*1.39</f>
        <v>0</v>
      </c>
      <c r="R451" s="443">
        <f t="shared" si="205"/>
        <v>0</v>
      </c>
      <c r="S451" s="443">
        <f t="shared" si="205"/>
        <v>0</v>
      </c>
      <c r="T451" s="443">
        <f t="shared" ref="T451:T460" si="206">(O451+P451)*1%</f>
        <v>0</v>
      </c>
      <c r="U451" s="442">
        <f>T451-M451</f>
        <v>0</v>
      </c>
      <c r="V451" s="444">
        <f>U451*6</f>
        <v>0</v>
      </c>
    </row>
    <row r="452" spans="1:22" s="29" customFormat="1" hidden="1">
      <c r="A452" s="438"/>
      <c r="B452" s="101" t="s">
        <v>2907</v>
      </c>
      <c r="C452" s="96"/>
      <c r="D452" s="180"/>
      <c r="E452" s="96"/>
      <c r="F452" s="96"/>
      <c r="G452" s="441">
        <f t="shared" si="202"/>
        <v>0</v>
      </c>
      <c r="H452" s="440"/>
      <c r="I452" s="441">
        <f t="shared" si="196"/>
        <v>0</v>
      </c>
      <c r="J452" s="440"/>
      <c r="K452" s="440"/>
      <c r="L452" s="440"/>
      <c r="M452" s="439">
        <f t="shared" si="203"/>
        <v>0</v>
      </c>
      <c r="N452" s="442">
        <f t="shared" si="197"/>
        <v>0</v>
      </c>
      <c r="O452" s="443">
        <f t="shared" si="204"/>
        <v>0</v>
      </c>
      <c r="P452" s="442">
        <f t="shared" ref="P452:P460" si="207">SUM(Q452:S452)</f>
        <v>0</v>
      </c>
      <c r="Q452" s="443">
        <f t="shared" si="205"/>
        <v>0</v>
      </c>
      <c r="R452" s="443">
        <f t="shared" si="205"/>
        <v>0</v>
      </c>
      <c r="S452" s="443">
        <f t="shared" si="205"/>
        <v>0</v>
      </c>
      <c r="T452" s="443">
        <f t="shared" si="206"/>
        <v>0</v>
      </c>
      <c r="U452" s="442">
        <f t="shared" ref="U452:U460" si="208">T452-M452</f>
        <v>0</v>
      </c>
      <c r="V452" s="444">
        <f t="shared" ref="V452:V460" si="209">U452*6</f>
        <v>0</v>
      </c>
    </row>
    <row r="453" spans="1:22" s="29" customFormat="1" hidden="1">
      <c r="A453" s="438"/>
      <c r="B453" s="101" t="s">
        <v>2908</v>
      </c>
      <c r="C453" s="96"/>
      <c r="D453" s="180"/>
      <c r="E453" s="96"/>
      <c r="F453" s="96"/>
      <c r="G453" s="441">
        <f t="shared" si="202"/>
        <v>0</v>
      </c>
      <c r="H453" s="440"/>
      <c r="I453" s="441">
        <f t="shared" si="196"/>
        <v>0</v>
      </c>
      <c r="J453" s="440"/>
      <c r="K453" s="440"/>
      <c r="L453" s="440"/>
      <c r="M453" s="439">
        <f t="shared" si="203"/>
        <v>0</v>
      </c>
      <c r="N453" s="442">
        <f t="shared" si="197"/>
        <v>0</v>
      </c>
      <c r="O453" s="443">
        <f t="shared" si="204"/>
        <v>0</v>
      </c>
      <c r="P453" s="442">
        <f t="shared" si="207"/>
        <v>0</v>
      </c>
      <c r="Q453" s="443">
        <f t="shared" si="205"/>
        <v>0</v>
      </c>
      <c r="R453" s="443">
        <f t="shared" si="205"/>
        <v>0</v>
      </c>
      <c r="S453" s="443">
        <f t="shared" si="205"/>
        <v>0</v>
      </c>
      <c r="T453" s="443">
        <f t="shared" si="206"/>
        <v>0</v>
      </c>
      <c r="U453" s="442">
        <f t="shared" si="208"/>
        <v>0</v>
      </c>
      <c r="V453" s="444">
        <f t="shared" si="209"/>
        <v>0</v>
      </c>
    </row>
    <row r="454" spans="1:22" s="29" customFormat="1" hidden="1">
      <c r="A454" s="438"/>
      <c r="B454" s="101" t="s">
        <v>2909</v>
      </c>
      <c r="C454" s="96"/>
      <c r="D454" s="175"/>
      <c r="E454" s="96"/>
      <c r="F454" s="96"/>
      <c r="G454" s="441">
        <f t="shared" si="202"/>
        <v>0</v>
      </c>
      <c r="H454" s="440"/>
      <c r="I454" s="441">
        <f t="shared" si="196"/>
        <v>0</v>
      </c>
      <c r="J454" s="440"/>
      <c r="K454" s="440"/>
      <c r="L454" s="440"/>
      <c r="M454" s="439">
        <f t="shared" si="203"/>
        <v>0</v>
      </c>
      <c r="N454" s="442">
        <f t="shared" si="197"/>
        <v>0</v>
      </c>
      <c r="O454" s="443">
        <f t="shared" si="204"/>
        <v>0</v>
      </c>
      <c r="P454" s="442">
        <f t="shared" si="207"/>
        <v>0</v>
      </c>
      <c r="Q454" s="443">
        <f t="shared" si="205"/>
        <v>0</v>
      </c>
      <c r="R454" s="443">
        <f t="shared" si="205"/>
        <v>0</v>
      </c>
      <c r="S454" s="443">
        <f t="shared" si="205"/>
        <v>0</v>
      </c>
      <c r="T454" s="443">
        <f t="shared" si="206"/>
        <v>0</v>
      </c>
      <c r="U454" s="442">
        <f t="shared" si="208"/>
        <v>0</v>
      </c>
      <c r="V454" s="444">
        <f t="shared" si="209"/>
        <v>0</v>
      </c>
    </row>
    <row r="455" spans="1:22" s="29" customFormat="1" hidden="1">
      <c r="A455" s="438"/>
      <c r="B455" s="101" t="s">
        <v>2910</v>
      </c>
      <c r="C455" s="96"/>
      <c r="D455" s="175"/>
      <c r="E455" s="96"/>
      <c r="F455" s="96"/>
      <c r="G455" s="441">
        <f t="shared" si="202"/>
        <v>0</v>
      </c>
      <c r="H455" s="440"/>
      <c r="I455" s="441">
        <f t="shared" si="196"/>
        <v>0</v>
      </c>
      <c r="J455" s="440"/>
      <c r="K455" s="440"/>
      <c r="L455" s="440"/>
      <c r="M455" s="439">
        <f t="shared" si="203"/>
        <v>0</v>
      </c>
      <c r="N455" s="442">
        <f t="shared" si="197"/>
        <v>0</v>
      </c>
      <c r="O455" s="443">
        <f t="shared" si="204"/>
        <v>0</v>
      </c>
      <c r="P455" s="442">
        <f t="shared" si="207"/>
        <v>0</v>
      </c>
      <c r="Q455" s="443">
        <f t="shared" si="205"/>
        <v>0</v>
      </c>
      <c r="R455" s="443">
        <f t="shared" si="205"/>
        <v>0</v>
      </c>
      <c r="S455" s="443">
        <f t="shared" si="205"/>
        <v>0</v>
      </c>
      <c r="T455" s="443">
        <f t="shared" si="206"/>
        <v>0</v>
      </c>
      <c r="U455" s="442">
        <f t="shared" si="208"/>
        <v>0</v>
      </c>
      <c r="V455" s="444">
        <f t="shared" si="209"/>
        <v>0</v>
      </c>
    </row>
    <row r="456" spans="1:22" s="29" customFormat="1" hidden="1">
      <c r="A456" s="438"/>
      <c r="B456" s="101" t="s">
        <v>2911</v>
      </c>
      <c r="C456" s="96"/>
      <c r="D456" s="175"/>
      <c r="E456" s="96"/>
      <c r="F456" s="96"/>
      <c r="G456" s="441">
        <f t="shared" si="202"/>
        <v>0</v>
      </c>
      <c r="H456" s="440"/>
      <c r="I456" s="441">
        <f t="shared" si="196"/>
        <v>0</v>
      </c>
      <c r="J456" s="440"/>
      <c r="K456" s="440"/>
      <c r="L456" s="440"/>
      <c r="M456" s="439">
        <f t="shared" si="203"/>
        <v>0</v>
      </c>
      <c r="N456" s="442">
        <f t="shared" si="197"/>
        <v>0</v>
      </c>
      <c r="O456" s="443">
        <f t="shared" si="204"/>
        <v>0</v>
      </c>
      <c r="P456" s="442">
        <f t="shared" si="207"/>
        <v>0</v>
      </c>
      <c r="Q456" s="443">
        <f t="shared" si="205"/>
        <v>0</v>
      </c>
      <c r="R456" s="443">
        <f t="shared" si="205"/>
        <v>0</v>
      </c>
      <c r="S456" s="443">
        <f t="shared" si="205"/>
        <v>0</v>
      </c>
      <c r="T456" s="443">
        <f t="shared" si="206"/>
        <v>0</v>
      </c>
      <c r="U456" s="442">
        <f t="shared" si="208"/>
        <v>0</v>
      </c>
      <c r="V456" s="444">
        <f t="shared" si="209"/>
        <v>0</v>
      </c>
    </row>
    <row r="457" spans="1:22" s="29" customFormat="1" hidden="1">
      <c r="A457" s="438"/>
      <c r="B457" s="101" t="s">
        <v>2912</v>
      </c>
      <c r="C457" s="96"/>
      <c r="D457" s="175"/>
      <c r="E457" s="96"/>
      <c r="F457" s="96"/>
      <c r="G457" s="441">
        <f t="shared" si="202"/>
        <v>0</v>
      </c>
      <c r="H457" s="440"/>
      <c r="I457" s="441">
        <f t="shared" si="196"/>
        <v>0</v>
      </c>
      <c r="J457" s="440"/>
      <c r="K457" s="440"/>
      <c r="L457" s="440"/>
      <c r="M457" s="439">
        <f t="shared" si="203"/>
        <v>0</v>
      </c>
      <c r="N457" s="442">
        <f t="shared" si="197"/>
        <v>0</v>
      </c>
      <c r="O457" s="443">
        <f t="shared" si="204"/>
        <v>0</v>
      </c>
      <c r="P457" s="442">
        <f t="shared" si="207"/>
        <v>0</v>
      </c>
      <c r="Q457" s="443">
        <f t="shared" si="205"/>
        <v>0</v>
      </c>
      <c r="R457" s="443">
        <f t="shared" si="205"/>
        <v>0</v>
      </c>
      <c r="S457" s="443">
        <f t="shared" si="205"/>
        <v>0</v>
      </c>
      <c r="T457" s="443">
        <f t="shared" si="206"/>
        <v>0</v>
      </c>
      <c r="U457" s="442">
        <f t="shared" si="208"/>
        <v>0</v>
      </c>
      <c r="V457" s="444">
        <f t="shared" si="209"/>
        <v>0</v>
      </c>
    </row>
    <row r="458" spans="1:22" s="29" customFormat="1" hidden="1">
      <c r="A458" s="438"/>
      <c r="B458" s="101" t="s">
        <v>2536</v>
      </c>
      <c r="C458" s="96"/>
      <c r="D458" s="175"/>
      <c r="E458" s="96"/>
      <c r="F458" s="96"/>
      <c r="G458" s="441">
        <f t="shared" si="202"/>
        <v>0</v>
      </c>
      <c r="H458" s="440"/>
      <c r="I458" s="441">
        <f t="shared" si="196"/>
        <v>0</v>
      </c>
      <c r="J458" s="440"/>
      <c r="K458" s="440"/>
      <c r="L458" s="440"/>
      <c r="M458" s="439">
        <f t="shared" si="203"/>
        <v>0</v>
      </c>
      <c r="N458" s="442">
        <f t="shared" si="197"/>
        <v>0</v>
      </c>
      <c r="O458" s="443">
        <f t="shared" si="204"/>
        <v>0</v>
      </c>
      <c r="P458" s="442">
        <f t="shared" si="207"/>
        <v>0</v>
      </c>
      <c r="Q458" s="443">
        <f t="shared" si="205"/>
        <v>0</v>
      </c>
      <c r="R458" s="443">
        <f t="shared" si="205"/>
        <v>0</v>
      </c>
      <c r="S458" s="443">
        <f t="shared" si="205"/>
        <v>0</v>
      </c>
      <c r="T458" s="443">
        <f t="shared" si="206"/>
        <v>0</v>
      </c>
      <c r="U458" s="442">
        <f t="shared" si="208"/>
        <v>0</v>
      </c>
      <c r="V458" s="444">
        <f t="shared" si="209"/>
        <v>0</v>
      </c>
    </row>
    <row r="459" spans="1:22" s="29" customFormat="1" hidden="1">
      <c r="A459" s="438"/>
      <c r="B459" s="101" t="s">
        <v>2537</v>
      </c>
      <c r="C459" s="96"/>
      <c r="D459" s="175"/>
      <c r="E459" s="96"/>
      <c r="F459" s="96"/>
      <c r="G459" s="441">
        <f t="shared" si="202"/>
        <v>0</v>
      </c>
      <c r="H459" s="440"/>
      <c r="I459" s="441">
        <f t="shared" si="196"/>
        <v>0</v>
      </c>
      <c r="J459" s="440"/>
      <c r="K459" s="440"/>
      <c r="L459" s="440"/>
      <c r="M459" s="439">
        <f t="shared" si="203"/>
        <v>0</v>
      </c>
      <c r="N459" s="442">
        <f t="shared" si="197"/>
        <v>0</v>
      </c>
      <c r="O459" s="443">
        <f t="shared" si="204"/>
        <v>0</v>
      </c>
      <c r="P459" s="442">
        <f t="shared" si="207"/>
        <v>0</v>
      </c>
      <c r="Q459" s="443">
        <f t="shared" si="205"/>
        <v>0</v>
      </c>
      <c r="R459" s="443">
        <f t="shared" si="205"/>
        <v>0</v>
      </c>
      <c r="S459" s="443">
        <f t="shared" si="205"/>
        <v>0</v>
      </c>
      <c r="T459" s="443">
        <f t="shared" si="206"/>
        <v>0</v>
      </c>
      <c r="U459" s="442">
        <f t="shared" si="208"/>
        <v>0</v>
      </c>
      <c r="V459" s="444">
        <f t="shared" si="209"/>
        <v>0</v>
      </c>
    </row>
    <row r="460" spans="1:22" s="29" customFormat="1" hidden="1">
      <c r="A460" s="438"/>
      <c r="B460" s="101" t="s">
        <v>2492</v>
      </c>
      <c r="C460" s="96"/>
      <c r="D460" s="175"/>
      <c r="E460" s="96"/>
      <c r="F460" s="96"/>
      <c r="G460" s="441">
        <f t="shared" si="202"/>
        <v>0</v>
      </c>
      <c r="H460" s="440"/>
      <c r="I460" s="441">
        <f t="shared" si="196"/>
        <v>0</v>
      </c>
      <c r="J460" s="440"/>
      <c r="K460" s="440"/>
      <c r="L460" s="440"/>
      <c r="M460" s="439">
        <f t="shared" si="203"/>
        <v>0</v>
      </c>
      <c r="N460" s="442">
        <f t="shared" si="197"/>
        <v>0</v>
      </c>
      <c r="O460" s="443">
        <f t="shared" si="204"/>
        <v>0</v>
      </c>
      <c r="P460" s="442">
        <f t="shared" si="207"/>
        <v>0</v>
      </c>
      <c r="Q460" s="443">
        <f t="shared" si="205"/>
        <v>0</v>
      </c>
      <c r="R460" s="443">
        <f t="shared" si="205"/>
        <v>0</v>
      </c>
      <c r="S460" s="443">
        <f t="shared" si="205"/>
        <v>0</v>
      </c>
      <c r="T460" s="443">
        <f t="shared" si="206"/>
        <v>0</v>
      </c>
      <c r="U460" s="442">
        <f t="shared" si="208"/>
        <v>0</v>
      </c>
      <c r="V460" s="444">
        <f t="shared" si="209"/>
        <v>0</v>
      </c>
    </row>
    <row r="461" spans="1:22" s="29" customFormat="1" hidden="1">
      <c r="A461" s="434">
        <v>3</v>
      </c>
      <c r="B461" s="99" t="s">
        <v>2495</v>
      </c>
      <c r="C461" s="58">
        <f>SUM(C462:C471)</f>
        <v>0</v>
      </c>
      <c r="D461" s="176">
        <f t="shared" ref="D461:V461" si="210">SUM(D462:D471)</f>
        <v>0</v>
      </c>
      <c r="E461" s="58">
        <f t="shared" si="210"/>
        <v>0</v>
      </c>
      <c r="F461" s="58">
        <f t="shared" si="210"/>
        <v>0</v>
      </c>
      <c r="G461" s="435">
        <f t="shared" si="210"/>
        <v>0</v>
      </c>
      <c r="H461" s="436">
        <f t="shared" si="210"/>
        <v>0</v>
      </c>
      <c r="I461" s="435">
        <f t="shared" si="210"/>
        <v>0</v>
      </c>
      <c r="J461" s="436">
        <f t="shared" si="210"/>
        <v>0</v>
      </c>
      <c r="K461" s="436">
        <f t="shared" si="210"/>
        <v>0</v>
      </c>
      <c r="L461" s="436">
        <f t="shared" si="210"/>
        <v>0</v>
      </c>
      <c r="M461" s="435">
        <f t="shared" si="210"/>
        <v>0</v>
      </c>
      <c r="N461" s="437">
        <f t="shared" si="210"/>
        <v>0</v>
      </c>
      <c r="O461" s="437">
        <f t="shared" si="210"/>
        <v>0</v>
      </c>
      <c r="P461" s="437">
        <f t="shared" si="210"/>
        <v>0</v>
      </c>
      <c r="Q461" s="437">
        <f t="shared" si="210"/>
        <v>0</v>
      </c>
      <c r="R461" s="437">
        <f t="shared" si="210"/>
        <v>0</v>
      </c>
      <c r="S461" s="437">
        <f t="shared" si="210"/>
        <v>0</v>
      </c>
      <c r="T461" s="437">
        <f t="shared" si="210"/>
        <v>0</v>
      </c>
      <c r="U461" s="437">
        <f t="shared" si="210"/>
        <v>0</v>
      </c>
      <c r="V461" s="437">
        <f t="shared" si="210"/>
        <v>0</v>
      </c>
    </row>
    <row r="462" spans="1:22" s="29" customFormat="1" hidden="1">
      <c r="A462" s="438"/>
      <c r="B462" s="101" t="s">
        <v>2906</v>
      </c>
      <c r="C462" s="96"/>
      <c r="D462" s="175"/>
      <c r="E462" s="96"/>
      <c r="F462" s="96"/>
      <c r="G462" s="441">
        <f t="shared" si="202"/>
        <v>0</v>
      </c>
      <c r="H462" s="440"/>
      <c r="I462" s="441">
        <f t="shared" si="196"/>
        <v>0</v>
      </c>
      <c r="J462" s="440"/>
      <c r="K462" s="440"/>
      <c r="L462" s="440"/>
      <c r="M462" s="439">
        <f t="shared" ref="M462:M471" si="211">(H462+I462)*1%</f>
        <v>0</v>
      </c>
      <c r="N462" s="442">
        <f t="shared" si="197"/>
        <v>0</v>
      </c>
      <c r="O462" s="443">
        <f t="shared" ref="O462:O471" si="212">(H462/1.3)*1.39</f>
        <v>0</v>
      </c>
      <c r="P462" s="442">
        <f>SUM(Q462:S462)</f>
        <v>0</v>
      </c>
      <c r="Q462" s="443">
        <f t="shared" ref="Q462:S471" si="213">(J462/1.3)*1.39</f>
        <v>0</v>
      </c>
      <c r="R462" s="443">
        <f t="shared" si="213"/>
        <v>0</v>
      </c>
      <c r="S462" s="443">
        <f t="shared" si="213"/>
        <v>0</v>
      </c>
      <c r="T462" s="443">
        <f t="shared" ref="T462:T471" si="214">(O462+P462)*1%</f>
        <v>0</v>
      </c>
      <c r="U462" s="442">
        <f>T462-M462</f>
        <v>0</v>
      </c>
      <c r="V462" s="444">
        <f>U462*6</f>
        <v>0</v>
      </c>
    </row>
    <row r="463" spans="1:22" s="29" customFormat="1" hidden="1">
      <c r="A463" s="438"/>
      <c r="B463" s="101" t="s">
        <v>2907</v>
      </c>
      <c r="C463" s="96"/>
      <c r="D463" s="180"/>
      <c r="E463" s="96"/>
      <c r="F463" s="96"/>
      <c r="G463" s="441">
        <f t="shared" si="202"/>
        <v>0</v>
      </c>
      <c r="H463" s="440"/>
      <c r="I463" s="441">
        <f t="shared" si="196"/>
        <v>0</v>
      </c>
      <c r="J463" s="440"/>
      <c r="K463" s="440"/>
      <c r="L463" s="440"/>
      <c r="M463" s="439">
        <f t="shared" si="211"/>
        <v>0</v>
      </c>
      <c r="N463" s="442">
        <f t="shared" si="197"/>
        <v>0</v>
      </c>
      <c r="O463" s="443">
        <f t="shared" si="212"/>
        <v>0</v>
      </c>
      <c r="P463" s="442">
        <f t="shared" ref="P463:P471" si="215">SUM(Q463:S463)</f>
        <v>0</v>
      </c>
      <c r="Q463" s="443">
        <f t="shared" si="213"/>
        <v>0</v>
      </c>
      <c r="R463" s="443">
        <f t="shared" si="213"/>
        <v>0</v>
      </c>
      <c r="S463" s="443">
        <f t="shared" si="213"/>
        <v>0</v>
      </c>
      <c r="T463" s="443">
        <f t="shared" si="214"/>
        <v>0</v>
      </c>
      <c r="U463" s="442">
        <f t="shared" ref="U463:U471" si="216">T463-M463</f>
        <v>0</v>
      </c>
      <c r="V463" s="444">
        <f t="shared" ref="V463:V471" si="217">U463*6</f>
        <v>0</v>
      </c>
    </row>
    <row r="464" spans="1:22" s="29" customFormat="1" hidden="1">
      <c r="A464" s="438"/>
      <c r="B464" s="101" t="s">
        <v>2908</v>
      </c>
      <c r="C464" s="96"/>
      <c r="D464" s="180"/>
      <c r="E464" s="96"/>
      <c r="F464" s="96"/>
      <c r="G464" s="441">
        <f t="shared" si="202"/>
        <v>0</v>
      </c>
      <c r="H464" s="440"/>
      <c r="I464" s="441">
        <f t="shared" si="196"/>
        <v>0</v>
      </c>
      <c r="J464" s="440"/>
      <c r="K464" s="440"/>
      <c r="L464" s="440"/>
      <c r="M464" s="439">
        <f t="shared" si="211"/>
        <v>0</v>
      </c>
      <c r="N464" s="442">
        <f t="shared" si="197"/>
        <v>0</v>
      </c>
      <c r="O464" s="443">
        <f t="shared" si="212"/>
        <v>0</v>
      </c>
      <c r="P464" s="442">
        <f t="shared" si="215"/>
        <v>0</v>
      </c>
      <c r="Q464" s="443">
        <f t="shared" si="213"/>
        <v>0</v>
      </c>
      <c r="R464" s="443">
        <f t="shared" si="213"/>
        <v>0</v>
      </c>
      <c r="S464" s="443">
        <f t="shared" si="213"/>
        <v>0</v>
      </c>
      <c r="T464" s="443">
        <f t="shared" si="214"/>
        <v>0</v>
      </c>
      <c r="U464" s="442">
        <f t="shared" si="216"/>
        <v>0</v>
      </c>
      <c r="V464" s="444">
        <f t="shared" si="217"/>
        <v>0</v>
      </c>
    </row>
    <row r="465" spans="1:22" s="29" customFormat="1" hidden="1">
      <c r="A465" s="438"/>
      <c r="B465" s="101" t="s">
        <v>2909</v>
      </c>
      <c r="C465" s="96"/>
      <c r="D465" s="175"/>
      <c r="E465" s="96"/>
      <c r="F465" s="96"/>
      <c r="G465" s="441">
        <f t="shared" si="202"/>
        <v>0</v>
      </c>
      <c r="H465" s="440"/>
      <c r="I465" s="441">
        <f t="shared" si="196"/>
        <v>0</v>
      </c>
      <c r="J465" s="440"/>
      <c r="K465" s="440"/>
      <c r="L465" s="440"/>
      <c r="M465" s="439">
        <f t="shared" si="211"/>
        <v>0</v>
      </c>
      <c r="N465" s="442">
        <f t="shared" si="197"/>
        <v>0</v>
      </c>
      <c r="O465" s="443">
        <f t="shared" si="212"/>
        <v>0</v>
      </c>
      <c r="P465" s="442">
        <f t="shared" si="215"/>
        <v>0</v>
      </c>
      <c r="Q465" s="443">
        <f t="shared" si="213"/>
        <v>0</v>
      </c>
      <c r="R465" s="443">
        <f t="shared" si="213"/>
        <v>0</v>
      </c>
      <c r="S465" s="443">
        <f t="shared" si="213"/>
        <v>0</v>
      </c>
      <c r="T465" s="443">
        <f t="shared" si="214"/>
        <v>0</v>
      </c>
      <c r="U465" s="442">
        <f t="shared" si="216"/>
        <v>0</v>
      </c>
      <c r="V465" s="444">
        <f t="shared" si="217"/>
        <v>0</v>
      </c>
    </row>
    <row r="466" spans="1:22" s="29" customFormat="1" hidden="1">
      <c r="A466" s="438"/>
      <c r="B466" s="101" t="s">
        <v>2910</v>
      </c>
      <c r="C466" s="96"/>
      <c r="D466" s="175"/>
      <c r="E466" s="96"/>
      <c r="F466" s="96"/>
      <c r="G466" s="441">
        <f t="shared" si="202"/>
        <v>0</v>
      </c>
      <c r="H466" s="440"/>
      <c r="I466" s="441">
        <f t="shared" si="196"/>
        <v>0</v>
      </c>
      <c r="J466" s="440"/>
      <c r="K466" s="440"/>
      <c r="L466" s="440"/>
      <c r="M466" s="439">
        <f t="shared" si="211"/>
        <v>0</v>
      </c>
      <c r="N466" s="442">
        <f t="shared" si="197"/>
        <v>0</v>
      </c>
      <c r="O466" s="443">
        <f t="shared" si="212"/>
        <v>0</v>
      </c>
      <c r="P466" s="442">
        <f t="shared" si="215"/>
        <v>0</v>
      </c>
      <c r="Q466" s="443">
        <f t="shared" si="213"/>
        <v>0</v>
      </c>
      <c r="R466" s="443">
        <f t="shared" si="213"/>
        <v>0</v>
      </c>
      <c r="S466" s="443">
        <f t="shared" si="213"/>
        <v>0</v>
      </c>
      <c r="T466" s="443">
        <f t="shared" si="214"/>
        <v>0</v>
      </c>
      <c r="U466" s="442">
        <f t="shared" si="216"/>
        <v>0</v>
      </c>
      <c r="V466" s="444">
        <f t="shared" si="217"/>
        <v>0</v>
      </c>
    </row>
    <row r="467" spans="1:22" s="29" customFormat="1" hidden="1">
      <c r="A467" s="438"/>
      <c r="B467" s="101" t="s">
        <v>2911</v>
      </c>
      <c r="C467" s="96"/>
      <c r="D467" s="180"/>
      <c r="E467" s="96"/>
      <c r="F467" s="96"/>
      <c r="G467" s="441">
        <f t="shared" si="202"/>
        <v>0</v>
      </c>
      <c r="H467" s="440"/>
      <c r="I467" s="441">
        <f t="shared" si="196"/>
        <v>0</v>
      </c>
      <c r="J467" s="440"/>
      <c r="K467" s="440"/>
      <c r="L467" s="440"/>
      <c r="M467" s="439">
        <f t="shared" si="211"/>
        <v>0</v>
      </c>
      <c r="N467" s="442">
        <f t="shared" si="197"/>
        <v>0</v>
      </c>
      <c r="O467" s="443">
        <f t="shared" si="212"/>
        <v>0</v>
      </c>
      <c r="P467" s="442">
        <f t="shared" si="215"/>
        <v>0</v>
      </c>
      <c r="Q467" s="443">
        <f t="shared" si="213"/>
        <v>0</v>
      </c>
      <c r="R467" s="443">
        <f t="shared" si="213"/>
        <v>0</v>
      </c>
      <c r="S467" s="443">
        <f t="shared" si="213"/>
        <v>0</v>
      </c>
      <c r="T467" s="443">
        <f t="shared" si="214"/>
        <v>0</v>
      </c>
      <c r="U467" s="442">
        <f t="shared" si="216"/>
        <v>0</v>
      </c>
      <c r="V467" s="444">
        <f t="shared" si="217"/>
        <v>0</v>
      </c>
    </row>
    <row r="468" spans="1:22" s="29" customFormat="1" hidden="1">
      <c r="A468" s="438"/>
      <c r="B468" s="101" t="s">
        <v>2912</v>
      </c>
      <c r="C468" s="96"/>
      <c r="D468" s="180"/>
      <c r="E468" s="96"/>
      <c r="F468" s="96"/>
      <c r="G468" s="441">
        <f t="shared" si="202"/>
        <v>0</v>
      </c>
      <c r="H468" s="440"/>
      <c r="I468" s="441">
        <f t="shared" si="196"/>
        <v>0</v>
      </c>
      <c r="J468" s="440"/>
      <c r="K468" s="440"/>
      <c r="L468" s="440"/>
      <c r="M468" s="439">
        <f t="shared" si="211"/>
        <v>0</v>
      </c>
      <c r="N468" s="442">
        <f t="shared" si="197"/>
        <v>0</v>
      </c>
      <c r="O468" s="443">
        <f t="shared" si="212"/>
        <v>0</v>
      </c>
      <c r="P468" s="442">
        <f t="shared" si="215"/>
        <v>0</v>
      </c>
      <c r="Q468" s="443">
        <f t="shared" si="213"/>
        <v>0</v>
      </c>
      <c r="R468" s="443">
        <f t="shared" si="213"/>
        <v>0</v>
      </c>
      <c r="S468" s="443">
        <f t="shared" si="213"/>
        <v>0</v>
      </c>
      <c r="T468" s="443">
        <f t="shared" si="214"/>
        <v>0</v>
      </c>
      <c r="U468" s="442">
        <f t="shared" si="216"/>
        <v>0</v>
      </c>
      <c r="V468" s="444">
        <f t="shared" si="217"/>
        <v>0</v>
      </c>
    </row>
    <row r="469" spans="1:22" s="29" customFormat="1" hidden="1">
      <c r="A469" s="438"/>
      <c r="B469" s="101" t="s">
        <v>2536</v>
      </c>
      <c r="C469" s="96"/>
      <c r="D469" s="175"/>
      <c r="E469" s="96"/>
      <c r="F469" s="96"/>
      <c r="G469" s="441">
        <f t="shared" si="202"/>
        <v>0</v>
      </c>
      <c r="H469" s="440"/>
      <c r="I469" s="441">
        <f t="shared" si="196"/>
        <v>0</v>
      </c>
      <c r="J469" s="440"/>
      <c r="K469" s="440"/>
      <c r="L469" s="440"/>
      <c r="M469" s="439">
        <f t="shared" si="211"/>
        <v>0</v>
      </c>
      <c r="N469" s="442">
        <f t="shared" si="197"/>
        <v>0</v>
      </c>
      <c r="O469" s="443">
        <f t="shared" si="212"/>
        <v>0</v>
      </c>
      <c r="P469" s="442">
        <f t="shared" si="215"/>
        <v>0</v>
      </c>
      <c r="Q469" s="443">
        <f t="shared" si="213"/>
        <v>0</v>
      </c>
      <c r="R469" s="443">
        <f t="shared" si="213"/>
        <v>0</v>
      </c>
      <c r="S469" s="443">
        <f t="shared" si="213"/>
        <v>0</v>
      </c>
      <c r="T469" s="443">
        <f t="shared" si="214"/>
        <v>0</v>
      </c>
      <c r="U469" s="442">
        <f t="shared" si="216"/>
        <v>0</v>
      </c>
      <c r="V469" s="444">
        <f t="shared" si="217"/>
        <v>0</v>
      </c>
    </row>
    <row r="470" spans="1:22" s="29" customFormat="1" hidden="1">
      <c r="A470" s="438"/>
      <c r="B470" s="101" t="s">
        <v>2537</v>
      </c>
      <c r="C470" s="96"/>
      <c r="D470" s="175"/>
      <c r="E470" s="96"/>
      <c r="F470" s="96"/>
      <c r="G470" s="441">
        <f t="shared" si="202"/>
        <v>0</v>
      </c>
      <c r="H470" s="440"/>
      <c r="I470" s="441">
        <f t="shared" si="196"/>
        <v>0</v>
      </c>
      <c r="J470" s="440"/>
      <c r="K470" s="440"/>
      <c r="L470" s="440"/>
      <c r="M470" s="439">
        <f t="shared" si="211"/>
        <v>0</v>
      </c>
      <c r="N470" s="442">
        <f t="shared" si="197"/>
        <v>0</v>
      </c>
      <c r="O470" s="443">
        <f t="shared" si="212"/>
        <v>0</v>
      </c>
      <c r="P470" s="442">
        <f t="shared" si="215"/>
        <v>0</v>
      </c>
      <c r="Q470" s="443">
        <f t="shared" si="213"/>
        <v>0</v>
      </c>
      <c r="R470" s="443">
        <f t="shared" si="213"/>
        <v>0</v>
      </c>
      <c r="S470" s="443">
        <f t="shared" si="213"/>
        <v>0</v>
      </c>
      <c r="T470" s="443">
        <f t="shared" si="214"/>
        <v>0</v>
      </c>
      <c r="U470" s="442">
        <f t="shared" si="216"/>
        <v>0</v>
      </c>
      <c r="V470" s="444">
        <f t="shared" si="217"/>
        <v>0</v>
      </c>
    </row>
    <row r="471" spans="1:22" s="29" customFormat="1" hidden="1">
      <c r="A471" s="438"/>
      <c r="B471" s="101" t="s">
        <v>2492</v>
      </c>
      <c r="C471" s="96"/>
      <c r="D471" s="175"/>
      <c r="E471" s="96"/>
      <c r="F471" s="96"/>
      <c r="G471" s="441">
        <f t="shared" si="202"/>
        <v>0</v>
      </c>
      <c r="H471" s="440"/>
      <c r="I471" s="441">
        <f t="shared" si="196"/>
        <v>0</v>
      </c>
      <c r="J471" s="440"/>
      <c r="K471" s="440"/>
      <c r="L471" s="440"/>
      <c r="M471" s="439">
        <f t="shared" si="211"/>
        <v>0</v>
      </c>
      <c r="N471" s="442">
        <f t="shared" si="197"/>
        <v>0</v>
      </c>
      <c r="O471" s="443">
        <f t="shared" si="212"/>
        <v>0</v>
      </c>
      <c r="P471" s="442">
        <f t="shared" si="215"/>
        <v>0</v>
      </c>
      <c r="Q471" s="443">
        <f t="shared" si="213"/>
        <v>0</v>
      </c>
      <c r="R471" s="443">
        <f t="shared" si="213"/>
        <v>0</v>
      </c>
      <c r="S471" s="443">
        <f t="shared" si="213"/>
        <v>0</v>
      </c>
      <c r="T471" s="443">
        <f t="shared" si="214"/>
        <v>0</v>
      </c>
      <c r="U471" s="442">
        <f t="shared" si="216"/>
        <v>0</v>
      </c>
      <c r="V471" s="444">
        <f t="shared" si="217"/>
        <v>0</v>
      </c>
    </row>
    <row r="472" spans="1:22" s="29" customFormat="1" hidden="1">
      <c r="A472" s="434">
        <v>4</v>
      </c>
      <c r="B472" s="99" t="s">
        <v>2496</v>
      </c>
      <c r="C472" s="58">
        <f>SUM(C473:C482)</f>
        <v>0</v>
      </c>
      <c r="D472" s="176">
        <f t="shared" ref="D472:V472" si="218">SUM(D473:D482)</f>
        <v>0</v>
      </c>
      <c r="E472" s="58">
        <f t="shared" si="218"/>
        <v>0</v>
      </c>
      <c r="F472" s="58">
        <f t="shared" si="218"/>
        <v>0</v>
      </c>
      <c r="G472" s="435">
        <f t="shared" si="218"/>
        <v>0</v>
      </c>
      <c r="H472" s="436">
        <f t="shared" si="218"/>
        <v>0</v>
      </c>
      <c r="I472" s="435">
        <f t="shared" si="218"/>
        <v>0</v>
      </c>
      <c r="J472" s="436">
        <f t="shared" si="218"/>
        <v>0</v>
      </c>
      <c r="K472" s="436">
        <f t="shared" si="218"/>
        <v>0</v>
      </c>
      <c r="L472" s="436">
        <f t="shared" si="218"/>
        <v>0</v>
      </c>
      <c r="M472" s="435">
        <f t="shared" si="218"/>
        <v>0</v>
      </c>
      <c r="N472" s="437">
        <f t="shared" si="218"/>
        <v>0</v>
      </c>
      <c r="O472" s="437">
        <f t="shared" si="218"/>
        <v>0</v>
      </c>
      <c r="P472" s="437">
        <f t="shared" si="218"/>
        <v>0</v>
      </c>
      <c r="Q472" s="437">
        <f t="shared" si="218"/>
        <v>0</v>
      </c>
      <c r="R472" s="437">
        <f t="shared" si="218"/>
        <v>0</v>
      </c>
      <c r="S472" s="437">
        <f t="shared" si="218"/>
        <v>0</v>
      </c>
      <c r="T472" s="437">
        <f t="shared" si="218"/>
        <v>0</v>
      </c>
      <c r="U472" s="437">
        <f t="shared" si="218"/>
        <v>0</v>
      </c>
      <c r="V472" s="437">
        <f t="shared" si="218"/>
        <v>0</v>
      </c>
    </row>
    <row r="473" spans="1:22" s="29" customFormat="1" hidden="1">
      <c r="A473" s="438"/>
      <c r="B473" s="101" t="s">
        <v>2906</v>
      </c>
      <c r="C473" s="96"/>
      <c r="D473" s="180"/>
      <c r="E473" s="96"/>
      <c r="F473" s="96"/>
      <c r="G473" s="441">
        <f t="shared" si="202"/>
        <v>0</v>
      </c>
      <c r="H473" s="440"/>
      <c r="I473" s="441">
        <f t="shared" si="196"/>
        <v>0</v>
      </c>
      <c r="J473" s="440"/>
      <c r="K473" s="440"/>
      <c r="L473" s="440"/>
      <c r="M473" s="439">
        <f t="shared" ref="M473:M482" si="219">(H473+I473)*1%</f>
        <v>0</v>
      </c>
      <c r="N473" s="442">
        <f t="shared" si="197"/>
        <v>0</v>
      </c>
      <c r="O473" s="443">
        <f t="shared" ref="O473:O482" si="220">(H473/1.3)*1.39</f>
        <v>0</v>
      </c>
      <c r="P473" s="442">
        <f>SUM(Q473:S473)</f>
        <v>0</v>
      </c>
      <c r="Q473" s="443">
        <f t="shared" ref="Q473:S482" si="221">(J473/1.3)*1.39</f>
        <v>0</v>
      </c>
      <c r="R473" s="443">
        <f t="shared" si="221"/>
        <v>0</v>
      </c>
      <c r="S473" s="443">
        <f t="shared" si="221"/>
        <v>0</v>
      </c>
      <c r="T473" s="443">
        <f t="shared" ref="T473:T482" si="222">(O473+P473)*1%</f>
        <v>0</v>
      </c>
      <c r="U473" s="442">
        <f>T473-M473</f>
        <v>0</v>
      </c>
      <c r="V473" s="445">
        <f>U473*6</f>
        <v>0</v>
      </c>
    </row>
    <row r="474" spans="1:22" s="29" customFormat="1" hidden="1">
      <c r="A474" s="438"/>
      <c r="B474" s="101" t="s">
        <v>2907</v>
      </c>
      <c r="C474" s="96"/>
      <c r="D474" s="180"/>
      <c r="E474" s="96"/>
      <c r="F474" s="96"/>
      <c r="G474" s="441">
        <f t="shared" si="202"/>
        <v>0</v>
      </c>
      <c r="H474" s="440"/>
      <c r="I474" s="441">
        <f t="shared" si="196"/>
        <v>0</v>
      </c>
      <c r="J474" s="440"/>
      <c r="K474" s="440"/>
      <c r="L474" s="440"/>
      <c r="M474" s="439">
        <f t="shared" si="219"/>
        <v>0</v>
      </c>
      <c r="N474" s="442">
        <f t="shared" si="197"/>
        <v>0</v>
      </c>
      <c r="O474" s="443">
        <f t="shared" si="220"/>
        <v>0</v>
      </c>
      <c r="P474" s="442">
        <f t="shared" ref="P474:P482" si="223">SUM(Q474:S474)</f>
        <v>0</v>
      </c>
      <c r="Q474" s="443">
        <f t="shared" si="221"/>
        <v>0</v>
      </c>
      <c r="R474" s="443">
        <f t="shared" si="221"/>
        <v>0</v>
      </c>
      <c r="S474" s="443">
        <f t="shared" si="221"/>
        <v>0</v>
      </c>
      <c r="T474" s="443">
        <f t="shared" si="222"/>
        <v>0</v>
      </c>
      <c r="U474" s="442">
        <f t="shared" ref="U474:U482" si="224">T474-M474</f>
        <v>0</v>
      </c>
      <c r="V474" s="445">
        <f t="shared" ref="V474:V482" si="225">U474*6</f>
        <v>0</v>
      </c>
    </row>
    <row r="475" spans="1:22" s="29" customFormat="1" hidden="1">
      <c r="A475" s="438"/>
      <c r="B475" s="101" t="s">
        <v>2908</v>
      </c>
      <c r="C475" s="96"/>
      <c r="D475" s="180"/>
      <c r="E475" s="96"/>
      <c r="F475" s="96"/>
      <c r="G475" s="441">
        <f t="shared" si="202"/>
        <v>0</v>
      </c>
      <c r="H475" s="440"/>
      <c r="I475" s="441">
        <f t="shared" si="196"/>
        <v>0</v>
      </c>
      <c r="J475" s="440"/>
      <c r="K475" s="440"/>
      <c r="L475" s="440"/>
      <c r="M475" s="439">
        <f t="shared" si="219"/>
        <v>0</v>
      </c>
      <c r="N475" s="442">
        <f t="shared" si="197"/>
        <v>0</v>
      </c>
      <c r="O475" s="443">
        <f t="shared" si="220"/>
        <v>0</v>
      </c>
      <c r="P475" s="442">
        <f t="shared" si="223"/>
        <v>0</v>
      </c>
      <c r="Q475" s="443">
        <f t="shared" si="221"/>
        <v>0</v>
      </c>
      <c r="R475" s="443">
        <f t="shared" si="221"/>
        <v>0</v>
      </c>
      <c r="S475" s="443">
        <f t="shared" si="221"/>
        <v>0</v>
      </c>
      <c r="T475" s="443">
        <f t="shared" si="222"/>
        <v>0</v>
      </c>
      <c r="U475" s="442">
        <f t="shared" si="224"/>
        <v>0</v>
      </c>
      <c r="V475" s="445">
        <f t="shared" si="225"/>
        <v>0</v>
      </c>
    </row>
    <row r="476" spans="1:22" s="29" customFormat="1" hidden="1">
      <c r="A476" s="438"/>
      <c r="B476" s="101" t="s">
        <v>2909</v>
      </c>
      <c r="C476" s="96"/>
      <c r="D476" s="180"/>
      <c r="E476" s="96"/>
      <c r="F476" s="96"/>
      <c r="G476" s="441">
        <f t="shared" si="202"/>
        <v>0</v>
      </c>
      <c r="H476" s="440"/>
      <c r="I476" s="441">
        <f t="shared" si="196"/>
        <v>0</v>
      </c>
      <c r="J476" s="440"/>
      <c r="K476" s="440"/>
      <c r="L476" s="440"/>
      <c r="M476" s="439">
        <f t="shared" si="219"/>
        <v>0</v>
      </c>
      <c r="N476" s="442">
        <f t="shared" si="197"/>
        <v>0</v>
      </c>
      <c r="O476" s="443">
        <f t="shared" si="220"/>
        <v>0</v>
      </c>
      <c r="P476" s="442">
        <f t="shared" si="223"/>
        <v>0</v>
      </c>
      <c r="Q476" s="443">
        <f t="shared" si="221"/>
        <v>0</v>
      </c>
      <c r="R476" s="443">
        <f t="shared" si="221"/>
        <v>0</v>
      </c>
      <c r="S476" s="443">
        <f t="shared" si="221"/>
        <v>0</v>
      </c>
      <c r="T476" s="443">
        <f t="shared" si="222"/>
        <v>0</v>
      </c>
      <c r="U476" s="442">
        <f t="shared" si="224"/>
        <v>0</v>
      </c>
      <c r="V476" s="445">
        <f t="shared" si="225"/>
        <v>0</v>
      </c>
    </row>
    <row r="477" spans="1:22" s="29" customFormat="1" hidden="1">
      <c r="A477" s="438"/>
      <c r="B477" s="101" t="s">
        <v>2910</v>
      </c>
      <c r="C477" s="96"/>
      <c r="D477" s="180"/>
      <c r="E477" s="96"/>
      <c r="F477" s="96"/>
      <c r="G477" s="441">
        <f t="shared" si="202"/>
        <v>0</v>
      </c>
      <c r="H477" s="440"/>
      <c r="I477" s="441">
        <f t="shared" si="196"/>
        <v>0</v>
      </c>
      <c r="J477" s="440"/>
      <c r="K477" s="440"/>
      <c r="L477" s="440"/>
      <c r="M477" s="439">
        <f t="shared" si="219"/>
        <v>0</v>
      </c>
      <c r="N477" s="442">
        <f t="shared" si="197"/>
        <v>0</v>
      </c>
      <c r="O477" s="443">
        <f t="shared" si="220"/>
        <v>0</v>
      </c>
      <c r="P477" s="442">
        <f t="shared" si="223"/>
        <v>0</v>
      </c>
      <c r="Q477" s="443">
        <f t="shared" si="221"/>
        <v>0</v>
      </c>
      <c r="R477" s="443">
        <f t="shared" si="221"/>
        <v>0</v>
      </c>
      <c r="S477" s="443">
        <f t="shared" si="221"/>
        <v>0</v>
      </c>
      <c r="T477" s="443">
        <f t="shared" si="222"/>
        <v>0</v>
      </c>
      <c r="U477" s="442">
        <f t="shared" si="224"/>
        <v>0</v>
      </c>
      <c r="V477" s="445">
        <f t="shared" si="225"/>
        <v>0</v>
      </c>
    </row>
    <row r="478" spans="1:22" s="29" customFormat="1" hidden="1">
      <c r="A478" s="438"/>
      <c r="B478" s="101" t="s">
        <v>2911</v>
      </c>
      <c r="C478" s="96"/>
      <c r="D478" s="180"/>
      <c r="E478" s="96"/>
      <c r="F478" s="96"/>
      <c r="G478" s="441">
        <f t="shared" si="202"/>
        <v>0</v>
      </c>
      <c r="H478" s="440"/>
      <c r="I478" s="441">
        <f t="shared" si="196"/>
        <v>0</v>
      </c>
      <c r="J478" s="440"/>
      <c r="K478" s="440"/>
      <c r="L478" s="440"/>
      <c r="M478" s="439">
        <f t="shared" si="219"/>
        <v>0</v>
      </c>
      <c r="N478" s="442">
        <f t="shared" si="197"/>
        <v>0</v>
      </c>
      <c r="O478" s="443">
        <f t="shared" si="220"/>
        <v>0</v>
      </c>
      <c r="P478" s="442">
        <f t="shared" si="223"/>
        <v>0</v>
      </c>
      <c r="Q478" s="443">
        <f t="shared" si="221"/>
        <v>0</v>
      </c>
      <c r="R478" s="443">
        <f t="shared" si="221"/>
        <v>0</v>
      </c>
      <c r="S478" s="443">
        <f t="shared" si="221"/>
        <v>0</v>
      </c>
      <c r="T478" s="443">
        <f t="shared" si="222"/>
        <v>0</v>
      </c>
      <c r="U478" s="442">
        <f t="shared" si="224"/>
        <v>0</v>
      </c>
      <c r="V478" s="445">
        <f t="shared" si="225"/>
        <v>0</v>
      </c>
    </row>
    <row r="479" spans="1:22" s="29" customFormat="1" hidden="1">
      <c r="A479" s="438"/>
      <c r="B479" s="101" t="s">
        <v>2912</v>
      </c>
      <c r="C479" s="96"/>
      <c r="D479" s="180"/>
      <c r="E479" s="96"/>
      <c r="F479" s="96"/>
      <c r="G479" s="441">
        <f t="shared" si="202"/>
        <v>0</v>
      </c>
      <c r="H479" s="440"/>
      <c r="I479" s="441">
        <f t="shared" si="196"/>
        <v>0</v>
      </c>
      <c r="J479" s="440"/>
      <c r="K479" s="440"/>
      <c r="L479" s="440"/>
      <c r="M479" s="439">
        <f t="shared" si="219"/>
        <v>0</v>
      </c>
      <c r="N479" s="442">
        <f t="shared" si="197"/>
        <v>0</v>
      </c>
      <c r="O479" s="443">
        <f t="shared" si="220"/>
        <v>0</v>
      </c>
      <c r="P479" s="442">
        <f t="shared" si="223"/>
        <v>0</v>
      </c>
      <c r="Q479" s="443">
        <f t="shared" si="221"/>
        <v>0</v>
      </c>
      <c r="R479" s="443">
        <f t="shared" si="221"/>
        <v>0</v>
      </c>
      <c r="S479" s="443">
        <f t="shared" si="221"/>
        <v>0</v>
      </c>
      <c r="T479" s="443">
        <f t="shared" si="222"/>
        <v>0</v>
      </c>
      <c r="U479" s="442">
        <f t="shared" si="224"/>
        <v>0</v>
      </c>
      <c r="V479" s="445">
        <f t="shared" si="225"/>
        <v>0</v>
      </c>
    </row>
    <row r="480" spans="1:22" s="29" customFormat="1" hidden="1">
      <c r="A480" s="438"/>
      <c r="B480" s="101" t="s">
        <v>2536</v>
      </c>
      <c r="C480" s="96"/>
      <c r="D480" s="175"/>
      <c r="E480" s="96"/>
      <c r="F480" s="96"/>
      <c r="G480" s="441">
        <f t="shared" si="202"/>
        <v>0</v>
      </c>
      <c r="H480" s="440"/>
      <c r="I480" s="441">
        <f t="shared" si="196"/>
        <v>0</v>
      </c>
      <c r="J480" s="440"/>
      <c r="K480" s="440"/>
      <c r="L480" s="440"/>
      <c r="M480" s="439">
        <f t="shared" si="219"/>
        <v>0</v>
      </c>
      <c r="N480" s="442">
        <f t="shared" si="197"/>
        <v>0</v>
      </c>
      <c r="O480" s="443">
        <f t="shared" si="220"/>
        <v>0</v>
      </c>
      <c r="P480" s="442">
        <f t="shared" si="223"/>
        <v>0</v>
      </c>
      <c r="Q480" s="443">
        <f t="shared" si="221"/>
        <v>0</v>
      </c>
      <c r="R480" s="443">
        <f t="shared" si="221"/>
        <v>0</v>
      </c>
      <c r="S480" s="443">
        <f t="shared" si="221"/>
        <v>0</v>
      </c>
      <c r="T480" s="443">
        <f t="shared" si="222"/>
        <v>0</v>
      </c>
      <c r="U480" s="442">
        <f t="shared" si="224"/>
        <v>0</v>
      </c>
      <c r="V480" s="445">
        <f t="shared" si="225"/>
        <v>0</v>
      </c>
    </row>
    <row r="481" spans="1:22" s="29" customFormat="1" hidden="1">
      <c r="A481" s="438"/>
      <c r="B481" s="101" t="s">
        <v>2537</v>
      </c>
      <c r="C481" s="96"/>
      <c r="D481" s="175"/>
      <c r="E481" s="96"/>
      <c r="F481" s="96"/>
      <c r="G481" s="441">
        <f t="shared" si="202"/>
        <v>0</v>
      </c>
      <c r="H481" s="440"/>
      <c r="I481" s="441">
        <f t="shared" si="196"/>
        <v>0</v>
      </c>
      <c r="J481" s="440"/>
      <c r="K481" s="440"/>
      <c r="L481" s="440"/>
      <c r="M481" s="439">
        <f t="shared" si="219"/>
        <v>0</v>
      </c>
      <c r="N481" s="442">
        <f t="shared" si="197"/>
        <v>0</v>
      </c>
      <c r="O481" s="443">
        <f t="shared" si="220"/>
        <v>0</v>
      </c>
      <c r="P481" s="442">
        <f t="shared" si="223"/>
        <v>0</v>
      </c>
      <c r="Q481" s="443">
        <f t="shared" si="221"/>
        <v>0</v>
      </c>
      <c r="R481" s="443">
        <f t="shared" si="221"/>
        <v>0</v>
      </c>
      <c r="S481" s="443">
        <f t="shared" si="221"/>
        <v>0</v>
      </c>
      <c r="T481" s="443">
        <f t="shared" si="222"/>
        <v>0</v>
      </c>
      <c r="U481" s="442">
        <f t="shared" si="224"/>
        <v>0</v>
      </c>
      <c r="V481" s="445">
        <f t="shared" si="225"/>
        <v>0</v>
      </c>
    </row>
    <row r="482" spans="1:22" s="29" customFormat="1" hidden="1">
      <c r="A482" s="438"/>
      <c r="B482" s="101" t="s">
        <v>2492</v>
      </c>
      <c r="C482" s="96"/>
      <c r="D482" s="180"/>
      <c r="E482" s="96"/>
      <c r="F482" s="96"/>
      <c r="G482" s="441">
        <f t="shared" si="202"/>
        <v>0</v>
      </c>
      <c r="H482" s="440"/>
      <c r="I482" s="441">
        <f t="shared" si="196"/>
        <v>0</v>
      </c>
      <c r="J482" s="440"/>
      <c r="K482" s="440"/>
      <c r="L482" s="440"/>
      <c r="M482" s="439">
        <f t="shared" si="219"/>
        <v>0</v>
      </c>
      <c r="N482" s="442">
        <f t="shared" si="197"/>
        <v>0</v>
      </c>
      <c r="O482" s="443">
        <f t="shared" si="220"/>
        <v>0</v>
      </c>
      <c r="P482" s="442">
        <f t="shared" si="223"/>
        <v>0</v>
      </c>
      <c r="Q482" s="443">
        <f t="shared" si="221"/>
        <v>0</v>
      </c>
      <c r="R482" s="443">
        <f t="shared" si="221"/>
        <v>0</v>
      </c>
      <c r="S482" s="443">
        <f t="shared" si="221"/>
        <v>0</v>
      </c>
      <c r="T482" s="443">
        <f t="shared" si="222"/>
        <v>0</v>
      </c>
      <c r="U482" s="442">
        <f t="shared" si="224"/>
        <v>0</v>
      </c>
      <c r="V482" s="445">
        <f t="shared" si="225"/>
        <v>0</v>
      </c>
    </row>
    <row r="483" spans="1:22" s="29" customFormat="1" hidden="1">
      <c r="A483" s="434">
        <v>5</v>
      </c>
      <c r="B483" s="99" t="s">
        <v>2497</v>
      </c>
      <c r="C483" s="58">
        <f>SUM(C484:C493)</f>
        <v>0</v>
      </c>
      <c r="D483" s="176">
        <f t="shared" ref="D483:V483" si="226">SUM(D484:D493)</f>
        <v>0</v>
      </c>
      <c r="E483" s="58">
        <f t="shared" si="226"/>
        <v>0</v>
      </c>
      <c r="F483" s="58">
        <f t="shared" si="226"/>
        <v>0</v>
      </c>
      <c r="G483" s="435">
        <f t="shared" si="226"/>
        <v>0</v>
      </c>
      <c r="H483" s="436">
        <f t="shared" si="226"/>
        <v>0</v>
      </c>
      <c r="I483" s="435">
        <f t="shared" si="226"/>
        <v>0</v>
      </c>
      <c r="J483" s="436">
        <f t="shared" si="226"/>
        <v>0</v>
      </c>
      <c r="K483" s="436">
        <f t="shared" si="226"/>
        <v>0</v>
      </c>
      <c r="L483" s="436">
        <f t="shared" si="226"/>
        <v>0</v>
      </c>
      <c r="M483" s="435">
        <f t="shared" si="226"/>
        <v>0</v>
      </c>
      <c r="N483" s="437">
        <f t="shared" si="226"/>
        <v>0</v>
      </c>
      <c r="O483" s="437">
        <f t="shared" si="226"/>
        <v>0</v>
      </c>
      <c r="P483" s="437">
        <f t="shared" si="226"/>
        <v>0</v>
      </c>
      <c r="Q483" s="437">
        <f t="shared" si="226"/>
        <v>0</v>
      </c>
      <c r="R483" s="437">
        <f t="shared" si="226"/>
        <v>0</v>
      </c>
      <c r="S483" s="437">
        <f t="shared" si="226"/>
        <v>0</v>
      </c>
      <c r="T483" s="437">
        <f t="shared" si="226"/>
        <v>0</v>
      </c>
      <c r="U483" s="437">
        <f t="shared" si="226"/>
        <v>0</v>
      </c>
      <c r="V483" s="437">
        <f t="shared" si="226"/>
        <v>0</v>
      </c>
    </row>
    <row r="484" spans="1:22" s="29" customFormat="1" hidden="1">
      <c r="A484" s="438"/>
      <c r="B484" s="101" t="s">
        <v>2906</v>
      </c>
      <c r="C484" s="103"/>
      <c r="D484" s="175"/>
      <c r="E484" s="103"/>
      <c r="F484" s="103"/>
      <c r="G484" s="441">
        <f t="shared" si="202"/>
        <v>0</v>
      </c>
      <c r="H484" s="440"/>
      <c r="I484" s="441">
        <f t="shared" si="196"/>
        <v>0</v>
      </c>
      <c r="J484" s="440"/>
      <c r="K484" s="440"/>
      <c r="L484" s="440"/>
      <c r="M484" s="439">
        <f t="shared" ref="M484:M493" si="227">(H484+I484)*1%</f>
        <v>0</v>
      </c>
      <c r="N484" s="442">
        <f t="shared" si="197"/>
        <v>0</v>
      </c>
      <c r="O484" s="443">
        <f t="shared" ref="O484:O493" si="228">(H484/1.3)*1.39</f>
        <v>0</v>
      </c>
      <c r="P484" s="442">
        <f>SUM(Q484:S484)</f>
        <v>0</v>
      </c>
      <c r="Q484" s="443">
        <f t="shared" ref="Q484:S493" si="229">(J484/1.3)*1.39</f>
        <v>0</v>
      </c>
      <c r="R484" s="443">
        <f t="shared" si="229"/>
        <v>0</v>
      </c>
      <c r="S484" s="443">
        <f t="shared" si="229"/>
        <v>0</v>
      </c>
      <c r="T484" s="443">
        <f t="shared" ref="T484:T493" si="230">(O484+P484)*1%</f>
        <v>0</v>
      </c>
      <c r="U484" s="442">
        <f>T484-M484</f>
        <v>0</v>
      </c>
      <c r="V484" s="444">
        <f>U484*6</f>
        <v>0</v>
      </c>
    </row>
    <row r="485" spans="1:22" s="29" customFormat="1" hidden="1">
      <c r="A485" s="438"/>
      <c r="B485" s="101" t="s">
        <v>2907</v>
      </c>
      <c r="C485" s="103"/>
      <c r="D485" s="180"/>
      <c r="E485" s="103"/>
      <c r="F485" s="103"/>
      <c r="G485" s="441">
        <f t="shared" si="202"/>
        <v>0</v>
      </c>
      <c r="H485" s="440"/>
      <c r="I485" s="441">
        <f t="shared" si="196"/>
        <v>0</v>
      </c>
      <c r="J485" s="440"/>
      <c r="K485" s="440"/>
      <c r="L485" s="440"/>
      <c r="M485" s="439">
        <f t="shared" si="227"/>
        <v>0</v>
      </c>
      <c r="N485" s="442">
        <f t="shared" si="197"/>
        <v>0</v>
      </c>
      <c r="O485" s="443">
        <f t="shared" si="228"/>
        <v>0</v>
      </c>
      <c r="P485" s="442">
        <f t="shared" ref="P485:P493" si="231">SUM(Q485:S485)</f>
        <v>0</v>
      </c>
      <c r="Q485" s="443">
        <f t="shared" si="229"/>
        <v>0</v>
      </c>
      <c r="R485" s="443">
        <f t="shared" si="229"/>
        <v>0</v>
      </c>
      <c r="S485" s="443">
        <f t="shared" si="229"/>
        <v>0</v>
      </c>
      <c r="T485" s="443">
        <f t="shared" si="230"/>
        <v>0</v>
      </c>
      <c r="U485" s="442">
        <f t="shared" ref="U485:U493" si="232">T485-M485</f>
        <v>0</v>
      </c>
      <c r="V485" s="444">
        <f t="shared" ref="V485:V493" si="233">U485*6</f>
        <v>0</v>
      </c>
    </row>
    <row r="486" spans="1:22" s="29" customFormat="1" hidden="1">
      <c r="A486" s="438"/>
      <c r="B486" s="101" t="s">
        <v>2908</v>
      </c>
      <c r="C486" s="103"/>
      <c r="D486" s="180"/>
      <c r="E486" s="103"/>
      <c r="F486" s="103"/>
      <c r="G486" s="441">
        <f t="shared" si="202"/>
        <v>0</v>
      </c>
      <c r="H486" s="440"/>
      <c r="I486" s="441">
        <f t="shared" si="196"/>
        <v>0</v>
      </c>
      <c r="J486" s="440"/>
      <c r="K486" s="440"/>
      <c r="L486" s="440"/>
      <c r="M486" s="439">
        <f t="shared" si="227"/>
        <v>0</v>
      </c>
      <c r="N486" s="442">
        <f t="shared" si="197"/>
        <v>0</v>
      </c>
      <c r="O486" s="443">
        <f t="shared" si="228"/>
        <v>0</v>
      </c>
      <c r="P486" s="442">
        <f t="shared" si="231"/>
        <v>0</v>
      </c>
      <c r="Q486" s="443">
        <f t="shared" si="229"/>
        <v>0</v>
      </c>
      <c r="R486" s="443">
        <f t="shared" si="229"/>
        <v>0</v>
      </c>
      <c r="S486" s="443">
        <f t="shared" si="229"/>
        <v>0</v>
      </c>
      <c r="T486" s="443">
        <f t="shared" si="230"/>
        <v>0</v>
      </c>
      <c r="U486" s="442">
        <f t="shared" si="232"/>
        <v>0</v>
      </c>
      <c r="V486" s="444">
        <f t="shared" si="233"/>
        <v>0</v>
      </c>
    </row>
    <row r="487" spans="1:22" s="29" customFormat="1" hidden="1">
      <c r="A487" s="438"/>
      <c r="B487" s="101" t="s">
        <v>2909</v>
      </c>
      <c r="C487" s="103"/>
      <c r="D487" s="175"/>
      <c r="E487" s="103"/>
      <c r="F487" s="103"/>
      <c r="G487" s="441">
        <f t="shared" si="202"/>
        <v>0</v>
      </c>
      <c r="H487" s="440"/>
      <c r="I487" s="441">
        <f t="shared" si="196"/>
        <v>0</v>
      </c>
      <c r="J487" s="440"/>
      <c r="K487" s="440"/>
      <c r="L487" s="440"/>
      <c r="M487" s="439">
        <f t="shared" si="227"/>
        <v>0</v>
      </c>
      <c r="N487" s="442">
        <f t="shared" si="197"/>
        <v>0</v>
      </c>
      <c r="O487" s="443">
        <f t="shared" si="228"/>
        <v>0</v>
      </c>
      <c r="P487" s="442">
        <f t="shared" si="231"/>
        <v>0</v>
      </c>
      <c r="Q487" s="443">
        <f t="shared" si="229"/>
        <v>0</v>
      </c>
      <c r="R487" s="443">
        <f t="shared" si="229"/>
        <v>0</v>
      </c>
      <c r="S487" s="443">
        <f t="shared" si="229"/>
        <v>0</v>
      </c>
      <c r="T487" s="443">
        <f t="shared" si="230"/>
        <v>0</v>
      </c>
      <c r="U487" s="442">
        <f t="shared" si="232"/>
        <v>0</v>
      </c>
      <c r="V487" s="444">
        <f t="shared" si="233"/>
        <v>0</v>
      </c>
    </row>
    <row r="488" spans="1:22" s="29" customFormat="1" hidden="1">
      <c r="A488" s="438"/>
      <c r="B488" s="101" t="s">
        <v>2910</v>
      </c>
      <c r="C488" s="103"/>
      <c r="D488" s="180"/>
      <c r="E488" s="103"/>
      <c r="F488" s="103"/>
      <c r="G488" s="441">
        <f t="shared" si="202"/>
        <v>0</v>
      </c>
      <c r="H488" s="440"/>
      <c r="I488" s="441">
        <f t="shared" si="196"/>
        <v>0</v>
      </c>
      <c r="J488" s="440"/>
      <c r="K488" s="440"/>
      <c r="L488" s="440"/>
      <c r="M488" s="439">
        <f t="shared" si="227"/>
        <v>0</v>
      </c>
      <c r="N488" s="442">
        <f t="shared" si="197"/>
        <v>0</v>
      </c>
      <c r="O488" s="443">
        <f t="shared" si="228"/>
        <v>0</v>
      </c>
      <c r="P488" s="442">
        <f t="shared" si="231"/>
        <v>0</v>
      </c>
      <c r="Q488" s="443">
        <f t="shared" si="229"/>
        <v>0</v>
      </c>
      <c r="R488" s="443">
        <f t="shared" si="229"/>
        <v>0</v>
      </c>
      <c r="S488" s="443">
        <f t="shared" si="229"/>
        <v>0</v>
      </c>
      <c r="T488" s="443">
        <f t="shared" si="230"/>
        <v>0</v>
      </c>
      <c r="U488" s="442">
        <f t="shared" si="232"/>
        <v>0</v>
      </c>
      <c r="V488" s="444">
        <f t="shared" si="233"/>
        <v>0</v>
      </c>
    </row>
    <row r="489" spans="1:22" s="29" customFormat="1" hidden="1">
      <c r="A489" s="438"/>
      <c r="B489" s="101" t="s">
        <v>2911</v>
      </c>
      <c r="C489" s="103"/>
      <c r="D489" s="180"/>
      <c r="E489" s="103"/>
      <c r="F489" s="103"/>
      <c r="G489" s="441">
        <f t="shared" si="202"/>
        <v>0</v>
      </c>
      <c r="H489" s="440"/>
      <c r="I489" s="441">
        <f t="shared" si="196"/>
        <v>0</v>
      </c>
      <c r="J489" s="440"/>
      <c r="K489" s="440"/>
      <c r="L489" s="440"/>
      <c r="M489" s="439">
        <f t="shared" si="227"/>
        <v>0</v>
      </c>
      <c r="N489" s="442">
        <f t="shared" si="197"/>
        <v>0</v>
      </c>
      <c r="O489" s="443">
        <f t="shared" si="228"/>
        <v>0</v>
      </c>
      <c r="P489" s="442">
        <f t="shared" si="231"/>
        <v>0</v>
      </c>
      <c r="Q489" s="443">
        <f t="shared" si="229"/>
        <v>0</v>
      </c>
      <c r="R489" s="443">
        <f t="shared" si="229"/>
        <v>0</v>
      </c>
      <c r="S489" s="443">
        <f t="shared" si="229"/>
        <v>0</v>
      </c>
      <c r="T489" s="443">
        <f t="shared" si="230"/>
        <v>0</v>
      </c>
      <c r="U489" s="442">
        <f t="shared" si="232"/>
        <v>0</v>
      </c>
      <c r="V489" s="444">
        <f t="shared" si="233"/>
        <v>0</v>
      </c>
    </row>
    <row r="490" spans="1:22" s="29" customFormat="1" hidden="1">
      <c r="A490" s="438"/>
      <c r="B490" s="101" t="s">
        <v>2912</v>
      </c>
      <c r="C490" s="103"/>
      <c r="D490" s="180"/>
      <c r="E490" s="103"/>
      <c r="F490" s="103"/>
      <c r="G490" s="441">
        <f t="shared" si="202"/>
        <v>0</v>
      </c>
      <c r="H490" s="440"/>
      <c r="I490" s="441">
        <f t="shared" si="196"/>
        <v>0</v>
      </c>
      <c r="J490" s="440"/>
      <c r="K490" s="440"/>
      <c r="L490" s="440"/>
      <c r="M490" s="439">
        <f t="shared" si="227"/>
        <v>0</v>
      </c>
      <c r="N490" s="442">
        <f t="shared" si="197"/>
        <v>0</v>
      </c>
      <c r="O490" s="443">
        <f t="shared" si="228"/>
        <v>0</v>
      </c>
      <c r="P490" s="442">
        <f t="shared" si="231"/>
        <v>0</v>
      </c>
      <c r="Q490" s="443">
        <f t="shared" si="229"/>
        <v>0</v>
      </c>
      <c r="R490" s="443">
        <f t="shared" si="229"/>
        <v>0</v>
      </c>
      <c r="S490" s="443">
        <f t="shared" si="229"/>
        <v>0</v>
      </c>
      <c r="T490" s="443">
        <f t="shared" si="230"/>
        <v>0</v>
      </c>
      <c r="U490" s="442">
        <f t="shared" si="232"/>
        <v>0</v>
      </c>
      <c r="V490" s="444">
        <f t="shared" si="233"/>
        <v>0</v>
      </c>
    </row>
    <row r="491" spans="1:22" s="29" customFormat="1" hidden="1">
      <c r="A491" s="438"/>
      <c r="B491" s="101" t="s">
        <v>2536</v>
      </c>
      <c r="C491" s="103"/>
      <c r="D491" s="175"/>
      <c r="E491" s="103"/>
      <c r="F491" s="103"/>
      <c r="G491" s="441">
        <f t="shared" si="202"/>
        <v>0</v>
      </c>
      <c r="H491" s="440"/>
      <c r="I491" s="441">
        <f t="shared" si="196"/>
        <v>0</v>
      </c>
      <c r="J491" s="440"/>
      <c r="K491" s="440"/>
      <c r="L491" s="440"/>
      <c r="M491" s="439">
        <f t="shared" si="227"/>
        <v>0</v>
      </c>
      <c r="N491" s="442">
        <f t="shared" si="197"/>
        <v>0</v>
      </c>
      <c r="O491" s="443">
        <f t="shared" si="228"/>
        <v>0</v>
      </c>
      <c r="P491" s="442">
        <f t="shared" si="231"/>
        <v>0</v>
      </c>
      <c r="Q491" s="443">
        <f t="shared" si="229"/>
        <v>0</v>
      </c>
      <c r="R491" s="443">
        <f t="shared" si="229"/>
        <v>0</v>
      </c>
      <c r="S491" s="443">
        <f t="shared" si="229"/>
        <v>0</v>
      </c>
      <c r="T491" s="443">
        <f t="shared" si="230"/>
        <v>0</v>
      </c>
      <c r="U491" s="442">
        <f t="shared" si="232"/>
        <v>0</v>
      </c>
      <c r="V491" s="444">
        <f t="shared" si="233"/>
        <v>0</v>
      </c>
    </row>
    <row r="492" spans="1:22" s="29" customFormat="1" hidden="1">
      <c r="A492" s="438"/>
      <c r="B492" s="101" t="s">
        <v>2537</v>
      </c>
      <c r="C492" s="103"/>
      <c r="D492" s="175"/>
      <c r="E492" s="103"/>
      <c r="F492" s="103"/>
      <c r="G492" s="441">
        <f t="shared" si="202"/>
        <v>0</v>
      </c>
      <c r="H492" s="440"/>
      <c r="I492" s="441">
        <f t="shared" si="196"/>
        <v>0</v>
      </c>
      <c r="J492" s="440"/>
      <c r="K492" s="440"/>
      <c r="L492" s="440"/>
      <c r="M492" s="439">
        <f t="shared" si="227"/>
        <v>0</v>
      </c>
      <c r="N492" s="442">
        <f t="shared" si="197"/>
        <v>0</v>
      </c>
      <c r="O492" s="443">
        <f t="shared" si="228"/>
        <v>0</v>
      </c>
      <c r="P492" s="442">
        <f t="shared" si="231"/>
        <v>0</v>
      </c>
      <c r="Q492" s="443">
        <f t="shared" si="229"/>
        <v>0</v>
      </c>
      <c r="R492" s="443">
        <f t="shared" si="229"/>
        <v>0</v>
      </c>
      <c r="S492" s="443">
        <f t="shared" si="229"/>
        <v>0</v>
      </c>
      <c r="T492" s="443">
        <f t="shared" si="230"/>
        <v>0</v>
      </c>
      <c r="U492" s="442">
        <f t="shared" si="232"/>
        <v>0</v>
      </c>
      <c r="V492" s="444">
        <f t="shared" si="233"/>
        <v>0</v>
      </c>
    </row>
    <row r="493" spans="1:22" s="29" customFormat="1" hidden="1">
      <c r="A493" s="438"/>
      <c r="B493" s="101" t="s">
        <v>2492</v>
      </c>
      <c r="C493" s="103"/>
      <c r="D493" s="180"/>
      <c r="E493" s="103"/>
      <c r="F493" s="103"/>
      <c r="G493" s="441">
        <f t="shared" si="202"/>
        <v>0</v>
      </c>
      <c r="H493" s="440"/>
      <c r="I493" s="441">
        <f t="shared" si="196"/>
        <v>0</v>
      </c>
      <c r="J493" s="440"/>
      <c r="K493" s="440"/>
      <c r="L493" s="440"/>
      <c r="M493" s="439">
        <f t="shared" si="227"/>
        <v>0</v>
      </c>
      <c r="N493" s="442">
        <f t="shared" si="197"/>
        <v>0</v>
      </c>
      <c r="O493" s="443">
        <f t="shared" si="228"/>
        <v>0</v>
      </c>
      <c r="P493" s="442">
        <f t="shared" si="231"/>
        <v>0</v>
      </c>
      <c r="Q493" s="443">
        <f t="shared" si="229"/>
        <v>0</v>
      </c>
      <c r="R493" s="443">
        <f t="shared" si="229"/>
        <v>0</v>
      </c>
      <c r="S493" s="443">
        <f t="shared" si="229"/>
        <v>0</v>
      </c>
      <c r="T493" s="443">
        <f t="shared" si="230"/>
        <v>0</v>
      </c>
      <c r="U493" s="442">
        <f t="shared" si="232"/>
        <v>0</v>
      </c>
      <c r="V493" s="444">
        <f t="shared" si="233"/>
        <v>0</v>
      </c>
    </row>
    <row r="494" spans="1:22" s="29" customFormat="1" hidden="1">
      <c r="A494" s="434">
        <v>6</v>
      </c>
      <c r="B494" s="99" t="s">
        <v>2498</v>
      </c>
      <c r="C494" s="58">
        <f>SUM(C495:C504)</f>
        <v>0</v>
      </c>
      <c r="D494" s="176">
        <f t="shared" ref="D494:V494" si="234">SUM(D495:D504)</f>
        <v>0</v>
      </c>
      <c r="E494" s="58">
        <f t="shared" si="234"/>
        <v>0</v>
      </c>
      <c r="F494" s="58">
        <f t="shared" si="234"/>
        <v>0</v>
      </c>
      <c r="G494" s="435">
        <f t="shared" si="234"/>
        <v>0</v>
      </c>
      <c r="H494" s="436">
        <f t="shared" si="234"/>
        <v>0</v>
      </c>
      <c r="I494" s="435">
        <f t="shared" si="234"/>
        <v>0</v>
      </c>
      <c r="J494" s="436">
        <f t="shared" si="234"/>
        <v>0</v>
      </c>
      <c r="K494" s="436">
        <f t="shared" si="234"/>
        <v>0</v>
      </c>
      <c r="L494" s="436">
        <f t="shared" si="234"/>
        <v>0</v>
      </c>
      <c r="M494" s="435">
        <f t="shared" si="234"/>
        <v>0</v>
      </c>
      <c r="N494" s="437">
        <f t="shared" si="234"/>
        <v>0</v>
      </c>
      <c r="O494" s="437">
        <f t="shared" si="234"/>
        <v>0</v>
      </c>
      <c r="P494" s="437">
        <f t="shared" si="234"/>
        <v>0</v>
      </c>
      <c r="Q494" s="437">
        <f t="shared" si="234"/>
        <v>0</v>
      </c>
      <c r="R494" s="437">
        <f t="shared" si="234"/>
        <v>0</v>
      </c>
      <c r="S494" s="437">
        <f t="shared" si="234"/>
        <v>0</v>
      </c>
      <c r="T494" s="437">
        <f t="shared" si="234"/>
        <v>0</v>
      </c>
      <c r="U494" s="437">
        <f t="shared" si="234"/>
        <v>0</v>
      </c>
      <c r="V494" s="437">
        <f t="shared" si="234"/>
        <v>0</v>
      </c>
    </row>
    <row r="495" spans="1:22" s="65" customFormat="1" hidden="1">
      <c r="A495" s="438"/>
      <c r="B495" s="101" t="s">
        <v>2906</v>
      </c>
      <c r="C495" s="96"/>
      <c r="D495" s="180"/>
      <c r="E495" s="96"/>
      <c r="F495" s="96"/>
      <c r="G495" s="441">
        <f t="shared" si="202"/>
        <v>0</v>
      </c>
      <c r="H495" s="440"/>
      <c r="I495" s="441">
        <f t="shared" si="196"/>
        <v>0</v>
      </c>
      <c r="J495" s="440"/>
      <c r="K495" s="440"/>
      <c r="L495" s="440"/>
      <c r="M495" s="439">
        <f t="shared" ref="M495:M504" si="235">(H495+I495)*1%</f>
        <v>0</v>
      </c>
      <c r="N495" s="442">
        <f t="shared" si="197"/>
        <v>0</v>
      </c>
      <c r="O495" s="443">
        <f t="shared" ref="O495:O504" si="236">(H495/1.3)*1.39</f>
        <v>0</v>
      </c>
      <c r="P495" s="442">
        <f>SUM(Q495:S495)</f>
        <v>0</v>
      </c>
      <c r="Q495" s="443">
        <f t="shared" ref="Q495:S504" si="237">(J495/1.3)*1.39</f>
        <v>0</v>
      </c>
      <c r="R495" s="443">
        <f t="shared" si="237"/>
        <v>0</v>
      </c>
      <c r="S495" s="443">
        <f t="shared" si="237"/>
        <v>0</v>
      </c>
      <c r="T495" s="443">
        <f t="shared" ref="T495:T504" si="238">(O495+P495)*1%</f>
        <v>0</v>
      </c>
      <c r="U495" s="442">
        <f>T495-M495</f>
        <v>0</v>
      </c>
      <c r="V495" s="444">
        <f>U495*6</f>
        <v>0</v>
      </c>
    </row>
    <row r="496" spans="1:22" s="29" customFormat="1" hidden="1">
      <c r="A496" s="438"/>
      <c r="B496" s="101" t="s">
        <v>2907</v>
      </c>
      <c r="C496" s="96"/>
      <c r="D496" s="180"/>
      <c r="E496" s="96"/>
      <c r="F496" s="96"/>
      <c r="G496" s="441">
        <f t="shared" si="202"/>
        <v>0</v>
      </c>
      <c r="H496" s="440"/>
      <c r="I496" s="441">
        <f t="shared" si="196"/>
        <v>0</v>
      </c>
      <c r="J496" s="440"/>
      <c r="K496" s="440"/>
      <c r="L496" s="440"/>
      <c r="M496" s="439">
        <f t="shared" si="235"/>
        <v>0</v>
      </c>
      <c r="N496" s="442">
        <f t="shared" si="197"/>
        <v>0</v>
      </c>
      <c r="O496" s="443">
        <f t="shared" si="236"/>
        <v>0</v>
      </c>
      <c r="P496" s="442">
        <f t="shared" ref="P496:P504" si="239">SUM(Q496:S496)</f>
        <v>0</v>
      </c>
      <c r="Q496" s="443">
        <f t="shared" si="237"/>
        <v>0</v>
      </c>
      <c r="R496" s="443">
        <f t="shared" si="237"/>
        <v>0</v>
      </c>
      <c r="S496" s="443">
        <f t="shared" si="237"/>
        <v>0</v>
      </c>
      <c r="T496" s="443">
        <f t="shared" si="238"/>
        <v>0</v>
      </c>
      <c r="U496" s="442">
        <f t="shared" ref="U496:U504" si="240">T496-M496</f>
        <v>0</v>
      </c>
      <c r="V496" s="444">
        <f t="shared" ref="V496:V504" si="241">U496*6</f>
        <v>0</v>
      </c>
    </row>
    <row r="497" spans="1:22" s="29" customFormat="1" hidden="1">
      <c r="A497" s="438"/>
      <c r="B497" s="101" t="s">
        <v>2908</v>
      </c>
      <c r="C497" s="96"/>
      <c r="D497" s="180"/>
      <c r="E497" s="96"/>
      <c r="F497" s="96"/>
      <c r="G497" s="441">
        <f t="shared" si="202"/>
        <v>0</v>
      </c>
      <c r="H497" s="440"/>
      <c r="I497" s="441">
        <f t="shared" si="196"/>
        <v>0</v>
      </c>
      <c r="J497" s="440"/>
      <c r="K497" s="440"/>
      <c r="L497" s="440"/>
      <c r="M497" s="439">
        <f t="shared" si="235"/>
        <v>0</v>
      </c>
      <c r="N497" s="442">
        <f t="shared" si="197"/>
        <v>0</v>
      </c>
      <c r="O497" s="443">
        <f t="shared" si="236"/>
        <v>0</v>
      </c>
      <c r="P497" s="442">
        <f t="shared" si="239"/>
        <v>0</v>
      </c>
      <c r="Q497" s="443">
        <f t="shared" si="237"/>
        <v>0</v>
      </c>
      <c r="R497" s="443">
        <f t="shared" si="237"/>
        <v>0</v>
      </c>
      <c r="S497" s="443">
        <f t="shared" si="237"/>
        <v>0</v>
      </c>
      <c r="T497" s="443">
        <f t="shared" si="238"/>
        <v>0</v>
      </c>
      <c r="U497" s="442">
        <f t="shared" si="240"/>
        <v>0</v>
      </c>
      <c r="V497" s="444">
        <f t="shared" si="241"/>
        <v>0</v>
      </c>
    </row>
    <row r="498" spans="1:22" s="29" customFormat="1" hidden="1">
      <c r="A498" s="438"/>
      <c r="B498" s="101" t="s">
        <v>2909</v>
      </c>
      <c r="C498" s="96"/>
      <c r="D498" s="180"/>
      <c r="E498" s="96"/>
      <c r="F498" s="96"/>
      <c r="G498" s="441">
        <f t="shared" si="202"/>
        <v>0</v>
      </c>
      <c r="H498" s="440"/>
      <c r="I498" s="441">
        <f t="shared" si="196"/>
        <v>0</v>
      </c>
      <c r="J498" s="440"/>
      <c r="K498" s="440"/>
      <c r="L498" s="440"/>
      <c r="M498" s="439">
        <f t="shared" si="235"/>
        <v>0</v>
      </c>
      <c r="N498" s="442">
        <f t="shared" si="197"/>
        <v>0</v>
      </c>
      <c r="O498" s="443">
        <f t="shared" si="236"/>
        <v>0</v>
      </c>
      <c r="P498" s="442">
        <f t="shared" si="239"/>
        <v>0</v>
      </c>
      <c r="Q498" s="443">
        <f t="shared" si="237"/>
        <v>0</v>
      </c>
      <c r="R498" s="443">
        <f t="shared" si="237"/>
        <v>0</v>
      </c>
      <c r="S498" s="443">
        <f t="shared" si="237"/>
        <v>0</v>
      </c>
      <c r="T498" s="443">
        <f t="shared" si="238"/>
        <v>0</v>
      </c>
      <c r="U498" s="442">
        <f t="shared" si="240"/>
        <v>0</v>
      </c>
      <c r="V498" s="444">
        <f t="shared" si="241"/>
        <v>0</v>
      </c>
    </row>
    <row r="499" spans="1:22" s="29" customFormat="1" hidden="1">
      <c r="A499" s="438"/>
      <c r="B499" s="101" t="s">
        <v>2910</v>
      </c>
      <c r="C499" s="96"/>
      <c r="D499" s="180"/>
      <c r="E499" s="96"/>
      <c r="F499" s="96"/>
      <c r="G499" s="441">
        <f t="shared" si="202"/>
        <v>0</v>
      </c>
      <c r="H499" s="440"/>
      <c r="I499" s="441">
        <f t="shared" si="196"/>
        <v>0</v>
      </c>
      <c r="J499" s="440"/>
      <c r="K499" s="440"/>
      <c r="L499" s="440"/>
      <c r="M499" s="439">
        <f t="shared" si="235"/>
        <v>0</v>
      </c>
      <c r="N499" s="442">
        <f t="shared" si="197"/>
        <v>0</v>
      </c>
      <c r="O499" s="443">
        <f t="shared" si="236"/>
        <v>0</v>
      </c>
      <c r="P499" s="442">
        <f t="shared" si="239"/>
        <v>0</v>
      </c>
      <c r="Q499" s="443">
        <f t="shared" si="237"/>
        <v>0</v>
      </c>
      <c r="R499" s="443">
        <f t="shared" si="237"/>
        <v>0</v>
      </c>
      <c r="S499" s="443">
        <f t="shared" si="237"/>
        <v>0</v>
      </c>
      <c r="T499" s="443">
        <f t="shared" si="238"/>
        <v>0</v>
      </c>
      <c r="U499" s="442">
        <f t="shared" si="240"/>
        <v>0</v>
      </c>
      <c r="V499" s="444">
        <f t="shared" si="241"/>
        <v>0</v>
      </c>
    </row>
    <row r="500" spans="1:22" s="29" customFormat="1" hidden="1">
      <c r="A500" s="438"/>
      <c r="B500" s="101" t="s">
        <v>2911</v>
      </c>
      <c r="C500" s="96"/>
      <c r="D500" s="180"/>
      <c r="E500" s="96"/>
      <c r="F500" s="96"/>
      <c r="G500" s="441">
        <f t="shared" si="202"/>
        <v>0</v>
      </c>
      <c r="H500" s="440"/>
      <c r="I500" s="441">
        <f t="shared" si="196"/>
        <v>0</v>
      </c>
      <c r="J500" s="440"/>
      <c r="K500" s="440"/>
      <c r="L500" s="440"/>
      <c r="M500" s="439">
        <f t="shared" si="235"/>
        <v>0</v>
      </c>
      <c r="N500" s="442">
        <f t="shared" si="197"/>
        <v>0</v>
      </c>
      <c r="O500" s="443">
        <f t="shared" si="236"/>
        <v>0</v>
      </c>
      <c r="P500" s="442">
        <f t="shared" si="239"/>
        <v>0</v>
      </c>
      <c r="Q500" s="443">
        <f t="shared" si="237"/>
        <v>0</v>
      </c>
      <c r="R500" s="443">
        <f t="shared" si="237"/>
        <v>0</v>
      </c>
      <c r="S500" s="443">
        <f t="shared" si="237"/>
        <v>0</v>
      </c>
      <c r="T500" s="443">
        <f t="shared" si="238"/>
        <v>0</v>
      </c>
      <c r="U500" s="442">
        <f t="shared" si="240"/>
        <v>0</v>
      </c>
      <c r="V500" s="444">
        <f t="shared" si="241"/>
        <v>0</v>
      </c>
    </row>
    <row r="501" spans="1:22" s="29" customFormat="1" hidden="1">
      <c r="A501" s="438"/>
      <c r="B501" s="101" t="s">
        <v>2912</v>
      </c>
      <c r="C501" s="96"/>
      <c r="D501" s="180"/>
      <c r="E501" s="96"/>
      <c r="F501" s="96"/>
      <c r="G501" s="441">
        <f t="shared" si="202"/>
        <v>0</v>
      </c>
      <c r="H501" s="440"/>
      <c r="I501" s="441">
        <f t="shared" si="196"/>
        <v>0</v>
      </c>
      <c r="J501" s="440"/>
      <c r="K501" s="440"/>
      <c r="L501" s="440"/>
      <c r="M501" s="439">
        <f t="shared" si="235"/>
        <v>0</v>
      </c>
      <c r="N501" s="442">
        <f t="shared" si="197"/>
        <v>0</v>
      </c>
      <c r="O501" s="443">
        <f t="shared" si="236"/>
        <v>0</v>
      </c>
      <c r="P501" s="442">
        <f t="shared" si="239"/>
        <v>0</v>
      </c>
      <c r="Q501" s="443">
        <f t="shared" si="237"/>
        <v>0</v>
      </c>
      <c r="R501" s="443">
        <f t="shared" si="237"/>
        <v>0</v>
      </c>
      <c r="S501" s="443">
        <f t="shared" si="237"/>
        <v>0</v>
      </c>
      <c r="T501" s="443">
        <f t="shared" si="238"/>
        <v>0</v>
      </c>
      <c r="U501" s="442">
        <f t="shared" si="240"/>
        <v>0</v>
      </c>
      <c r="V501" s="444">
        <f t="shared" si="241"/>
        <v>0</v>
      </c>
    </row>
    <row r="502" spans="1:22" s="29" customFormat="1" hidden="1">
      <c r="A502" s="438"/>
      <c r="B502" s="101" t="s">
        <v>2536</v>
      </c>
      <c r="C502" s="96"/>
      <c r="D502" s="175"/>
      <c r="E502" s="96"/>
      <c r="F502" s="96"/>
      <c r="G502" s="441">
        <f t="shared" si="202"/>
        <v>0</v>
      </c>
      <c r="H502" s="440"/>
      <c r="I502" s="441">
        <f t="shared" si="196"/>
        <v>0</v>
      </c>
      <c r="J502" s="440"/>
      <c r="K502" s="440"/>
      <c r="L502" s="440"/>
      <c r="M502" s="439">
        <f t="shared" si="235"/>
        <v>0</v>
      </c>
      <c r="N502" s="442">
        <f t="shared" si="197"/>
        <v>0</v>
      </c>
      <c r="O502" s="443">
        <f t="shared" si="236"/>
        <v>0</v>
      </c>
      <c r="P502" s="442">
        <f t="shared" si="239"/>
        <v>0</v>
      </c>
      <c r="Q502" s="443">
        <f t="shared" si="237"/>
        <v>0</v>
      </c>
      <c r="R502" s="443">
        <f t="shared" si="237"/>
        <v>0</v>
      </c>
      <c r="S502" s="443">
        <f t="shared" si="237"/>
        <v>0</v>
      </c>
      <c r="T502" s="443">
        <f t="shared" si="238"/>
        <v>0</v>
      </c>
      <c r="U502" s="442">
        <f t="shared" si="240"/>
        <v>0</v>
      </c>
      <c r="V502" s="444">
        <f t="shared" si="241"/>
        <v>0</v>
      </c>
    </row>
    <row r="503" spans="1:22" s="29" customFormat="1" hidden="1">
      <c r="A503" s="438"/>
      <c r="B503" s="101" t="s">
        <v>2537</v>
      </c>
      <c r="C503" s="96"/>
      <c r="D503" s="175"/>
      <c r="E503" s="96"/>
      <c r="F503" s="96"/>
      <c r="G503" s="441">
        <f t="shared" si="202"/>
        <v>0</v>
      </c>
      <c r="H503" s="440"/>
      <c r="I503" s="441">
        <f t="shared" si="196"/>
        <v>0</v>
      </c>
      <c r="J503" s="440"/>
      <c r="K503" s="440"/>
      <c r="L503" s="440"/>
      <c r="M503" s="439">
        <f t="shared" si="235"/>
        <v>0</v>
      </c>
      <c r="N503" s="442">
        <f t="shared" si="197"/>
        <v>0</v>
      </c>
      <c r="O503" s="443">
        <f t="shared" si="236"/>
        <v>0</v>
      </c>
      <c r="P503" s="442">
        <f t="shared" si="239"/>
        <v>0</v>
      </c>
      <c r="Q503" s="443">
        <f t="shared" si="237"/>
        <v>0</v>
      </c>
      <c r="R503" s="443">
        <f t="shared" si="237"/>
        <v>0</v>
      </c>
      <c r="S503" s="443">
        <f t="shared" si="237"/>
        <v>0</v>
      </c>
      <c r="T503" s="443">
        <f t="shared" si="238"/>
        <v>0</v>
      </c>
      <c r="U503" s="442">
        <f t="shared" si="240"/>
        <v>0</v>
      </c>
      <c r="V503" s="444">
        <f t="shared" si="241"/>
        <v>0</v>
      </c>
    </row>
    <row r="504" spans="1:22" s="29" customFormat="1" hidden="1">
      <c r="A504" s="438"/>
      <c r="B504" s="101" t="s">
        <v>2492</v>
      </c>
      <c r="C504" s="96"/>
      <c r="D504" s="180"/>
      <c r="E504" s="96"/>
      <c r="F504" s="96"/>
      <c r="G504" s="441">
        <f t="shared" si="202"/>
        <v>0</v>
      </c>
      <c r="H504" s="440"/>
      <c r="I504" s="441">
        <f t="shared" si="196"/>
        <v>0</v>
      </c>
      <c r="J504" s="440"/>
      <c r="K504" s="440"/>
      <c r="L504" s="440"/>
      <c r="M504" s="439">
        <f t="shared" si="235"/>
        <v>0</v>
      </c>
      <c r="N504" s="442">
        <f t="shared" si="197"/>
        <v>0</v>
      </c>
      <c r="O504" s="443">
        <f t="shared" si="236"/>
        <v>0</v>
      </c>
      <c r="P504" s="442">
        <f t="shared" si="239"/>
        <v>0</v>
      </c>
      <c r="Q504" s="443">
        <f t="shared" si="237"/>
        <v>0</v>
      </c>
      <c r="R504" s="443">
        <f t="shared" si="237"/>
        <v>0</v>
      </c>
      <c r="S504" s="443">
        <f t="shared" si="237"/>
        <v>0</v>
      </c>
      <c r="T504" s="443">
        <f t="shared" si="238"/>
        <v>0</v>
      </c>
      <c r="U504" s="442">
        <f t="shared" si="240"/>
        <v>0</v>
      </c>
      <c r="V504" s="444">
        <f t="shared" si="241"/>
        <v>0</v>
      </c>
    </row>
    <row r="505" spans="1:22" s="29" customFormat="1" hidden="1">
      <c r="A505" s="434">
        <v>7</v>
      </c>
      <c r="B505" s="99" t="s">
        <v>2913</v>
      </c>
      <c r="C505" s="58">
        <f>SUM(C506:C515)</f>
        <v>0</v>
      </c>
      <c r="D505" s="176">
        <f t="shared" ref="D505:V505" si="242">SUM(D506:D515)</f>
        <v>0</v>
      </c>
      <c r="E505" s="58">
        <f t="shared" si="242"/>
        <v>0</v>
      </c>
      <c r="F505" s="58">
        <f t="shared" si="242"/>
        <v>0</v>
      </c>
      <c r="G505" s="435">
        <f t="shared" si="242"/>
        <v>0</v>
      </c>
      <c r="H505" s="436">
        <f t="shared" si="242"/>
        <v>0</v>
      </c>
      <c r="I505" s="435">
        <f t="shared" si="242"/>
        <v>0</v>
      </c>
      <c r="J505" s="436">
        <f t="shared" si="242"/>
        <v>0</v>
      </c>
      <c r="K505" s="436">
        <f t="shared" si="242"/>
        <v>0</v>
      </c>
      <c r="L505" s="436">
        <f t="shared" si="242"/>
        <v>0</v>
      </c>
      <c r="M505" s="435">
        <f t="shared" si="242"/>
        <v>0</v>
      </c>
      <c r="N505" s="437">
        <f t="shared" si="242"/>
        <v>0</v>
      </c>
      <c r="O505" s="437">
        <f t="shared" si="242"/>
        <v>0</v>
      </c>
      <c r="P505" s="437">
        <f t="shared" si="242"/>
        <v>0</v>
      </c>
      <c r="Q505" s="437">
        <f t="shared" si="242"/>
        <v>0</v>
      </c>
      <c r="R505" s="437">
        <f t="shared" si="242"/>
        <v>0</v>
      </c>
      <c r="S505" s="437">
        <f t="shared" si="242"/>
        <v>0</v>
      </c>
      <c r="T505" s="437">
        <f t="shared" si="242"/>
        <v>0</v>
      </c>
      <c r="U505" s="437">
        <f t="shared" si="242"/>
        <v>0</v>
      </c>
      <c r="V505" s="437">
        <f t="shared" si="242"/>
        <v>0</v>
      </c>
    </row>
    <row r="506" spans="1:22" s="29" customFormat="1" hidden="1">
      <c r="A506" s="438"/>
      <c r="B506" s="101" t="s">
        <v>2906</v>
      </c>
      <c r="C506" s="96"/>
      <c r="D506" s="175"/>
      <c r="E506" s="96"/>
      <c r="F506" s="96"/>
      <c r="G506" s="441">
        <f t="shared" si="202"/>
        <v>0</v>
      </c>
      <c r="H506" s="440"/>
      <c r="I506" s="441">
        <f t="shared" si="196"/>
        <v>0</v>
      </c>
      <c r="J506" s="440"/>
      <c r="K506" s="440"/>
      <c r="L506" s="440"/>
      <c r="M506" s="439">
        <f t="shared" ref="M506:M515" si="243">(H506+I506)*1%</f>
        <v>0</v>
      </c>
      <c r="N506" s="442">
        <f t="shared" si="197"/>
        <v>0</v>
      </c>
      <c r="O506" s="443">
        <f t="shared" ref="O506:O515" si="244">(H506/1.3)*1.39</f>
        <v>0</v>
      </c>
      <c r="P506" s="442">
        <f>SUM(Q506:S506)</f>
        <v>0</v>
      </c>
      <c r="Q506" s="443">
        <f t="shared" ref="Q506:S515" si="245">(J506/1.3)*1.39</f>
        <v>0</v>
      </c>
      <c r="R506" s="443">
        <f t="shared" si="245"/>
        <v>0</v>
      </c>
      <c r="S506" s="443">
        <f t="shared" si="245"/>
        <v>0</v>
      </c>
      <c r="T506" s="443">
        <f t="shared" ref="T506:T515" si="246">(O506+P506)*1%</f>
        <v>0</v>
      </c>
      <c r="U506" s="442">
        <f>T506-M506</f>
        <v>0</v>
      </c>
      <c r="V506" s="444">
        <f>U506*6</f>
        <v>0</v>
      </c>
    </row>
    <row r="507" spans="1:22" s="29" customFormat="1" hidden="1">
      <c r="A507" s="438"/>
      <c r="B507" s="101" t="s">
        <v>2907</v>
      </c>
      <c r="C507" s="96"/>
      <c r="D507" s="180"/>
      <c r="E507" s="96"/>
      <c r="F507" s="96"/>
      <c r="G507" s="441">
        <f t="shared" si="202"/>
        <v>0</v>
      </c>
      <c r="H507" s="440"/>
      <c r="I507" s="441">
        <f t="shared" si="196"/>
        <v>0</v>
      </c>
      <c r="J507" s="440"/>
      <c r="K507" s="440"/>
      <c r="L507" s="440"/>
      <c r="M507" s="439">
        <f t="shared" si="243"/>
        <v>0</v>
      </c>
      <c r="N507" s="442">
        <f t="shared" si="197"/>
        <v>0</v>
      </c>
      <c r="O507" s="443">
        <f t="shared" si="244"/>
        <v>0</v>
      </c>
      <c r="P507" s="442">
        <f t="shared" ref="P507:P515" si="247">SUM(Q507:S507)</f>
        <v>0</v>
      </c>
      <c r="Q507" s="443">
        <f t="shared" si="245"/>
        <v>0</v>
      </c>
      <c r="R507" s="443">
        <f t="shared" si="245"/>
        <v>0</v>
      </c>
      <c r="S507" s="443">
        <f t="shared" si="245"/>
        <v>0</v>
      </c>
      <c r="T507" s="443">
        <f t="shared" si="246"/>
        <v>0</v>
      </c>
      <c r="U507" s="442">
        <f t="shared" ref="U507:U515" si="248">T507-M507</f>
        <v>0</v>
      </c>
      <c r="V507" s="444">
        <f t="shared" ref="V507:V515" si="249">U507*6</f>
        <v>0</v>
      </c>
    </row>
    <row r="508" spans="1:22" s="29" customFormat="1" hidden="1">
      <c r="A508" s="438"/>
      <c r="B508" s="101" t="s">
        <v>2908</v>
      </c>
      <c r="C508" s="96"/>
      <c r="D508" s="180"/>
      <c r="E508" s="96"/>
      <c r="F508" s="96"/>
      <c r="G508" s="441">
        <f t="shared" si="202"/>
        <v>0</v>
      </c>
      <c r="H508" s="440"/>
      <c r="I508" s="441">
        <f t="shared" si="196"/>
        <v>0</v>
      </c>
      <c r="J508" s="440"/>
      <c r="K508" s="440"/>
      <c r="L508" s="440"/>
      <c r="M508" s="439">
        <f t="shared" si="243"/>
        <v>0</v>
      </c>
      <c r="N508" s="442">
        <f t="shared" si="197"/>
        <v>0</v>
      </c>
      <c r="O508" s="443">
        <f t="shared" si="244"/>
        <v>0</v>
      </c>
      <c r="P508" s="442">
        <f t="shared" si="247"/>
        <v>0</v>
      </c>
      <c r="Q508" s="443">
        <f t="shared" si="245"/>
        <v>0</v>
      </c>
      <c r="R508" s="443">
        <f t="shared" si="245"/>
        <v>0</v>
      </c>
      <c r="S508" s="443">
        <f t="shared" si="245"/>
        <v>0</v>
      </c>
      <c r="T508" s="443">
        <f t="shared" si="246"/>
        <v>0</v>
      </c>
      <c r="U508" s="442">
        <f t="shared" si="248"/>
        <v>0</v>
      </c>
      <c r="V508" s="444">
        <f t="shared" si="249"/>
        <v>0</v>
      </c>
    </row>
    <row r="509" spans="1:22" s="29" customFormat="1" hidden="1">
      <c r="A509" s="438"/>
      <c r="B509" s="101" t="s">
        <v>2909</v>
      </c>
      <c r="C509" s="96"/>
      <c r="D509" s="180"/>
      <c r="E509" s="96"/>
      <c r="F509" s="96"/>
      <c r="G509" s="441">
        <f t="shared" si="202"/>
        <v>0</v>
      </c>
      <c r="H509" s="440"/>
      <c r="I509" s="441">
        <f t="shared" si="196"/>
        <v>0</v>
      </c>
      <c r="J509" s="446"/>
      <c r="K509" s="440"/>
      <c r="L509" s="440"/>
      <c r="M509" s="439">
        <f t="shared" si="243"/>
        <v>0</v>
      </c>
      <c r="N509" s="442">
        <f t="shared" si="197"/>
        <v>0</v>
      </c>
      <c r="O509" s="443">
        <f t="shared" si="244"/>
        <v>0</v>
      </c>
      <c r="P509" s="442">
        <f t="shared" si="247"/>
        <v>0</v>
      </c>
      <c r="Q509" s="443">
        <f t="shared" si="245"/>
        <v>0</v>
      </c>
      <c r="R509" s="443">
        <f t="shared" si="245"/>
        <v>0</v>
      </c>
      <c r="S509" s="443">
        <f t="shared" si="245"/>
        <v>0</v>
      </c>
      <c r="T509" s="443">
        <f t="shared" si="246"/>
        <v>0</v>
      </c>
      <c r="U509" s="442">
        <f t="shared" si="248"/>
        <v>0</v>
      </c>
      <c r="V509" s="444">
        <f t="shared" si="249"/>
        <v>0</v>
      </c>
    </row>
    <row r="510" spans="1:22" s="29" customFormat="1" hidden="1">
      <c r="A510" s="438"/>
      <c r="B510" s="101" t="s">
        <v>2910</v>
      </c>
      <c r="C510" s="96"/>
      <c r="D510" s="180"/>
      <c r="E510" s="96"/>
      <c r="F510" s="96"/>
      <c r="G510" s="441">
        <f t="shared" si="202"/>
        <v>0</v>
      </c>
      <c r="H510" s="440"/>
      <c r="I510" s="441">
        <f t="shared" si="196"/>
        <v>0</v>
      </c>
      <c r="J510" s="440"/>
      <c r="K510" s="440"/>
      <c r="L510" s="440"/>
      <c r="M510" s="439">
        <f t="shared" si="243"/>
        <v>0</v>
      </c>
      <c r="N510" s="442">
        <f t="shared" si="197"/>
        <v>0</v>
      </c>
      <c r="O510" s="443">
        <f t="shared" si="244"/>
        <v>0</v>
      </c>
      <c r="P510" s="442">
        <f t="shared" si="247"/>
        <v>0</v>
      </c>
      <c r="Q510" s="443">
        <f t="shared" si="245"/>
        <v>0</v>
      </c>
      <c r="R510" s="443">
        <f t="shared" si="245"/>
        <v>0</v>
      </c>
      <c r="S510" s="443">
        <f t="shared" si="245"/>
        <v>0</v>
      </c>
      <c r="T510" s="443">
        <f t="shared" si="246"/>
        <v>0</v>
      </c>
      <c r="U510" s="442">
        <f t="shared" si="248"/>
        <v>0</v>
      </c>
      <c r="V510" s="444">
        <f t="shared" si="249"/>
        <v>0</v>
      </c>
    </row>
    <row r="511" spans="1:22" s="29" customFormat="1" hidden="1">
      <c r="A511" s="438"/>
      <c r="B511" s="101" t="s">
        <v>2911</v>
      </c>
      <c r="C511" s="96"/>
      <c r="D511" s="180"/>
      <c r="E511" s="96"/>
      <c r="F511" s="96"/>
      <c r="G511" s="441">
        <f t="shared" si="202"/>
        <v>0</v>
      </c>
      <c r="H511" s="440"/>
      <c r="I511" s="441">
        <f t="shared" si="196"/>
        <v>0</v>
      </c>
      <c r="J511" s="440"/>
      <c r="K511" s="440"/>
      <c r="L511" s="440"/>
      <c r="M511" s="439">
        <f t="shared" si="243"/>
        <v>0</v>
      </c>
      <c r="N511" s="442">
        <f t="shared" si="197"/>
        <v>0</v>
      </c>
      <c r="O511" s="443">
        <f t="shared" si="244"/>
        <v>0</v>
      </c>
      <c r="P511" s="442">
        <f t="shared" si="247"/>
        <v>0</v>
      </c>
      <c r="Q511" s="443">
        <f t="shared" si="245"/>
        <v>0</v>
      </c>
      <c r="R511" s="443">
        <f t="shared" si="245"/>
        <v>0</v>
      </c>
      <c r="S511" s="443">
        <f t="shared" si="245"/>
        <v>0</v>
      </c>
      <c r="T511" s="443">
        <f t="shared" si="246"/>
        <v>0</v>
      </c>
      <c r="U511" s="442">
        <f t="shared" si="248"/>
        <v>0</v>
      </c>
      <c r="V511" s="444">
        <f t="shared" si="249"/>
        <v>0</v>
      </c>
    </row>
    <row r="512" spans="1:22" s="29" customFormat="1" hidden="1">
      <c r="A512" s="438"/>
      <c r="B512" s="101" t="s">
        <v>2912</v>
      </c>
      <c r="C512" s="96"/>
      <c r="D512" s="180"/>
      <c r="E512" s="96"/>
      <c r="F512" s="96"/>
      <c r="G512" s="441">
        <f t="shared" si="202"/>
        <v>0</v>
      </c>
      <c r="H512" s="440"/>
      <c r="I512" s="441">
        <f t="shared" si="196"/>
        <v>0</v>
      </c>
      <c r="J512" s="440"/>
      <c r="K512" s="440"/>
      <c r="L512" s="440"/>
      <c r="M512" s="439">
        <f t="shared" si="243"/>
        <v>0</v>
      </c>
      <c r="N512" s="442">
        <f t="shared" si="197"/>
        <v>0</v>
      </c>
      <c r="O512" s="443">
        <f t="shared" si="244"/>
        <v>0</v>
      </c>
      <c r="P512" s="442">
        <f t="shared" si="247"/>
        <v>0</v>
      </c>
      <c r="Q512" s="443">
        <f t="shared" si="245"/>
        <v>0</v>
      </c>
      <c r="R512" s="443">
        <f t="shared" si="245"/>
        <v>0</v>
      </c>
      <c r="S512" s="443">
        <f t="shared" si="245"/>
        <v>0</v>
      </c>
      <c r="T512" s="443">
        <f t="shared" si="246"/>
        <v>0</v>
      </c>
      <c r="U512" s="442">
        <f t="shared" si="248"/>
        <v>0</v>
      </c>
      <c r="V512" s="444">
        <f t="shared" si="249"/>
        <v>0</v>
      </c>
    </row>
    <row r="513" spans="1:22" s="29" customFormat="1" hidden="1">
      <c r="A513" s="438"/>
      <c r="B513" s="101" t="s">
        <v>2536</v>
      </c>
      <c r="C513" s="96"/>
      <c r="D513" s="175"/>
      <c r="E513" s="96"/>
      <c r="F513" s="96"/>
      <c r="G513" s="441">
        <f t="shared" si="202"/>
        <v>0</v>
      </c>
      <c r="H513" s="440"/>
      <c r="I513" s="441">
        <f t="shared" si="196"/>
        <v>0</v>
      </c>
      <c r="J513" s="440"/>
      <c r="K513" s="440"/>
      <c r="L513" s="440"/>
      <c r="M513" s="439">
        <f t="shared" si="243"/>
        <v>0</v>
      </c>
      <c r="N513" s="442">
        <f t="shared" si="197"/>
        <v>0</v>
      </c>
      <c r="O513" s="443">
        <f t="shared" si="244"/>
        <v>0</v>
      </c>
      <c r="P513" s="442">
        <f t="shared" si="247"/>
        <v>0</v>
      </c>
      <c r="Q513" s="443">
        <f t="shared" si="245"/>
        <v>0</v>
      </c>
      <c r="R513" s="443">
        <f t="shared" si="245"/>
        <v>0</v>
      </c>
      <c r="S513" s="443">
        <f t="shared" si="245"/>
        <v>0</v>
      </c>
      <c r="T513" s="443">
        <f t="shared" si="246"/>
        <v>0</v>
      </c>
      <c r="U513" s="442">
        <f t="shared" si="248"/>
        <v>0</v>
      </c>
      <c r="V513" s="444">
        <f t="shared" si="249"/>
        <v>0</v>
      </c>
    </row>
    <row r="514" spans="1:22" s="29" customFormat="1" hidden="1">
      <c r="A514" s="438"/>
      <c r="B514" s="101" t="s">
        <v>2537</v>
      </c>
      <c r="C514" s="96"/>
      <c r="D514" s="175"/>
      <c r="E514" s="96"/>
      <c r="F514" s="96"/>
      <c r="G514" s="441">
        <f t="shared" si="202"/>
        <v>0</v>
      </c>
      <c r="H514" s="440"/>
      <c r="I514" s="441">
        <f t="shared" si="196"/>
        <v>0</v>
      </c>
      <c r="J514" s="440"/>
      <c r="K514" s="440"/>
      <c r="L514" s="440"/>
      <c r="M514" s="439">
        <f t="shared" si="243"/>
        <v>0</v>
      </c>
      <c r="N514" s="442">
        <f t="shared" si="197"/>
        <v>0</v>
      </c>
      <c r="O514" s="443">
        <f t="shared" si="244"/>
        <v>0</v>
      </c>
      <c r="P514" s="442">
        <f t="shared" si="247"/>
        <v>0</v>
      </c>
      <c r="Q514" s="443">
        <f t="shared" si="245"/>
        <v>0</v>
      </c>
      <c r="R514" s="443">
        <f t="shared" si="245"/>
        <v>0</v>
      </c>
      <c r="S514" s="443">
        <f t="shared" si="245"/>
        <v>0</v>
      </c>
      <c r="T514" s="443">
        <f t="shared" si="246"/>
        <v>0</v>
      </c>
      <c r="U514" s="442">
        <f t="shared" si="248"/>
        <v>0</v>
      </c>
      <c r="V514" s="444">
        <f t="shared" si="249"/>
        <v>0</v>
      </c>
    </row>
    <row r="515" spans="1:22" s="29" customFormat="1" hidden="1">
      <c r="A515" s="438"/>
      <c r="B515" s="101" t="s">
        <v>2492</v>
      </c>
      <c r="C515" s="96"/>
      <c r="D515" s="180"/>
      <c r="E515" s="96"/>
      <c r="F515" s="96"/>
      <c r="G515" s="441">
        <f t="shared" si="202"/>
        <v>0</v>
      </c>
      <c r="H515" s="440"/>
      <c r="I515" s="441">
        <f t="shared" si="196"/>
        <v>0</v>
      </c>
      <c r="J515" s="440"/>
      <c r="K515" s="440"/>
      <c r="L515" s="440"/>
      <c r="M515" s="439">
        <f t="shared" si="243"/>
        <v>0</v>
      </c>
      <c r="N515" s="442">
        <f t="shared" si="197"/>
        <v>0</v>
      </c>
      <c r="O515" s="443">
        <f t="shared" si="244"/>
        <v>0</v>
      </c>
      <c r="P515" s="442">
        <f t="shared" si="247"/>
        <v>0</v>
      </c>
      <c r="Q515" s="443">
        <f t="shared" si="245"/>
        <v>0</v>
      </c>
      <c r="R515" s="443">
        <f t="shared" si="245"/>
        <v>0</v>
      </c>
      <c r="S515" s="443">
        <f t="shared" si="245"/>
        <v>0</v>
      </c>
      <c r="T515" s="443">
        <f t="shared" si="246"/>
        <v>0</v>
      </c>
      <c r="U515" s="442">
        <f t="shared" si="248"/>
        <v>0</v>
      </c>
      <c r="V515" s="444">
        <f t="shared" si="249"/>
        <v>0</v>
      </c>
    </row>
    <row r="516" spans="1:22" s="29" customFormat="1" hidden="1">
      <c r="A516" s="434">
        <v>8</v>
      </c>
      <c r="B516" s="99" t="s">
        <v>2500</v>
      </c>
      <c r="C516" s="58">
        <f>SUM(C517:C526)</f>
        <v>0</v>
      </c>
      <c r="D516" s="176">
        <f t="shared" ref="D516:V516" si="250">SUM(D517:D526)</f>
        <v>0</v>
      </c>
      <c r="E516" s="58">
        <f t="shared" si="250"/>
        <v>0</v>
      </c>
      <c r="F516" s="58">
        <f t="shared" si="250"/>
        <v>0</v>
      </c>
      <c r="G516" s="435">
        <f t="shared" si="250"/>
        <v>0</v>
      </c>
      <c r="H516" s="436">
        <f t="shared" si="250"/>
        <v>0</v>
      </c>
      <c r="I516" s="435">
        <f t="shared" si="250"/>
        <v>0</v>
      </c>
      <c r="J516" s="436">
        <f t="shared" si="250"/>
        <v>0</v>
      </c>
      <c r="K516" s="436">
        <f t="shared" si="250"/>
        <v>0</v>
      </c>
      <c r="L516" s="436">
        <f t="shared" si="250"/>
        <v>0</v>
      </c>
      <c r="M516" s="435">
        <f t="shared" si="250"/>
        <v>0</v>
      </c>
      <c r="N516" s="437">
        <f t="shared" si="250"/>
        <v>0</v>
      </c>
      <c r="O516" s="437">
        <f t="shared" si="250"/>
        <v>0</v>
      </c>
      <c r="P516" s="437">
        <f t="shared" si="250"/>
        <v>0</v>
      </c>
      <c r="Q516" s="437">
        <f t="shared" si="250"/>
        <v>0</v>
      </c>
      <c r="R516" s="437">
        <f t="shared" si="250"/>
        <v>0</v>
      </c>
      <c r="S516" s="437">
        <f t="shared" si="250"/>
        <v>0</v>
      </c>
      <c r="T516" s="437">
        <f t="shared" si="250"/>
        <v>0</v>
      </c>
      <c r="U516" s="437">
        <f t="shared" si="250"/>
        <v>0</v>
      </c>
      <c r="V516" s="437">
        <f t="shared" si="250"/>
        <v>0</v>
      </c>
    </row>
    <row r="517" spans="1:22" s="29" customFormat="1" hidden="1">
      <c r="A517" s="438"/>
      <c r="B517" s="101" t="s">
        <v>2906</v>
      </c>
      <c r="C517" s="96"/>
      <c r="D517" s="175"/>
      <c r="E517" s="96"/>
      <c r="F517" s="96"/>
      <c r="G517" s="441">
        <f t="shared" si="202"/>
        <v>0</v>
      </c>
      <c r="H517" s="440"/>
      <c r="I517" s="441">
        <f t="shared" si="196"/>
        <v>0</v>
      </c>
      <c r="J517" s="440"/>
      <c r="K517" s="440"/>
      <c r="L517" s="440"/>
      <c r="M517" s="439">
        <f t="shared" ref="M517:M526" si="251">(H517+I517)*1%</f>
        <v>0</v>
      </c>
      <c r="N517" s="442">
        <f t="shared" si="197"/>
        <v>0</v>
      </c>
      <c r="O517" s="443">
        <f t="shared" ref="O517:O526" si="252">(H517/1.3)*1.39</f>
        <v>0</v>
      </c>
      <c r="P517" s="442">
        <f>SUM(Q517:S517)</f>
        <v>0</v>
      </c>
      <c r="Q517" s="443">
        <f t="shared" ref="Q517:S526" si="253">(J517/1.3)*1.39</f>
        <v>0</v>
      </c>
      <c r="R517" s="443">
        <f t="shared" si="253"/>
        <v>0</v>
      </c>
      <c r="S517" s="443">
        <f t="shared" si="253"/>
        <v>0</v>
      </c>
      <c r="T517" s="443">
        <f t="shared" ref="T517:T526" si="254">(O517+P517)*1%</f>
        <v>0</v>
      </c>
      <c r="U517" s="442">
        <f>T517-M517</f>
        <v>0</v>
      </c>
      <c r="V517" s="444">
        <f>U517*6</f>
        <v>0</v>
      </c>
    </row>
    <row r="518" spans="1:22" s="29" customFormat="1" hidden="1">
      <c r="A518" s="438"/>
      <c r="B518" s="101" t="s">
        <v>2907</v>
      </c>
      <c r="C518" s="96"/>
      <c r="D518" s="175"/>
      <c r="E518" s="96"/>
      <c r="F518" s="96"/>
      <c r="G518" s="441">
        <f t="shared" si="202"/>
        <v>0</v>
      </c>
      <c r="H518" s="440"/>
      <c r="I518" s="441">
        <f t="shared" si="196"/>
        <v>0</v>
      </c>
      <c r="J518" s="440"/>
      <c r="K518" s="440"/>
      <c r="L518" s="440"/>
      <c r="M518" s="439">
        <f t="shared" si="251"/>
        <v>0</v>
      </c>
      <c r="N518" s="442">
        <f t="shared" si="197"/>
        <v>0</v>
      </c>
      <c r="O518" s="443">
        <f t="shared" si="252"/>
        <v>0</v>
      </c>
      <c r="P518" s="442">
        <f t="shared" ref="P518:P526" si="255">SUM(Q518:S518)</f>
        <v>0</v>
      </c>
      <c r="Q518" s="443">
        <f t="shared" si="253"/>
        <v>0</v>
      </c>
      <c r="R518" s="443">
        <f t="shared" si="253"/>
        <v>0</v>
      </c>
      <c r="S518" s="443">
        <f t="shared" si="253"/>
        <v>0</v>
      </c>
      <c r="T518" s="443">
        <f t="shared" si="254"/>
        <v>0</v>
      </c>
      <c r="U518" s="442">
        <f t="shared" ref="U518:U526" si="256">T518-M518</f>
        <v>0</v>
      </c>
      <c r="V518" s="444">
        <f t="shared" ref="V518:V526" si="257">U518*6</f>
        <v>0</v>
      </c>
    </row>
    <row r="519" spans="1:22" s="29" customFormat="1" hidden="1">
      <c r="A519" s="438"/>
      <c r="B519" s="101" t="s">
        <v>2908</v>
      </c>
      <c r="C519" s="96"/>
      <c r="D519" s="175"/>
      <c r="E519" s="96"/>
      <c r="F519" s="96"/>
      <c r="G519" s="441">
        <f t="shared" ref="G519:G526" si="258">H519+I519+M519</f>
        <v>0</v>
      </c>
      <c r="H519" s="440"/>
      <c r="I519" s="441">
        <f t="shared" ref="I519:I526" si="259">SUM(J519:L519)</f>
        <v>0</v>
      </c>
      <c r="J519" s="440"/>
      <c r="K519" s="440"/>
      <c r="L519" s="440"/>
      <c r="M519" s="439">
        <f t="shared" si="251"/>
        <v>0</v>
      </c>
      <c r="N519" s="442">
        <f t="shared" ref="N519:N526" si="260">O519+P519+T519</f>
        <v>0</v>
      </c>
      <c r="O519" s="443">
        <f t="shared" si="252"/>
        <v>0</v>
      </c>
      <c r="P519" s="442">
        <f t="shared" si="255"/>
        <v>0</v>
      </c>
      <c r="Q519" s="443">
        <f t="shared" si="253"/>
        <v>0</v>
      </c>
      <c r="R519" s="443">
        <f t="shared" si="253"/>
        <v>0</v>
      </c>
      <c r="S519" s="443">
        <f t="shared" si="253"/>
        <v>0</v>
      </c>
      <c r="T519" s="443">
        <f t="shared" si="254"/>
        <v>0</v>
      </c>
      <c r="U519" s="442">
        <f t="shared" si="256"/>
        <v>0</v>
      </c>
      <c r="V519" s="444">
        <f t="shared" si="257"/>
        <v>0</v>
      </c>
    </row>
    <row r="520" spans="1:22" s="29" customFormat="1" hidden="1">
      <c r="A520" s="438"/>
      <c r="B520" s="101" t="s">
        <v>2909</v>
      </c>
      <c r="C520" s="96"/>
      <c r="D520" s="175"/>
      <c r="E520" s="96"/>
      <c r="F520" s="96"/>
      <c r="G520" s="441">
        <f t="shared" si="258"/>
        <v>0</v>
      </c>
      <c r="H520" s="440"/>
      <c r="I520" s="441">
        <f t="shared" si="259"/>
        <v>0</v>
      </c>
      <c r="J520" s="440"/>
      <c r="K520" s="440"/>
      <c r="L520" s="440"/>
      <c r="M520" s="439">
        <f t="shared" si="251"/>
        <v>0</v>
      </c>
      <c r="N520" s="442">
        <f t="shared" si="260"/>
        <v>0</v>
      </c>
      <c r="O520" s="443">
        <f t="shared" si="252"/>
        <v>0</v>
      </c>
      <c r="P520" s="442">
        <f t="shared" si="255"/>
        <v>0</v>
      </c>
      <c r="Q520" s="443">
        <f t="shared" si="253"/>
        <v>0</v>
      </c>
      <c r="R520" s="443">
        <f t="shared" si="253"/>
        <v>0</v>
      </c>
      <c r="S520" s="443">
        <f t="shared" si="253"/>
        <v>0</v>
      </c>
      <c r="T520" s="443">
        <f t="shared" si="254"/>
        <v>0</v>
      </c>
      <c r="U520" s="442">
        <f t="shared" si="256"/>
        <v>0</v>
      </c>
      <c r="V520" s="444">
        <f t="shared" si="257"/>
        <v>0</v>
      </c>
    </row>
    <row r="521" spans="1:22" s="29" customFormat="1" hidden="1">
      <c r="A521" s="438"/>
      <c r="B521" s="101" t="s">
        <v>2910</v>
      </c>
      <c r="C521" s="96"/>
      <c r="D521" s="175"/>
      <c r="E521" s="96"/>
      <c r="F521" s="96"/>
      <c r="G521" s="441">
        <f t="shared" si="258"/>
        <v>0</v>
      </c>
      <c r="H521" s="440"/>
      <c r="I521" s="441">
        <f t="shared" si="259"/>
        <v>0</v>
      </c>
      <c r="J521" s="440"/>
      <c r="K521" s="440"/>
      <c r="L521" s="440"/>
      <c r="M521" s="439">
        <f t="shared" si="251"/>
        <v>0</v>
      </c>
      <c r="N521" s="442">
        <f t="shared" si="260"/>
        <v>0</v>
      </c>
      <c r="O521" s="443">
        <f t="shared" si="252"/>
        <v>0</v>
      </c>
      <c r="P521" s="442">
        <f t="shared" si="255"/>
        <v>0</v>
      </c>
      <c r="Q521" s="443">
        <f t="shared" si="253"/>
        <v>0</v>
      </c>
      <c r="R521" s="443">
        <f t="shared" si="253"/>
        <v>0</v>
      </c>
      <c r="S521" s="443">
        <f t="shared" si="253"/>
        <v>0</v>
      </c>
      <c r="T521" s="443">
        <f t="shared" si="254"/>
        <v>0</v>
      </c>
      <c r="U521" s="442">
        <f t="shared" si="256"/>
        <v>0</v>
      </c>
      <c r="V521" s="444">
        <f t="shared" si="257"/>
        <v>0</v>
      </c>
    </row>
    <row r="522" spans="1:22" s="29" customFormat="1" hidden="1">
      <c r="A522" s="438"/>
      <c r="B522" s="101" t="s">
        <v>2911</v>
      </c>
      <c r="C522" s="96"/>
      <c r="D522" s="175"/>
      <c r="E522" s="96"/>
      <c r="F522" s="96"/>
      <c r="G522" s="441">
        <f t="shared" si="258"/>
        <v>0</v>
      </c>
      <c r="H522" s="440"/>
      <c r="I522" s="441">
        <f t="shared" si="259"/>
        <v>0</v>
      </c>
      <c r="J522" s="440"/>
      <c r="K522" s="440"/>
      <c r="L522" s="440"/>
      <c r="M522" s="439">
        <f t="shared" si="251"/>
        <v>0</v>
      </c>
      <c r="N522" s="442">
        <f t="shared" si="260"/>
        <v>0</v>
      </c>
      <c r="O522" s="443">
        <f t="shared" si="252"/>
        <v>0</v>
      </c>
      <c r="P522" s="442">
        <f t="shared" si="255"/>
        <v>0</v>
      </c>
      <c r="Q522" s="443">
        <f t="shared" si="253"/>
        <v>0</v>
      </c>
      <c r="R522" s="443">
        <f t="shared" si="253"/>
        <v>0</v>
      </c>
      <c r="S522" s="443">
        <f t="shared" si="253"/>
        <v>0</v>
      </c>
      <c r="T522" s="443">
        <f t="shared" si="254"/>
        <v>0</v>
      </c>
      <c r="U522" s="442">
        <f t="shared" si="256"/>
        <v>0</v>
      </c>
      <c r="V522" s="444">
        <f t="shared" si="257"/>
        <v>0</v>
      </c>
    </row>
    <row r="523" spans="1:22" s="29" customFormat="1" hidden="1">
      <c r="A523" s="438"/>
      <c r="B523" s="101" t="s">
        <v>2912</v>
      </c>
      <c r="C523" s="96"/>
      <c r="D523" s="175"/>
      <c r="E523" s="96"/>
      <c r="F523" s="96"/>
      <c r="G523" s="441">
        <f t="shared" si="258"/>
        <v>0</v>
      </c>
      <c r="H523" s="440"/>
      <c r="I523" s="441">
        <f t="shared" si="259"/>
        <v>0</v>
      </c>
      <c r="J523" s="440"/>
      <c r="K523" s="440"/>
      <c r="L523" s="440"/>
      <c r="M523" s="439">
        <f t="shared" si="251"/>
        <v>0</v>
      </c>
      <c r="N523" s="442">
        <f t="shared" si="260"/>
        <v>0</v>
      </c>
      <c r="O523" s="443">
        <f t="shared" si="252"/>
        <v>0</v>
      </c>
      <c r="P523" s="442">
        <f t="shared" si="255"/>
        <v>0</v>
      </c>
      <c r="Q523" s="443">
        <f t="shared" si="253"/>
        <v>0</v>
      </c>
      <c r="R523" s="443">
        <f t="shared" si="253"/>
        <v>0</v>
      </c>
      <c r="S523" s="443">
        <f t="shared" si="253"/>
        <v>0</v>
      </c>
      <c r="T523" s="443">
        <f t="shared" si="254"/>
        <v>0</v>
      </c>
      <c r="U523" s="442">
        <f t="shared" si="256"/>
        <v>0</v>
      </c>
      <c r="V523" s="444">
        <f t="shared" si="257"/>
        <v>0</v>
      </c>
    </row>
    <row r="524" spans="1:22" s="29" customFormat="1" hidden="1">
      <c r="A524" s="438"/>
      <c r="B524" s="101" t="s">
        <v>2536</v>
      </c>
      <c r="C524" s="96"/>
      <c r="D524" s="175"/>
      <c r="E524" s="96"/>
      <c r="F524" s="96"/>
      <c r="G524" s="441">
        <f t="shared" si="258"/>
        <v>0</v>
      </c>
      <c r="H524" s="440"/>
      <c r="I524" s="441">
        <f t="shared" si="259"/>
        <v>0</v>
      </c>
      <c r="J524" s="440"/>
      <c r="K524" s="440"/>
      <c r="L524" s="440"/>
      <c r="M524" s="439">
        <f t="shared" si="251"/>
        <v>0</v>
      </c>
      <c r="N524" s="442">
        <f t="shared" si="260"/>
        <v>0</v>
      </c>
      <c r="O524" s="443">
        <f t="shared" si="252"/>
        <v>0</v>
      </c>
      <c r="P524" s="442">
        <f t="shared" si="255"/>
        <v>0</v>
      </c>
      <c r="Q524" s="443">
        <f t="shared" si="253"/>
        <v>0</v>
      </c>
      <c r="R524" s="443">
        <f t="shared" si="253"/>
        <v>0</v>
      </c>
      <c r="S524" s="443">
        <f t="shared" si="253"/>
        <v>0</v>
      </c>
      <c r="T524" s="443">
        <f t="shared" si="254"/>
        <v>0</v>
      </c>
      <c r="U524" s="442">
        <f t="shared" si="256"/>
        <v>0</v>
      </c>
      <c r="V524" s="444">
        <f t="shared" si="257"/>
        <v>0</v>
      </c>
    </row>
    <row r="525" spans="1:22" s="29" customFormat="1" hidden="1">
      <c r="A525" s="438"/>
      <c r="B525" s="101" t="s">
        <v>2537</v>
      </c>
      <c r="C525" s="96"/>
      <c r="D525" s="175"/>
      <c r="E525" s="96"/>
      <c r="F525" s="96"/>
      <c r="G525" s="441">
        <f t="shared" si="258"/>
        <v>0</v>
      </c>
      <c r="H525" s="440"/>
      <c r="I525" s="441">
        <f t="shared" si="259"/>
        <v>0</v>
      </c>
      <c r="J525" s="440"/>
      <c r="K525" s="440"/>
      <c r="L525" s="440"/>
      <c r="M525" s="439">
        <f t="shared" si="251"/>
        <v>0</v>
      </c>
      <c r="N525" s="442">
        <f t="shared" si="260"/>
        <v>0</v>
      </c>
      <c r="O525" s="443">
        <f t="shared" si="252"/>
        <v>0</v>
      </c>
      <c r="P525" s="442">
        <f t="shared" si="255"/>
        <v>0</v>
      </c>
      <c r="Q525" s="443">
        <f t="shared" si="253"/>
        <v>0</v>
      </c>
      <c r="R525" s="443">
        <f t="shared" si="253"/>
        <v>0</v>
      </c>
      <c r="S525" s="443">
        <f t="shared" si="253"/>
        <v>0</v>
      </c>
      <c r="T525" s="443">
        <f t="shared" si="254"/>
        <v>0</v>
      </c>
      <c r="U525" s="442">
        <f t="shared" si="256"/>
        <v>0</v>
      </c>
      <c r="V525" s="444">
        <f t="shared" si="257"/>
        <v>0</v>
      </c>
    </row>
    <row r="526" spans="1:22" s="29" customFormat="1" hidden="1">
      <c r="A526" s="438"/>
      <c r="B526" s="101" t="s">
        <v>2492</v>
      </c>
      <c r="C526" s="96"/>
      <c r="D526" s="175"/>
      <c r="E526" s="96"/>
      <c r="F526" s="96"/>
      <c r="G526" s="441">
        <f t="shared" si="258"/>
        <v>0</v>
      </c>
      <c r="H526" s="440"/>
      <c r="I526" s="441">
        <f t="shared" si="259"/>
        <v>0</v>
      </c>
      <c r="J526" s="440"/>
      <c r="K526" s="440"/>
      <c r="L526" s="440"/>
      <c r="M526" s="439">
        <f t="shared" si="251"/>
        <v>0</v>
      </c>
      <c r="N526" s="442">
        <f t="shared" si="260"/>
        <v>0</v>
      </c>
      <c r="O526" s="443">
        <f t="shared" si="252"/>
        <v>0</v>
      </c>
      <c r="P526" s="442">
        <f t="shared" si="255"/>
        <v>0</v>
      </c>
      <c r="Q526" s="443">
        <f t="shared" si="253"/>
        <v>0</v>
      </c>
      <c r="R526" s="443">
        <f t="shared" si="253"/>
        <v>0</v>
      </c>
      <c r="S526" s="443">
        <f t="shared" si="253"/>
        <v>0</v>
      </c>
      <c r="T526" s="443">
        <f t="shared" si="254"/>
        <v>0</v>
      </c>
      <c r="U526" s="442">
        <f t="shared" si="256"/>
        <v>0</v>
      </c>
      <c r="V526" s="445">
        <f t="shared" si="257"/>
        <v>0</v>
      </c>
    </row>
    <row r="527" spans="1:22" s="29" customFormat="1" hidden="1">
      <c r="A527" s="434">
        <v>9</v>
      </c>
      <c r="B527" s="99" t="s">
        <v>2501</v>
      </c>
      <c r="C527" s="58">
        <f>SUM(C528:C537)</f>
        <v>0</v>
      </c>
      <c r="D527" s="176">
        <f t="shared" ref="D527:V527" si="261">SUM(D528:D537)</f>
        <v>0</v>
      </c>
      <c r="E527" s="58">
        <f t="shared" si="261"/>
        <v>0</v>
      </c>
      <c r="F527" s="58">
        <f t="shared" si="261"/>
        <v>0</v>
      </c>
      <c r="G527" s="435">
        <f t="shared" si="261"/>
        <v>0</v>
      </c>
      <c r="H527" s="436">
        <f t="shared" si="261"/>
        <v>0</v>
      </c>
      <c r="I527" s="435">
        <f t="shared" si="261"/>
        <v>0</v>
      </c>
      <c r="J527" s="436">
        <f t="shared" si="261"/>
        <v>0</v>
      </c>
      <c r="K527" s="436">
        <f t="shared" si="261"/>
        <v>0</v>
      </c>
      <c r="L527" s="436">
        <f t="shared" si="261"/>
        <v>0</v>
      </c>
      <c r="M527" s="435">
        <f t="shared" si="261"/>
        <v>0</v>
      </c>
      <c r="N527" s="437">
        <f t="shared" si="261"/>
        <v>0</v>
      </c>
      <c r="O527" s="437">
        <f t="shared" si="261"/>
        <v>0</v>
      </c>
      <c r="P527" s="437">
        <f t="shared" si="261"/>
        <v>0</v>
      </c>
      <c r="Q527" s="437">
        <f t="shared" si="261"/>
        <v>0</v>
      </c>
      <c r="R527" s="437">
        <f t="shared" si="261"/>
        <v>0</v>
      </c>
      <c r="S527" s="437">
        <f t="shared" si="261"/>
        <v>0</v>
      </c>
      <c r="T527" s="437">
        <f t="shared" si="261"/>
        <v>0</v>
      </c>
      <c r="U527" s="437">
        <f t="shared" si="261"/>
        <v>0</v>
      </c>
      <c r="V527" s="437">
        <f t="shared" si="261"/>
        <v>0</v>
      </c>
    </row>
    <row r="528" spans="1:22" s="29" customFormat="1" hidden="1">
      <c r="A528" s="438"/>
      <c r="B528" s="101" t="s">
        <v>2906</v>
      </c>
      <c r="C528" s="96"/>
      <c r="D528" s="175"/>
      <c r="E528" s="96"/>
      <c r="F528" s="96"/>
      <c r="G528" s="441">
        <f t="shared" ref="G528:G537" si="262">H528+I528+M528</f>
        <v>0</v>
      </c>
      <c r="H528" s="440"/>
      <c r="I528" s="441">
        <f t="shared" ref="I528:I537" si="263">SUM(J528:L528)</f>
        <v>0</v>
      </c>
      <c r="J528" s="440"/>
      <c r="K528" s="440"/>
      <c r="L528" s="440"/>
      <c r="M528" s="439">
        <f t="shared" ref="M528:M537" si="264">(H528+I528)*1%</f>
        <v>0</v>
      </c>
      <c r="N528" s="442">
        <f t="shared" ref="N528:N537" si="265">O528+P528+T528</f>
        <v>0</v>
      </c>
      <c r="O528" s="443">
        <f t="shared" ref="O528:O537" si="266">(H528/1.3)*1.39</f>
        <v>0</v>
      </c>
      <c r="P528" s="442">
        <f>SUM(Q528:S528)</f>
        <v>0</v>
      </c>
      <c r="Q528" s="443">
        <f t="shared" ref="Q528:S537" si="267">(J528/1.3)*1.39</f>
        <v>0</v>
      </c>
      <c r="R528" s="443">
        <f t="shared" si="267"/>
        <v>0</v>
      </c>
      <c r="S528" s="443">
        <f t="shared" si="267"/>
        <v>0</v>
      </c>
      <c r="T528" s="443">
        <f t="shared" ref="T528:T537" si="268">(O528+P528)*1%</f>
        <v>0</v>
      </c>
      <c r="U528" s="442">
        <f>T528-M528</f>
        <v>0</v>
      </c>
      <c r="V528" s="444">
        <f>U528*6</f>
        <v>0</v>
      </c>
    </row>
    <row r="529" spans="1:22" s="29" customFormat="1" hidden="1">
      <c r="A529" s="438"/>
      <c r="B529" s="101" t="s">
        <v>2907</v>
      </c>
      <c r="C529" s="96"/>
      <c r="D529" s="175"/>
      <c r="E529" s="96"/>
      <c r="F529" s="96"/>
      <c r="G529" s="441">
        <f t="shared" si="262"/>
        <v>0</v>
      </c>
      <c r="H529" s="440"/>
      <c r="I529" s="441">
        <f t="shared" si="263"/>
        <v>0</v>
      </c>
      <c r="J529" s="440"/>
      <c r="K529" s="440"/>
      <c r="L529" s="440"/>
      <c r="M529" s="439">
        <f t="shared" si="264"/>
        <v>0</v>
      </c>
      <c r="N529" s="442">
        <f t="shared" si="265"/>
        <v>0</v>
      </c>
      <c r="O529" s="443">
        <f t="shared" si="266"/>
        <v>0</v>
      </c>
      <c r="P529" s="442">
        <f t="shared" ref="P529:P537" si="269">SUM(Q529:S529)</f>
        <v>0</v>
      </c>
      <c r="Q529" s="443">
        <f t="shared" si="267"/>
        <v>0</v>
      </c>
      <c r="R529" s="443">
        <f t="shared" si="267"/>
        <v>0</v>
      </c>
      <c r="S529" s="443">
        <f t="shared" si="267"/>
        <v>0</v>
      </c>
      <c r="T529" s="443">
        <f t="shared" si="268"/>
        <v>0</v>
      </c>
      <c r="U529" s="442">
        <f t="shared" ref="U529:U537" si="270">T529-M529</f>
        <v>0</v>
      </c>
      <c r="V529" s="444">
        <f t="shared" ref="V529:V537" si="271">U529*6</f>
        <v>0</v>
      </c>
    </row>
    <row r="530" spans="1:22" s="29" customFormat="1" hidden="1">
      <c r="A530" s="438"/>
      <c r="B530" s="101" t="s">
        <v>2908</v>
      </c>
      <c r="C530" s="96"/>
      <c r="D530" s="180"/>
      <c r="E530" s="96"/>
      <c r="F530" s="96"/>
      <c r="G530" s="441">
        <f t="shared" si="262"/>
        <v>0</v>
      </c>
      <c r="H530" s="440"/>
      <c r="I530" s="441">
        <f t="shared" si="263"/>
        <v>0</v>
      </c>
      <c r="J530" s="440"/>
      <c r="K530" s="440"/>
      <c r="L530" s="440"/>
      <c r="M530" s="439">
        <f t="shared" si="264"/>
        <v>0</v>
      </c>
      <c r="N530" s="442">
        <f t="shared" si="265"/>
        <v>0</v>
      </c>
      <c r="O530" s="443">
        <f t="shared" si="266"/>
        <v>0</v>
      </c>
      <c r="P530" s="442">
        <f t="shared" si="269"/>
        <v>0</v>
      </c>
      <c r="Q530" s="443">
        <f t="shared" si="267"/>
        <v>0</v>
      </c>
      <c r="R530" s="443">
        <f t="shared" si="267"/>
        <v>0</v>
      </c>
      <c r="S530" s="443">
        <f t="shared" si="267"/>
        <v>0</v>
      </c>
      <c r="T530" s="443">
        <f t="shared" si="268"/>
        <v>0</v>
      </c>
      <c r="U530" s="442">
        <f t="shared" si="270"/>
        <v>0</v>
      </c>
      <c r="V530" s="444">
        <f t="shared" si="271"/>
        <v>0</v>
      </c>
    </row>
    <row r="531" spans="1:22" s="29" customFormat="1" hidden="1">
      <c r="A531" s="438"/>
      <c r="B531" s="101" t="s">
        <v>2909</v>
      </c>
      <c r="C531" s="96"/>
      <c r="D531" s="175"/>
      <c r="E531" s="96"/>
      <c r="F531" s="96"/>
      <c r="G531" s="441">
        <f t="shared" si="262"/>
        <v>0</v>
      </c>
      <c r="H531" s="440"/>
      <c r="I531" s="441">
        <f t="shared" si="263"/>
        <v>0</v>
      </c>
      <c r="J531" s="440"/>
      <c r="K531" s="440"/>
      <c r="L531" s="440"/>
      <c r="M531" s="439">
        <f t="shared" si="264"/>
        <v>0</v>
      </c>
      <c r="N531" s="442">
        <f t="shared" si="265"/>
        <v>0</v>
      </c>
      <c r="O531" s="443">
        <f t="shared" si="266"/>
        <v>0</v>
      </c>
      <c r="P531" s="442">
        <f t="shared" si="269"/>
        <v>0</v>
      </c>
      <c r="Q531" s="443">
        <f t="shared" si="267"/>
        <v>0</v>
      </c>
      <c r="R531" s="443">
        <f t="shared" si="267"/>
        <v>0</v>
      </c>
      <c r="S531" s="443">
        <f t="shared" si="267"/>
        <v>0</v>
      </c>
      <c r="T531" s="443">
        <f t="shared" si="268"/>
        <v>0</v>
      </c>
      <c r="U531" s="442">
        <f t="shared" si="270"/>
        <v>0</v>
      </c>
      <c r="V531" s="444">
        <f t="shared" si="271"/>
        <v>0</v>
      </c>
    </row>
    <row r="532" spans="1:22" s="29" customFormat="1" hidden="1">
      <c r="A532" s="438"/>
      <c r="B532" s="101" t="s">
        <v>2910</v>
      </c>
      <c r="C532" s="96"/>
      <c r="D532" s="180"/>
      <c r="E532" s="96"/>
      <c r="F532" s="96"/>
      <c r="G532" s="441">
        <f t="shared" si="262"/>
        <v>0</v>
      </c>
      <c r="H532" s="440"/>
      <c r="I532" s="441">
        <f t="shared" si="263"/>
        <v>0</v>
      </c>
      <c r="J532" s="440"/>
      <c r="K532" s="440"/>
      <c r="L532" s="440"/>
      <c r="M532" s="439">
        <f t="shared" si="264"/>
        <v>0</v>
      </c>
      <c r="N532" s="442">
        <f t="shared" si="265"/>
        <v>0</v>
      </c>
      <c r="O532" s="443">
        <f t="shared" si="266"/>
        <v>0</v>
      </c>
      <c r="P532" s="442">
        <f t="shared" si="269"/>
        <v>0</v>
      </c>
      <c r="Q532" s="443">
        <f t="shared" si="267"/>
        <v>0</v>
      </c>
      <c r="R532" s="443">
        <f t="shared" si="267"/>
        <v>0</v>
      </c>
      <c r="S532" s="443">
        <f t="shared" si="267"/>
        <v>0</v>
      </c>
      <c r="T532" s="443">
        <f t="shared" si="268"/>
        <v>0</v>
      </c>
      <c r="U532" s="442">
        <f t="shared" si="270"/>
        <v>0</v>
      </c>
      <c r="V532" s="444">
        <f t="shared" si="271"/>
        <v>0</v>
      </c>
    </row>
    <row r="533" spans="1:22" s="29" customFormat="1" hidden="1">
      <c r="A533" s="438"/>
      <c r="B533" s="101" t="s">
        <v>2911</v>
      </c>
      <c r="C533" s="78"/>
      <c r="D533" s="175"/>
      <c r="E533" s="78"/>
      <c r="F533" s="78"/>
      <c r="G533" s="441">
        <f t="shared" si="262"/>
        <v>0</v>
      </c>
      <c r="H533" s="440"/>
      <c r="I533" s="441">
        <f t="shared" si="263"/>
        <v>0</v>
      </c>
      <c r="J533" s="440"/>
      <c r="K533" s="440"/>
      <c r="L533" s="440"/>
      <c r="M533" s="439">
        <f t="shared" si="264"/>
        <v>0</v>
      </c>
      <c r="N533" s="442">
        <f t="shared" si="265"/>
        <v>0</v>
      </c>
      <c r="O533" s="443">
        <f t="shared" si="266"/>
        <v>0</v>
      </c>
      <c r="P533" s="442">
        <f t="shared" si="269"/>
        <v>0</v>
      </c>
      <c r="Q533" s="443">
        <f t="shared" si="267"/>
        <v>0</v>
      </c>
      <c r="R533" s="443">
        <f t="shared" si="267"/>
        <v>0</v>
      </c>
      <c r="S533" s="443">
        <f t="shared" si="267"/>
        <v>0</v>
      </c>
      <c r="T533" s="443">
        <f t="shared" si="268"/>
        <v>0</v>
      </c>
      <c r="U533" s="442">
        <f t="shared" si="270"/>
        <v>0</v>
      </c>
      <c r="V533" s="444">
        <f t="shared" si="271"/>
        <v>0</v>
      </c>
    </row>
    <row r="534" spans="1:22" s="29" customFormat="1" hidden="1">
      <c r="A534" s="438"/>
      <c r="B534" s="101" t="s">
        <v>2912</v>
      </c>
      <c r="C534" s="96"/>
      <c r="D534" s="180"/>
      <c r="E534" s="96"/>
      <c r="F534" s="96"/>
      <c r="G534" s="441">
        <f t="shared" si="262"/>
        <v>0</v>
      </c>
      <c r="H534" s="440"/>
      <c r="I534" s="441">
        <f t="shared" si="263"/>
        <v>0</v>
      </c>
      <c r="J534" s="440"/>
      <c r="K534" s="440"/>
      <c r="L534" s="440"/>
      <c r="M534" s="439">
        <f t="shared" si="264"/>
        <v>0</v>
      </c>
      <c r="N534" s="442">
        <f t="shared" si="265"/>
        <v>0</v>
      </c>
      <c r="O534" s="443">
        <f t="shared" si="266"/>
        <v>0</v>
      </c>
      <c r="P534" s="442">
        <f t="shared" si="269"/>
        <v>0</v>
      </c>
      <c r="Q534" s="443">
        <f t="shared" si="267"/>
        <v>0</v>
      </c>
      <c r="R534" s="443">
        <f t="shared" si="267"/>
        <v>0</v>
      </c>
      <c r="S534" s="443">
        <f t="shared" si="267"/>
        <v>0</v>
      </c>
      <c r="T534" s="443">
        <f t="shared" si="268"/>
        <v>0</v>
      </c>
      <c r="U534" s="442">
        <f t="shared" si="270"/>
        <v>0</v>
      </c>
      <c r="V534" s="444">
        <f t="shared" si="271"/>
        <v>0</v>
      </c>
    </row>
    <row r="535" spans="1:22" s="29" customFormat="1" hidden="1">
      <c r="A535" s="438"/>
      <c r="B535" s="101" t="s">
        <v>2536</v>
      </c>
      <c r="C535" s="96"/>
      <c r="D535" s="175"/>
      <c r="E535" s="96"/>
      <c r="F535" s="96"/>
      <c r="G535" s="441">
        <f t="shared" si="262"/>
        <v>0</v>
      </c>
      <c r="H535" s="440"/>
      <c r="I535" s="441">
        <f t="shared" si="263"/>
        <v>0</v>
      </c>
      <c r="J535" s="440"/>
      <c r="K535" s="440"/>
      <c r="L535" s="440"/>
      <c r="M535" s="439">
        <f t="shared" si="264"/>
        <v>0</v>
      </c>
      <c r="N535" s="442">
        <f t="shared" si="265"/>
        <v>0</v>
      </c>
      <c r="O535" s="443">
        <f t="shared" si="266"/>
        <v>0</v>
      </c>
      <c r="P535" s="442">
        <f t="shared" si="269"/>
        <v>0</v>
      </c>
      <c r="Q535" s="443">
        <f t="shared" si="267"/>
        <v>0</v>
      </c>
      <c r="R535" s="443">
        <f t="shared" si="267"/>
        <v>0</v>
      </c>
      <c r="S535" s="443">
        <f t="shared" si="267"/>
        <v>0</v>
      </c>
      <c r="T535" s="443">
        <f t="shared" si="268"/>
        <v>0</v>
      </c>
      <c r="U535" s="442">
        <f t="shared" si="270"/>
        <v>0</v>
      </c>
      <c r="V535" s="444">
        <f t="shared" si="271"/>
        <v>0</v>
      </c>
    </row>
    <row r="536" spans="1:22" s="29" customFormat="1" hidden="1">
      <c r="A536" s="438"/>
      <c r="B536" s="101" t="s">
        <v>2537</v>
      </c>
      <c r="C536" s="96"/>
      <c r="D536" s="175"/>
      <c r="E536" s="96"/>
      <c r="F536" s="96"/>
      <c r="G536" s="441">
        <f t="shared" si="262"/>
        <v>0</v>
      </c>
      <c r="H536" s="440"/>
      <c r="I536" s="441">
        <f t="shared" si="263"/>
        <v>0</v>
      </c>
      <c r="J536" s="440"/>
      <c r="K536" s="440"/>
      <c r="L536" s="440"/>
      <c r="M536" s="439">
        <f t="shared" si="264"/>
        <v>0</v>
      </c>
      <c r="N536" s="442">
        <f t="shared" si="265"/>
        <v>0</v>
      </c>
      <c r="O536" s="443">
        <f t="shared" si="266"/>
        <v>0</v>
      </c>
      <c r="P536" s="442">
        <f t="shared" si="269"/>
        <v>0</v>
      </c>
      <c r="Q536" s="443">
        <f t="shared" si="267"/>
        <v>0</v>
      </c>
      <c r="R536" s="443">
        <f t="shared" si="267"/>
        <v>0</v>
      </c>
      <c r="S536" s="443">
        <f t="shared" si="267"/>
        <v>0</v>
      </c>
      <c r="T536" s="443">
        <f t="shared" si="268"/>
        <v>0</v>
      </c>
      <c r="U536" s="442">
        <f t="shared" si="270"/>
        <v>0</v>
      </c>
      <c r="V536" s="444">
        <f t="shared" si="271"/>
        <v>0</v>
      </c>
    </row>
    <row r="537" spans="1:22" s="29" customFormat="1" hidden="1">
      <c r="A537" s="438"/>
      <c r="B537" s="101" t="s">
        <v>2492</v>
      </c>
      <c r="C537" s="96"/>
      <c r="D537" s="175"/>
      <c r="E537" s="96"/>
      <c r="F537" s="96"/>
      <c r="G537" s="441">
        <f t="shared" si="262"/>
        <v>0</v>
      </c>
      <c r="H537" s="440"/>
      <c r="I537" s="441">
        <f t="shared" si="263"/>
        <v>0</v>
      </c>
      <c r="J537" s="440"/>
      <c r="K537" s="440"/>
      <c r="L537" s="440"/>
      <c r="M537" s="439">
        <f t="shared" si="264"/>
        <v>0</v>
      </c>
      <c r="N537" s="443">
        <f t="shared" si="265"/>
        <v>0</v>
      </c>
      <c r="O537" s="443">
        <f t="shared" si="266"/>
        <v>0</v>
      </c>
      <c r="P537" s="442">
        <f t="shared" si="269"/>
        <v>0</v>
      </c>
      <c r="Q537" s="443">
        <f t="shared" si="267"/>
        <v>0</v>
      </c>
      <c r="R537" s="443">
        <f t="shared" si="267"/>
        <v>0</v>
      </c>
      <c r="S537" s="443">
        <f t="shared" si="267"/>
        <v>0</v>
      </c>
      <c r="T537" s="443">
        <f t="shared" si="268"/>
        <v>0</v>
      </c>
      <c r="U537" s="442">
        <f t="shared" si="270"/>
        <v>0</v>
      </c>
      <c r="V537" s="444">
        <f t="shared" si="271"/>
        <v>0</v>
      </c>
    </row>
    <row r="538" spans="1:22" s="73" customFormat="1" hidden="1">
      <c r="A538" s="447"/>
      <c r="B538" s="448"/>
      <c r="C538" s="449"/>
      <c r="D538" s="448"/>
      <c r="E538" s="449"/>
      <c r="F538" s="449"/>
      <c r="G538" s="450"/>
      <c r="H538" s="450"/>
      <c r="I538" s="450"/>
      <c r="J538" s="450"/>
      <c r="K538" s="451"/>
      <c r="L538" s="451"/>
      <c r="M538" s="451"/>
      <c r="N538" s="450"/>
      <c r="O538" s="450"/>
      <c r="P538" s="450"/>
      <c r="Q538" s="450"/>
      <c r="R538" s="451"/>
      <c r="S538" s="451"/>
      <c r="T538" s="451"/>
      <c r="U538" s="451"/>
      <c r="V538" s="451"/>
    </row>
    <row r="539" spans="1:22" s="73" customFormat="1">
      <c r="A539" s="113" t="s">
        <v>2914</v>
      </c>
      <c r="B539" s="109"/>
      <c r="C539" s="110"/>
      <c r="D539" s="109"/>
      <c r="E539" s="110"/>
      <c r="F539" s="110"/>
      <c r="G539" s="452"/>
      <c r="H539" s="452"/>
      <c r="I539" s="452"/>
      <c r="J539" s="452"/>
      <c r="K539" s="453"/>
      <c r="L539" s="453"/>
      <c r="M539" s="453"/>
      <c r="N539" s="452"/>
      <c r="O539" s="452"/>
      <c r="P539" s="452"/>
      <c r="Q539" s="452"/>
      <c r="R539" s="453"/>
      <c r="S539" s="453"/>
      <c r="T539" s="453"/>
      <c r="U539" s="453"/>
      <c r="V539" s="453"/>
    </row>
    <row r="540" spans="1:22" s="11" customFormat="1">
      <c r="A540" s="114"/>
      <c r="B540" s="114"/>
      <c r="C540" s="115"/>
      <c r="D540" s="114"/>
      <c r="E540" s="115"/>
      <c r="F540" s="115"/>
      <c r="G540" s="454"/>
      <c r="H540" s="454"/>
      <c r="I540" s="454"/>
      <c r="J540" s="454"/>
      <c r="K540" s="455"/>
      <c r="L540" s="455"/>
      <c r="M540" s="1912" t="s">
        <v>2915</v>
      </c>
      <c r="N540" s="1912"/>
      <c r="O540" s="1912"/>
      <c r="P540" s="1912"/>
      <c r="Q540" s="1912"/>
      <c r="R540" s="1912"/>
      <c r="S540" s="1912"/>
      <c r="T540" s="1912"/>
      <c r="U540" s="1912"/>
      <c r="V540" s="1912"/>
    </row>
    <row r="541" spans="1:22" s="11" customFormat="1">
      <c r="A541" s="114"/>
      <c r="B541" s="1158" t="s">
        <v>2916</v>
      </c>
      <c r="C541" s="115"/>
      <c r="D541" s="114"/>
      <c r="E541" s="115"/>
      <c r="F541" s="115"/>
      <c r="G541" s="454"/>
      <c r="H541" s="454"/>
      <c r="I541" s="454"/>
      <c r="J541" s="454"/>
      <c r="K541" s="455"/>
      <c r="L541" s="455"/>
      <c r="M541" s="1913" t="s">
        <v>2503</v>
      </c>
      <c r="N541" s="1913"/>
      <c r="O541" s="1913"/>
      <c r="P541" s="1913"/>
      <c r="Q541" s="1913"/>
      <c r="R541" s="1913"/>
      <c r="S541" s="1913"/>
      <c r="T541" s="1913"/>
      <c r="U541" s="1913"/>
      <c r="V541" s="1913"/>
    </row>
    <row r="542" spans="1:22">
      <c r="A542" s="114"/>
      <c r="B542" s="114"/>
      <c r="C542" s="115"/>
      <c r="D542" s="114"/>
      <c r="E542" s="115"/>
      <c r="F542" s="115"/>
      <c r="G542" s="454"/>
      <c r="H542" s="454"/>
      <c r="I542" s="454"/>
      <c r="J542" s="454"/>
      <c r="K542" s="454"/>
      <c r="L542" s="454"/>
      <c r="M542" s="1914"/>
      <c r="N542" s="1914"/>
      <c r="O542" s="1914"/>
      <c r="P542" s="1914"/>
      <c r="Q542" s="1914"/>
      <c r="R542" s="1914"/>
      <c r="S542" s="1914"/>
      <c r="T542" s="1914"/>
      <c r="U542" s="1914"/>
      <c r="V542" s="1914"/>
    </row>
    <row r="543" spans="1:22">
      <c r="A543" s="1915"/>
      <c r="B543" s="1915"/>
      <c r="C543" s="118"/>
      <c r="D543" s="1156"/>
      <c r="E543" s="118"/>
      <c r="F543" s="118"/>
      <c r="G543" s="456"/>
      <c r="H543" s="456"/>
      <c r="I543" s="456"/>
      <c r="J543" s="456"/>
      <c r="K543" s="456"/>
      <c r="L543" s="456"/>
      <c r="M543" s="456"/>
      <c r="N543" s="456"/>
      <c r="O543" s="456"/>
      <c r="P543" s="456"/>
      <c r="Q543" s="456"/>
      <c r="R543" s="456"/>
      <c r="S543" s="456"/>
      <c r="T543" s="456"/>
      <c r="U543" s="1173"/>
      <c r="V543" s="1173"/>
    </row>
    <row r="544" spans="1:22">
      <c r="A544" s="1915"/>
      <c r="B544" s="1915"/>
      <c r="C544" s="118"/>
      <c r="D544" s="1156"/>
      <c r="E544" s="118"/>
      <c r="F544" s="118"/>
      <c r="G544" s="456"/>
      <c r="H544" s="456"/>
      <c r="I544" s="456"/>
      <c r="J544" s="456"/>
      <c r="K544" s="456"/>
      <c r="L544" s="456"/>
      <c r="M544" s="456"/>
      <c r="N544" s="456"/>
      <c r="O544" s="456"/>
      <c r="P544" s="456"/>
      <c r="Q544" s="456"/>
      <c r="R544" s="456"/>
      <c r="S544" s="456"/>
      <c r="T544" s="456"/>
      <c r="U544" s="1173"/>
      <c r="V544" s="1173"/>
    </row>
    <row r="545" spans="1:20" s="457" customFormat="1">
      <c r="A545" s="1156"/>
      <c r="B545" s="1156"/>
      <c r="C545" s="118"/>
      <c r="D545" s="1156"/>
      <c r="E545" s="118"/>
      <c r="F545" s="118"/>
      <c r="G545" s="456"/>
      <c r="H545" s="456"/>
      <c r="I545" s="456"/>
      <c r="J545" s="456"/>
      <c r="K545" s="456"/>
      <c r="L545" s="456"/>
      <c r="M545" s="456"/>
      <c r="N545" s="456"/>
      <c r="O545" s="456"/>
      <c r="P545" s="456"/>
      <c r="Q545" s="456"/>
      <c r="R545" s="456"/>
      <c r="S545" s="456"/>
      <c r="T545" s="456"/>
    </row>
    <row r="546" spans="1:20" s="457" customFormat="1">
      <c r="A546" s="1156"/>
      <c r="B546" s="1156"/>
      <c r="C546" s="118"/>
      <c r="D546" s="1156"/>
      <c r="E546" s="118"/>
      <c r="F546" s="118"/>
      <c r="G546" s="456"/>
      <c r="H546" s="456"/>
      <c r="I546" s="456"/>
      <c r="J546" s="456"/>
      <c r="K546" s="456"/>
      <c r="L546" s="456"/>
      <c r="M546" s="456"/>
      <c r="N546" s="456"/>
      <c r="O546" s="456"/>
      <c r="P546" s="456"/>
      <c r="Q546" s="456"/>
      <c r="R546" s="456"/>
      <c r="S546" s="456"/>
      <c r="T546" s="456"/>
    </row>
    <row r="547" spans="1:20" s="457" customFormat="1">
      <c r="A547" s="1156"/>
      <c r="B547" s="1156"/>
      <c r="C547" s="118"/>
      <c r="D547" s="1156"/>
      <c r="E547" s="118"/>
      <c r="F547" s="118"/>
      <c r="G547" s="456"/>
      <c r="H547" s="456"/>
      <c r="I547" s="456"/>
      <c r="J547" s="456"/>
      <c r="K547" s="456"/>
      <c r="L547" s="456"/>
      <c r="M547" s="456"/>
      <c r="N547" s="456"/>
      <c r="O547" s="456"/>
      <c r="P547" s="456"/>
      <c r="Q547" s="456"/>
      <c r="R547" s="456"/>
      <c r="S547" s="456"/>
      <c r="T547" s="456"/>
    </row>
    <row r="548" spans="1:20" s="457" customFormat="1">
      <c r="A548" s="1156"/>
      <c r="B548" s="1156"/>
      <c r="C548" s="118"/>
      <c r="D548" s="1156"/>
      <c r="E548" s="118"/>
      <c r="F548" s="118"/>
      <c r="G548" s="456"/>
      <c r="H548" s="456"/>
      <c r="I548" s="456"/>
      <c r="J548" s="456"/>
      <c r="K548" s="456"/>
      <c r="L548" s="456"/>
      <c r="M548" s="456"/>
      <c r="N548" s="456"/>
      <c r="O548" s="456"/>
      <c r="P548" s="456"/>
      <c r="Q548" s="456"/>
      <c r="R548" s="456"/>
      <c r="S548" s="456"/>
      <c r="T548" s="456"/>
    </row>
    <row r="549" spans="1:20" s="457" customFormat="1">
      <c r="A549" s="1156"/>
      <c r="B549" s="1156"/>
      <c r="C549" s="118"/>
      <c r="D549" s="1156"/>
      <c r="E549" s="118"/>
      <c r="F549" s="118"/>
      <c r="G549" s="456"/>
      <c r="H549" s="456"/>
      <c r="I549" s="456"/>
      <c r="J549" s="456"/>
      <c r="K549" s="456"/>
      <c r="L549" s="456"/>
      <c r="M549" s="456"/>
      <c r="N549" s="456"/>
      <c r="O549" s="456"/>
      <c r="P549" s="456"/>
      <c r="Q549" s="456"/>
      <c r="R549" s="456"/>
      <c r="S549" s="456"/>
      <c r="T549" s="456"/>
    </row>
    <row r="550" spans="1:20" s="457" customFormat="1">
      <c r="A550" s="1156"/>
      <c r="B550" s="1156"/>
      <c r="C550" s="118"/>
      <c r="D550" s="1156"/>
      <c r="E550" s="118"/>
      <c r="F550" s="118"/>
      <c r="G550" s="456"/>
      <c r="H550" s="456"/>
      <c r="I550" s="456"/>
      <c r="J550" s="456"/>
      <c r="K550" s="456"/>
      <c r="L550" s="456"/>
      <c r="M550" s="456"/>
      <c r="N550" s="456"/>
      <c r="O550" s="456"/>
      <c r="P550" s="456"/>
      <c r="Q550" s="456"/>
      <c r="R550" s="456"/>
      <c r="S550" s="456"/>
      <c r="T550" s="456"/>
    </row>
    <row r="551" spans="1:20" s="457" customFormat="1">
      <c r="A551" s="1156"/>
      <c r="B551" s="1156"/>
      <c r="C551" s="118"/>
      <c r="D551" s="1156"/>
      <c r="E551" s="118"/>
      <c r="F551" s="118"/>
      <c r="G551" s="456"/>
      <c r="H551" s="456"/>
      <c r="I551" s="456"/>
      <c r="J551" s="456"/>
      <c r="K551" s="456"/>
      <c r="L551" s="456"/>
      <c r="M551" s="456"/>
      <c r="N551" s="456"/>
      <c r="O551" s="456"/>
      <c r="P551" s="456"/>
      <c r="Q551" s="456"/>
      <c r="R551" s="456"/>
      <c r="S551" s="456"/>
      <c r="T551" s="456"/>
    </row>
    <row r="552" spans="1:20" s="457" customFormat="1">
      <c r="A552" s="1156"/>
      <c r="B552" s="1156"/>
      <c r="C552" s="118"/>
      <c r="D552" s="1156"/>
      <c r="E552" s="118"/>
      <c r="F552" s="118"/>
      <c r="G552" s="456"/>
      <c r="H552" s="456"/>
      <c r="I552" s="456"/>
      <c r="J552" s="456"/>
      <c r="K552" s="456"/>
      <c r="L552" s="456"/>
      <c r="M552" s="456"/>
      <c r="N552" s="456"/>
      <c r="O552" s="456"/>
      <c r="P552" s="456"/>
      <c r="Q552" s="456"/>
      <c r="R552" s="456"/>
      <c r="S552" s="456"/>
      <c r="T552" s="456"/>
    </row>
    <row r="553" spans="1:20" s="457" customFormat="1">
      <c r="A553" s="1156"/>
      <c r="B553" s="1156"/>
      <c r="C553" s="118"/>
      <c r="D553" s="1156"/>
      <c r="E553" s="118"/>
      <c r="F553" s="118"/>
      <c r="G553" s="456"/>
      <c r="H553" s="456"/>
      <c r="I553" s="456"/>
      <c r="J553" s="456"/>
      <c r="K553" s="456"/>
      <c r="L553" s="456"/>
      <c r="M553" s="456"/>
      <c r="N553" s="456"/>
      <c r="O553" s="456"/>
      <c r="P553" s="456"/>
      <c r="Q553" s="456"/>
      <c r="R553" s="456"/>
      <c r="S553" s="456"/>
      <c r="T553" s="456"/>
    </row>
    <row r="554" spans="1:20" s="457" customFormat="1">
      <c r="A554" s="1156"/>
      <c r="B554" s="1156"/>
      <c r="C554" s="118"/>
      <c r="D554" s="1156"/>
      <c r="E554" s="118"/>
      <c r="F554" s="118"/>
      <c r="G554" s="456"/>
      <c r="H554" s="456"/>
      <c r="I554" s="456"/>
      <c r="J554" s="456"/>
      <c r="K554" s="456"/>
      <c r="L554" s="456"/>
      <c r="M554" s="456"/>
      <c r="N554" s="456"/>
      <c r="O554" s="456"/>
      <c r="P554" s="456"/>
      <c r="Q554" s="456"/>
      <c r="R554" s="456"/>
      <c r="S554" s="456"/>
      <c r="T554" s="456"/>
    </row>
    <row r="555" spans="1:20" s="457" customFormat="1">
      <c r="A555" s="1156"/>
      <c r="B555" s="1156"/>
      <c r="C555" s="118"/>
      <c r="D555" s="1156"/>
      <c r="E555" s="118"/>
      <c r="F555" s="118"/>
      <c r="G555" s="456"/>
      <c r="H555" s="456"/>
      <c r="I555" s="456"/>
      <c r="J555" s="456"/>
      <c r="K555" s="456"/>
      <c r="L555" s="456"/>
      <c r="M555" s="456"/>
      <c r="N555" s="456"/>
      <c r="O555" s="456"/>
      <c r="P555" s="456"/>
      <c r="Q555" s="456"/>
      <c r="R555" s="456"/>
      <c r="S555" s="456"/>
      <c r="T555" s="456"/>
    </row>
    <row r="556" spans="1:20" s="457" customFormat="1">
      <c r="A556" s="1156"/>
      <c r="B556" s="1156"/>
      <c r="C556" s="118"/>
      <c r="D556" s="1156"/>
      <c r="E556" s="118"/>
      <c r="F556" s="118"/>
      <c r="G556" s="456"/>
      <c r="H556" s="456"/>
      <c r="I556" s="456"/>
      <c r="J556" s="456"/>
      <c r="K556" s="456"/>
      <c r="L556" s="456"/>
      <c r="M556" s="456"/>
      <c r="N556" s="456"/>
      <c r="O556" s="456"/>
      <c r="P556" s="456"/>
      <c r="Q556" s="456"/>
      <c r="R556" s="456"/>
      <c r="S556" s="456"/>
      <c r="T556" s="456"/>
    </row>
    <row r="557" spans="1:20" s="457" customFormat="1">
      <c r="A557" s="1156"/>
      <c r="B557" s="1156"/>
      <c r="C557" s="118"/>
      <c r="D557" s="1156"/>
      <c r="E557" s="118"/>
      <c r="F557" s="118"/>
      <c r="G557" s="456"/>
      <c r="H557" s="456"/>
      <c r="I557" s="456"/>
      <c r="J557" s="456"/>
      <c r="K557" s="456"/>
      <c r="L557" s="456"/>
      <c r="M557" s="456"/>
      <c r="N557" s="456"/>
      <c r="O557" s="456"/>
      <c r="P557" s="456"/>
      <c r="Q557" s="456"/>
      <c r="R557" s="456"/>
      <c r="S557" s="456"/>
      <c r="T557" s="456"/>
    </row>
    <row r="558" spans="1:20" s="457" customFormat="1">
      <c r="A558" s="1156"/>
      <c r="B558" s="1156"/>
      <c r="C558" s="118"/>
      <c r="D558" s="1156"/>
      <c r="E558" s="118"/>
      <c r="F558" s="118"/>
      <c r="G558" s="456"/>
      <c r="H558" s="456"/>
      <c r="I558" s="456"/>
      <c r="J558" s="456"/>
      <c r="K558" s="456"/>
      <c r="L558" s="456"/>
      <c r="M558" s="456"/>
      <c r="N558" s="456"/>
      <c r="O558" s="456"/>
      <c r="P558" s="456"/>
      <c r="Q558" s="456"/>
      <c r="R558" s="456"/>
      <c r="S558" s="456"/>
      <c r="T558" s="456"/>
    </row>
    <row r="559" spans="1:20" s="457" customFormat="1">
      <c r="A559" s="1156"/>
      <c r="B559" s="1156"/>
      <c r="C559" s="118"/>
      <c r="D559" s="1156"/>
      <c r="E559" s="118"/>
      <c r="F559" s="118"/>
      <c r="G559" s="456"/>
      <c r="H559" s="456"/>
      <c r="I559" s="456"/>
      <c r="J559" s="456"/>
      <c r="K559" s="456"/>
      <c r="L559" s="456"/>
      <c r="M559" s="456"/>
      <c r="N559" s="456"/>
      <c r="O559" s="456"/>
      <c r="P559" s="456"/>
      <c r="Q559" s="456"/>
      <c r="R559" s="456"/>
      <c r="S559" s="456"/>
      <c r="T559" s="456"/>
    </row>
    <row r="560" spans="1:20" s="457" customFormat="1">
      <c r="A560" s="1156"/>
      <c r="B560" s="1156"/>
      <c r="C560" s="118"/>
      <c r="D560" s="1156"/>
      <c r="E560" s="118"/>
      <c r="F560" s="118"/>
      <c r="G560" s="456"/>
      <c r="H560" s="456"/>
      <c r="I560" s="456"/>
      <c r="J560" s="456"/>
      <c r="K560" s="456"/>
      <c r="L560" s="456"/>
      <c r="M560" s="456"/>
      <c r="N560" s="456"/>
      <c r="O560" s="456"/>
      <c r="P560" s="456"/>
      <c r="Q560" s="456"/>
      <c r="R560" s="456"/>
      <c r="S560" s="456"/>
      <c r="T560" s="456"/>
    </row>
    <row r="561" spans="1:20" s="457" customFormat="1">
      <c r="A561" s="1156"/>
      <c r="B561" s="1156"/>
      <c r="C561" s="118"/>
      <c r="D561" s="1156"/>
      <c r="E561" s="118"/>
      <c r="F561" s="118"/>
      <c r="G561" s="456"/>
      <c r="H561" s="456"/>
      <c r="I561" s="456"/>
      <c r="J561" s="456"/>
      <c r="K561" s="456"/>
      <c r="L561" s="456"/>
      <c r="M561" s="456"/>
      <c r="N561" s="456"/>
      <c r="O561" s="456"/>
      <c r="P561" s="456"/>
      <c r="Q561" s="456"/>
      <c r="R561" s="456"/>
      <c r="S561" s="456"/>
      <c r="T561" s="456"/>
    </row>
    <row r="562" spans="1:20" s="457" customFormat="1">
      <c r="A562" s="1156"/>
      <c r="B562" s="1156"/>
      <c r="C562" s="118"/>
      <c r="D562" s="1156"/>
      <c r="E562" s="118"/>
      <c r="F562" s="118"/>
      <c r="G562" s="456"/>
      <c r="H562" s="456"/>
      <c r="I562" s="456"/>
      <c r="J562" s="456"/>
      <c r="K562" s="456"/>
      <c r="L562" s="456"/>
      <c r="M562" s="456"/>
      <c r="N562" s="456"/>
      <c r="O562" s="456"/>
      <c r="P562" s="456"/>
      <c r="Q562" s="456"/>
      <c r="R562" s="456"/>
      <c r="S562" s="456"/>
      <c r="T562" s="456"/>
    </row>
    <row r="563" spans="1:20" s="457" customFormat="1">
      <c r="A563" s="1156"/>
      <c r="B563" s="1156"/>
      <c r="C563" s="118"/>
      <c r="D563" s="1156"/>
      <c r="E563" s="118"/>
      <c r="F563" s="118"/>
      <c r="G563" s="456"/>
      <c r="H563" s="456"/>
      <c r="I563" s="456"/>
      <c r="J563" s="456"/>
      <c r="K563" s="456"/>
      <c r="L563" s="456"/>
      <c r="M563" s="456"/>
      <c r="N563" s="456"/>
      <c r="O563" s="456"/>
      <c r="P563" s="456"/>
      <c r="Q563" s="456"/>
      <c r="R563" s="456"/>
      <c r="S563" s="456"/>
      <c r="T563" s="456"/>
    </row>
    <row r="564" spans="1:20" s="457" customFormat="1">
      <c r="A564" s="1156"/>
      <c r="B564" s="1156"/>
      <c r="C564" s="118"/>
      <c r="D564" s="1156"/>
      <c r="E564" s="118"/>
      <c r="F564" s="118"/>
      <c r="G564" s="456"/>
      <c r="H564" s="456"/>
      <c r="I564" s="456"/>
      <c r="J564" s="456"/>
      <c r="K564" s="456"/>
      <c r="L564" s="456"/>
      <c r="M564" s="456"/>
      <c r="N564" s="456"/>
      <c r="O564" s="456"/>
      <c r="P564" s="456"/>
      <c r="Q564" s="456"/>
      <c r="R564" s="456"/>
      <c r="S564" s="456"/>
      <c r="T564" s="456"/>
    </row>
    <row r="565" spans="1:20" s="457" customFormat="1">
      <c r="A565" s="1156"/>
      <c r="B565" s="1156"/>
      <c r="C565" s="118"/>
      <c r="D565" s="1156"/>
      <c r="E565" s="118"/>
      <c r="F565" s="118"/>
      <c r="G565" s="456"/>
      <c r="H565" s="456"/>
      <c r="I565" s="456"/>
      <c r="J565" s="456"/>
      <c r="K565" s="456"/>
      <c r="L565" s="456"/>
      <c r="M565" s="456"/>
      <c r="N565" s="456"/>
      <c r="O565" s="456"/>
      <c r="P565" s="456"/>
      <c r="Q565" s="456"/>
      <c r="R565" s="456"/>
      <c r="S565" s="456"/>
      <c r="T565" s="456"/>
    </row>
    <row r="566" spans="1:20" s="457" customFormat="1">
      <c r="A566" s="1156"/>
      <c r="B566" s="1156"/>
      <c r="C566" s="118"/>
      <c r="D566" s="1156"/>
      <c r="E566" s="118"/>
      <c r="F566" s="118"/>
      <c r="G566" s="456"/>
      <c r="H566" s="456"/>
      <c r="I566" s="456"/>
      <c r="J566" s="456"/>
      <c r="K566" s="456"/>
      <c r="L566" s="456"/>
      <c r="M566" s="456"/>
      <c r="N566" s="456"/>
      <c r="O566" s="456"/>
      <c r="P566" s="456"/>
      <c r="Q566" s="456"/>
      <c r="R566" s="456"/>
      <c r="S566" s="456"/>
      <c r="T566" s="456"/>
    </row>
    <row r="567" spans="1:20" s="457" customFormat="1">
      <c r="A567" s="1156"/>
      <c r="B567" s="1156"/>
      <c r="C567" s="118"/>
      <c r="D567" s="1156"/>
      <c r="E567" s="118"/>
      <c r="F567" s="118"/>
      <c r="G567" s="456"/>
      <c r="H567" s="456"/>
      <c r="I567" s="456"/>
      <c r="J567" s="456"/>
      <c r="K567" s="456"/>
      <c r="L567" s="456"/>
      <c r="M567" s="456"/>
      <c r="N567" s="456"/>
      <c r="O567" s="456"/>
      <c r="P567" s="456"/>
      <c r="Q567" s="456"/>
      <c r="R567" s="456"/>
      <c r="S567" s="456"/>
      <c r="T567" s="456"/>
    </row>
    <row r="568" spans="1:20" s="457" customFormat="1">
      <c r="A568" s="1156"/>
      <c r="B568" s="1156"/>
      <c r="C568" s="118"/>
      <c r="D568" s="1156"/>
      <c r="E568" s="118"/>
      <c r="F568" s="118"/>
      <c r="G568" s="456"/>
      <c r="H568" s="456"/>
      <c r="I568" s="456"/>
      <c r="J568" s="456"/>
      <c r="K568" s="456"/>
      <c r="L568" s="456"/>
      <c r="M568" s="456"/>
      <c r="N568" s="456"/>
      <c r="O568" s="456"/>
      <c r="P568" s="456"/>
      <c r="Q568" s="456"/>
      <c r="R568" s="456"/>
      <c r="S568" s="456"/>
      <c r="T568" s="456"/>
    </row>
    <row r="569" spans="1:20" s="457" customFormat="1">
      <c r="A569" s="1156"/>
      <c r="B569" s="1156"/>
      <c r="C569" s="118"/>
      <c r="D569" s="1156"/>
      <c r="E569" s="118"/>
      <c r="F569" s="118"/>
      <c r="G569" s="456"/>
      <c r="H569" s="456"/>
      <c r="I569" s="456"/>
      <c r="J569" s="456"/>
      <c r="K569" s="456"/>
      <c r="L569" s="456"/>
      <c r="M569" s="456"/>
      <c r="N569" s="456"/>
      <c r="O569" s="456"/>
      <c r="P569" s="456"/>
      <c r="Q569" s="456"/>
      <c r="R569" s="456"/>
      <c r="S569" s="456"/>
      <c r="T569" s="456"/>
    </row>
    <row r="570" spans="1:20" s="457" customFormat="1">
      <c r="A570" s="1156"/>
      <c r="B570" s="1156"/>
      <c r="C570" s="118"/>
      <c r="D570" s="1156"/>
      <c r="E570" s="118"/>
      <c r="F570" s="118"/>
      <c r="G570" s="456"/>
      <c r="H570" s="456"/>
      <c r="I570" s="456"/>
      <c r="J570" s="456"/>
      <c r="K570" s="456"/>
      <c r="L570" s="456"/>
      <c r="M570" s="456"/>
      <c r="N570" s="456"/>
      <c r="O570" s="456"/>
      <c r="P570" s="456"/>
      <c r="Q570" s="456"/>
      <c r="R570" s="456"/>
      <c r="S570" s="456"/>
      <c r="T570" s="456"/>
    </row>
    <row r="571" spans="1:20" s="457" customFormat="1">
      <c r="A571" s="1156"/>
      <c r="B571" s="1156"/>
      <c r="C571" s="118"/>
      <c r="D571" s="1156"/>
      <c r="E571" s="118"/>
      <c r="F571" s="118"/>
      <c r="G571" s="456"/>
      <c r="H571" s="456"/>
      <c r="I571" s="456"/>
      <c r="J571" s="456"/>
      <c r="K571" s="456"/>
      <c r="L571" s="456"/>
      <c r="M571" s="456"/>
      <c r="N571" s="456"/>
      <c r="O571" s="456"/>
      <c r="P571" s="456"/>
      <c r="Q571" s="456"/>
      <c r="R571" s="456"/>
      <c r="S571" s="456"/>
      <c r="T571" s="456"/>
    </row>
    <row r="572" spans="1:20" s="457" customFormat="1">
      <c r="A572" s="1156"/>
      <c r="B572" s="1156"/>
      <c r="C572" s="118"/>
      <c r="D572" s="1156"/>
      <c r="E572" s="118"/>
      <c r="F572" s="118"/>
      <c r="G572" s="456"/>
      <c r="H572" s="456"/>
      <c r="I572" s="456"/>
      <c r="J572" s="456"/>
      <c r="K572" s="456"/>
      <c r="L572" s="456"/>
      <c r="M572" s="456"/>
      <c r="N572" s="456"/>
      <c r="O572" s="456"/>
      <c r="P572" s="456"/>
      <c r="Q572" s="456"/>
      <c r="R572" s="456"/>
      <c r="S572" s="456"/>
      <c r="T572" s="456"/>
    </row>
    <row r="573" spans="1:20" s="457" customFormat="1">
      <c r="A573" s="1156"/>
      <c r="B573" s="1156"/>
      <c r="C573" s="118"/>
      <c r="D573" s="1156"/>
      <c r="E573" s="118"/>
      <c r="F573" s="118"/>
      <c r="G573" s="456"/>
      <c r="H573" s="456"/>
      <c r="I573" s="456"/>
      <c r="J573" s="456"/>
      <c r="K573" s="456"/>
      <c r="L573" s="456"/>
      <c r="M573" s="456"/>
      <c r="N573" s="456"/>
      <c r="O573" s="456"/>
      <c r="P573" s="456"/>
      <c r="Q573" s="456"/>
      <c r="R573" s="456"/>
      <c r="S573" s="456"/>
      <c r="T573" s="456"/>
    </row>
    <row r="574" spans="1:20" s="457" customFormat="1">
      <c r="A574" s="1156"/>
      <c r="B574" s="1156"/>
      <c r="C574" s="118"/>
      <c r="D574" s="1156"/>
      <c r="E574" s="118"/>
      <c r="F574" s="118"/>
      <c r="G574" s="456"/>
      <c r="H574" s="456"/>
      <c r="I574" s="456"/>
      <c r="J574" s="456"/>
      <c r="K574" s="456"/>
      <c r="L574" s="456"/>
      <c r="M574" s="456"/>
      <c r="N574" s="456"/>
      <c r="O574" s="456"/>
      <c r="P574" s="456"/>
      <c r="Q574" s="456"/>
      <c r="R574" s="456"/>
      <c r="S574" s="456"/>
      <c r="T574" s="456"/>
    </row>
    <row r="575" spans="1:20" s="457" customFormat="1">
      <c r="A575" s="1156"/>
      <c r="B575" s="1156"/>
      <c r="C575" s="118"/>
      <c r="D575" s="1156"/>
      <c r="E575" s="118"/>
      <c r="F575" s="118"/>
      <c r="G575" s="456"/>
      <c r="H575" s="456"/>
      <c r="I575" s="456"/>
      <c r="J575" s="456"/>
      <c r="K575" s="456"/>
      <c r="L575" s="456"/>
      <c r="M575" s="456"/>
      <c r="N575" s="456"/>
      <c r="O575" s="456"/>
      <c r="P575" s="456"/>
      <c r="Q575" s="456"/>
      <c r="R575" s="456"/>
      <c r="S575" s="456"/>
      <c r="T575" s="456"/>
    </row>
    <row r="576" spans="1:20" s="457" customFormat="1">
      <c r="A576" s="1156"/>
      <c r="B576" s="1156"/>
      <c r="C576" s="118"/>
      <c r="D576" s="1156"/>
      <c r="E576" s="118"/>
      <c r="F576" s="118"/>
      <c r="G576" s="456"/>
      <c r="H576" s="456"/>
      <c r="I576" s="456"/>
      <c r="J576" s="456"/>
      <c r="K576" s="456"/>
      <c r="L576" s="456"/>
      <c r="M576" s="456"/>
      <c r="N576" s="456"/>
      <c r="O576" s="456"/>
      <c r="P576" s="456"/>
      <c r="Q576" s="456"/>
      <c r="R576" s="456"/>
      <c r="S576" s="456"/>
      <c r="T576" s="456"/>
    </row>
    <row r="577" spans="1:20" s="457" customFormat="1">
      <c r="A577" s="1156"/>
      <c r="B577" s="1156"/>
      <c r="C577" s="118"/>
      <c r="D577" s="1156"/>
      <c r="E577" s="118"/>
      <c r="F577" s="118"/>
      <c r="G577" s="456"/>
      <c r="H577" s="456"/>
      <c r="I577" s="456"/>
      <c r="J577" s="456"/>
      <c r="K577" s="456"/>
      <c r="L577" s="456"/>
      <c r="M577" s="456"/>
      <c r="N577" s="456"/>
      <c r="O577" s="456"/>
      <c r="P577" s="456"/>
      <c r="Q577" s="456"/>
      <c r="R577" s="456"/>
      <c r="S577" s="456"/>
      <c r="T577" s="456"/>
    </row>
    <row r="578" spans="1:20" s="457" customFormat="1">
      <c r="A578" s="1156"/>
      <c r="B578" s="1156"/>
      <c r="C578" s="118"/>
      <c r="D578" s="1156"/>
      <c r="E578" s="118"/>
      <c r="F578" s="118"/>
      <c r="G578" s="456"/>
      <c r="H578" s="456"/>
      <c r="I578" s="456"/>
      <c r="J578" s="456"/>
      <c r="K578" s="456"/>
      <c r="L578" s="456"/>
      <c r="M578" s="456"/>
      <c r="N578" s="456"/>
      <c r="O578" s="456"/>
      <c r="P578" s="456"/>
      <c r="Q578" s="456"/>
      <c r="R578" s="456"/>
      <c r="S578" s="456"/>
      <c r="T578" s="456"/>
    </row>
    <row r="579" spans="1:20" s="457" customFormat="1">
      <c r="A579" s="1156"/>
      <c r="B579" s="1156"/>
      <c r="C579" s="118"/>
      <c r="D579" s="1156"/>
      <c r="E579" s="118"/>
      <c r="F579" s="118"/>
      <c r="G579" s="456"/>
      <c r="H579" s="456"/>
      <c r="I579" s="456"/>
      <c r="J579" s="456"/>
      <c r="K579" s="456"/>
      <c r="L579" s="456"/>
      <c r="M579" s="456"/>
      <c r="N579" s="456"/>
      <c r="O579" s="456"/>
      <c r="P579" s="456"/>
      <c r="Q579" s="456"/>
      <c r="R579" s="456"/>
      <c r="S579" s="456"/>
      <c r="T579" s="456"/>
    </row>
    <row r="580" spans="1:20" s="457" customFormat="1">
      <c r="A580" s="1156"/>
      <c r="B580" s="1156"/>
      <c r="C580" s="118"/>
      <c r="D580" s="1156"/>
      <c r="E580" s="118"/>
      <c r="F580" s="118"/>
      <c r="G580" s="456"/>
      <c r="H580" s="456"/>
      <c r="I580" s="456"/>
      <c r="J580" s="456"/>
      <c r="K580" s="456"/>
      <c r="L580" s="456"/>
      <c r="M580" s="456"/>
      <c r="N580" s="456"/>
      <c r="O580" s="456"/>
      <c r="P580" s="456"/>
      <c r="Q580" s="456"/>
      <c r="R580" s="456"/>
      <c r="S580" s="456"/>
      <c r="T580" s="456"/>
    </row>
    <row r="581" spans="1:20" s="457" customFormat="1">
      <c r="A581" s="1156"/>
      <c r="B581" s="1156"/>
      <c r="C581" s="118"/>
      <c r="D581" s="1156"/>
      <c r="E581" s="118"/>
      <c r="F581" s="118"/>
      <c r="G581" s="456"/>
      <c r="H581" s="456"/>
      <c r="I581" s="456"/>
      <c r="J581" s="456"/>
      <c r="K581" s="456"/>
      <c r="L581" s="456"/>
      <c r="M581" s="456"/>
      <c r="N581" s="456"/>
      <c r="O581" s="456"/>
      <c r="P581" s="456"/>
      <c r="Q581" s="456"/>
      <c r="R581" s="456"/>
      <c r="S581" s="456"/>
      <c r="T581" s="456"/>
    </row>
    <row r="582" spans="1:20" s="457" customFormat="1">
      <c r="A582" s="1156"/>
      <c r="B582" s="1156"/>
      <c r="C582" s="118"/>
      <c r="D582" s="1156"/>
      <c r="E582" s="118"/>
      <c r="F582" s="118"/>
      <c r="G582" s="456"/>
      <c r="H582" s="456"/>
      <c r="I582" s="456"/>
      <c r="J582" s="456"/>
      <c r="K582" s="456"/>
      <c r="L582" s="456"/>
      <c r="M582" s="456"/>
      <c r="N582" s="456"/>
      <c r="O582" s="456"/>
      <c r="P582" s="456"/>
      <c r="Q582" s="456"/>
      <c r="R582" s="456"/>
      <c r="S582" s="456"/>
      <c r="T582" s="456"/>
    </row>
    <row r="583" spans="1:20" s="457" customFormat="1">
      <c r="A583" s="1156"/>
      <c r="B583" s="1156"/>
      <c r="C583" s="118"/>
      <c r="D583" s="1156"/>
      <c r="E583" s="118"/>
      <c r="F583" s="118"/>
      <c r="G583" s="456"/>
      <c r="H583" s="456"/>
      <c r="I583" s="456"/>
      <c r="J583" s="456"/>
      <c r="K583" s="456"/>
      <c r="L583" s="456"/>
      <c r="M583" s="456"/>
      <c r="N583" s="456"/>
      <c r="O583" s="456"/>
      <c r="P583" s="456"/>
      <c r="Q583" s="456"/>
      <c r="R583" s="456"/>
      <c r="S583" s="456"/>
      <c r="T583" s="456"/>
    </row>
    <row r="584" spans="1:20" s="457" customFormat="1">
      <c r="A584" s="1156"/>
      <c r="B584" s="1156"/>
      <c r="C584" s="118"/>
      <c r="D584" s="1156"/>
      <c r="E584" s="118"/>
      <c r="F584" s="118"/>
      <c r="G584" s="456"/>
      <c r="H584" s="456"/>
      <c r="I584" s="456"/>
      <c r="J584" s="456"/>
      <c r="K584" s="456"/>
      <c r="L584" s="456"/>
      <c r="M584" s="456"/>
      <c r="N584" s="456"/>
      <c r="O584" s="456"/>
      <c r="P584" s="456"/>
      <c r="Q584" s="456"/>
      <c r="R584" s="456"/>
      <c r="S584" s="456"/>
      <c r="T584" s="456"/>
    </row>
    <row r="585" spans="1:20" s="457" customFormat="1">
      <c r="A585" s="1156"/>
      <c r="B585" s="1156"/>
      <c r="C585" s="118"/>
      <c r="D585" s="1156"/>
      <c r="E585" s="118"/>
      <c r="F585" s="118"/>
      <c r="G585" s="456"/>
      <c r="H585" s="456"/>
      <c r="I585" s="456"/>
      <c r="J585" s="456"/>
      <c r="K585" s="456"/>
      <c r="L585" s="456"/>
      <c r="M585" s="456"/>
      <c r="N585" s="456"/>
      <c r="O585" s="456"/>
      <c r="P585" s="456"/>
      <c r="Q585" s="456"/>
      <c r="R585" s="456"/>
      <c r="S585" s="456"/>
      <c r="T585" s="456"/>
    </row>
    <row r="586" spans="1:20" s="457" customFormat="1">
      <c r="A586" s="1156"/>
      <c r="B586" s="1156"/>
      <c r="C586" s="118"/>
      <c r="D586" s="1156"/>
      <c r="E586" s="118"/>
      <c r="F586" s="118"/>
      <c r="G586" s="456"/>
      <c r="H586" s="456"/>
      <c r="I586" s="456"/>
      <c r="J586" s="456"/>
      <c r="K586" s="456"/>
      <c r="L586" s="456"/>
      <c r="M586" s="456"/>
      <c r="N586" s="456"/>
      <c r="O586" s="456"/>
      <c r="P586" s="456"/>
      <c r="Q586" s="456"/>
      <c r="R586" s="456"/>
      <c r="S586" s="456"/>
      <c r="T586" s="456"/>
    </row>
    <row r="587" spans="1:20" s="457" customFormat="1">
      <c r="A587" s="1156"/>
      <c r="B587" s="1156"/>
      <c r="C587" s="118"/>
      <c r="D587" s="1156"/>
      <c r="E587" s="118"/>
      <c r="F587" s="118"/>
      <c r="G587" s="456"/>
      <c r="H587" s="456"/>
      <c r="I587" s="456"/>
      <c r="J587" s="456"/>
      <c r="K587" s="456"/>
      <c r="L587" s="456"/>
      <c r="M587" s="456"/>
      <c r="N587" s="456"/>
      <c r="O587" s="456"/>
      <c r="P587" s="456"/>
      <c r="Q587" s="456"/>
      <c r="R587" s="456"/>
      <c r="S587" s="456"/>
      <c r="T587" s="456"/>
    </row>
    <row r="588" spans="1:20" s="457" customFormat="1">
      <c r="A588" s="1156"/>
      <c r="B588" s="1156"/>
      <c r="C588" s="118"/>
      <c r="D588" s="1156"/>
      <c r="E588" s="118"/>
      <c r="F588" s="118"/>
      <c r="G588" s="456"/>
      <c r="H588" s="456"/>
      <c r="I588" s="456"/>
      <c r="J588" s="456"/>
      <c r="K588" s="456"/>
      <c r="L588" s="456"/>
      <c r="M588" s="456"/>
      <c r="N588" s="456"/>
      <c r="O588" s="456"/>
      <c r="P588" s="456"/>
      <c r="Q588" s="456"/>
      <c r="R588" s="456"/>
      <c r="S588" s="456"/>
      <c r="T588" s="456"/>
    </row>
    <row r="589" spans="1:20" s="457" customFormat="1">
      <c r="A589" s="1156"/>
      <c r="B589" s="1156"/>
      <c r="C589" s="118"/>
      <c r="D589" s="1156"/>
      <c r="E589" s="118"/>
      <c r="F589" s="118"/>
      <c r="G589" s="456"/>
      <c r="H589" s="456"/>
      <c r="I589" s="456"/>
      <c r="J589" s="456"/>
      <c r="K589" s="456"/>
      <c r="L589" s="456"/>
      <c r="M589" s="456"/>
      <c r="N589" s="456"/>
      <c r="O589" s="456"/>
      <c r="P589" s="456"/>
      <c r="Q589" s="456"/>
      <c r="R589" s="456"/>
      <c r="S589" s="456"/>
      <c r="T589" s="456"/>
    </row>
    <row r="590" spans="1:20" s="457" customFormat="1">
      <c r="A590" s="1156"/>
      <c r="B590" s="1156"/>
      <c r="C590" s="118"/>
      <c r="D590" s="1156"/>
      <c r="E590" s="118"/>
      <c r="F590" s="118"/>
      <c r="G590" s="456"/>
      <c r="H590" s="456"/>
      <c r="I590" s="456"/>
      <c r="J590" s="456"/>
      <c r="K590" s="456"/>
      <c r="L590" s="456"/>
      <c r="M590" s="456"/>
      <c r="N590" s="456"/>
      <c r="O590" s="456"/>
      <c r="P590" s="456"/>
      <c r="Q590" s="456"/>
      <c r="R590" s="456"/>
      <c r="S590" s="456"/>
      <c r="T590" s="456"/>
    </row>
    <row r="591" spans="1:20" s="457" customFormat="1">
      <c r="A591" s="1156"/>
      <c r="B591" s="1156"/>
      <c r="C591" s="118"/>
      <c r="D591" s="1156"/>
      <c r="E591" s="118"/>
      <c r="F591" s="118"/>
      <c r="G591" s="456"/>
      <c r="H591" s="456"/>
      <c r="I591" s="456"/>
      <c r="J591" s="456"/>
      <c r="K591" s="456"/>
      <c r="L591" s="456"/>
      <c r="M591" s="456"/>
      <c r="N591" s="456"/>
      <c r="O591" s="456"/>
      <c r="P591" s="456"/>
      <c r="Q591" s="456"/>
      <c r="R591" s="456"/>
      <c r="S591" s="456"/>
      <c r="T591" s="456"/>
    </row>
    <row r="592" spans="1:20" s="457" customFormat="1">
      <c r="A592" s="1156"/>
      <c r="B592" s="1156"/>
      <c r="C592" s="118"/>
      <c r="D592" s="1156"/>
      <c r="E592" s="118"/>
      <c r="F592" s="118"/>
      <c r="G592" s="456"/>
      <c r="H592" s="456"/>
      <c r="I592" s="456"/>
      <c r="J592" s="456"/>
      <c r="K592" s="456"/>
      <c r="L592" s="456"/>
      <c r="M592" s="456"/>
      <c r="N592" s="456"/>
      <c r="O592" s="456"/>
      <c r="P592" s="456"/>
      <c r="Q592" s="456"/>
      <c r="R592" s="456"/>
      <c r="S592" s="456"/>
      <c r="T592" s="456"/>
    </row>
    <row r="593" spans="1:20" s="457" customFormat="1">
      <c r="A593" s="1156"/>
      <c r="B593" s="1156"/>
      <c r="C593" s="118"/>
      <c r="D593" s="1156"/>
      <c r="E593" s="118"/>
      <c r="F593" s="118"/>
      <c r="G593" s="456"/>
      <c r="H593" s="456"/>
      <c r="I593" s="456"/>
      <c r="J593" s="456"/>
      <c r="K593" s="456"/>
      <c r="L593" s="456"/>
      <c r="M593" s="456"/>
      <c r="N593" s="456"/>
      <c r="O593" s="456"/>
      <c r="P593" s="456"/>
      <c r="Q593" s="456"/>
      <c r="R593" s="456"/>
      <c r="S593" s="456"/>
      <c r="T593" s="456"/>
    </row>
    <row r="594" spans="1:20" s="457" customFormat="1">
      <c r="A594" s="1156"/>
      <c r="B594" s="1156"/>
      <c r="C594" s="118"/>
      <c r="D594" s="1156"/>
      <c r="E594" s="118"/>
      <c r="F594" s="118"/>
      <c r="G594" s="456"/>
      <c r="H594" s="456"/>
      <c r="I594" s="456"/>
      <c r="J594" s="456"/>
      <c r="K594" s="456"/>
      <c r="L594" s="456"/>
      <c r="M594" s="456"/>
      <c r="N594" s="456"/>
      <c r="O594" s="456"/>
      <c r="P594" s="456"/>
      <c r="Q594" s="456"/>
      <c r="R594" s="456"/>
      <c r="S594" s="456"/>
      <c r="T594" s="456"/>
    </row>
    <row r="595" spans="1:20" s="457" customFormat="1">
      <c r="A595" s="1156"/>
      <c r="B595" s="1156"/>
      <c r="C595" s="118"/>
      <c r="D595" s="1156"/>
      <c r="E595" s="118"/>
      <c r="F595" s="118"/>
      <c r="G595" s="456"/>
      <c r="H595" s="456"/>
      <c r="I595" s="456"/>
      <c r="J595" s="456"/>
      <c r="K595" s="456"/>
      <c r="L595" s="456"/>
      <c r="M595" s="456"/>
      <c r="N595" s="456"/>
      <c r="O595" s="456"/>
      <c r="P595" s="456"/>
      <c r="Q595" s="456"/>
      <c r="R595" s="456"/>
      <c r="S595" s="456"/>
      <c r="T595" s="456"/>
    </row>
    <row r="596" spans="1:20" s="457" customFormat="1">
      <c r="A596" s="1156"/>
      <c r="B596" s="1156"/>
      <c r="C596" s="118"/>
      <c r="D596" s="1156"/>
      <c r="E596" s="118"/>
      <c r="F596" s="118"/>
      <c r="G596" s="456"/>
      <c r="H596" s="456"/>
      <c r="I596" s="456"/>
      <c r="J596" s="456"/>
      <c r="K596" s="456"/>
      <c r="L596" s="456"/>
      <c r="M596" s="456"/>
      <c r="N596" s="456"/>
      <c r="O596" s="456"/>
      <c r="P596" s="456"/>
      <c r="Q596" s="456"/>
      <c r="R596" s="456"/>
      <c r="S596" s="456"/>
      <c r="T596" s="456"/>
    </row>
    <row r="597" spans="1:20" s="457" customFormat="1">
      <c r="A597" s="1156"/>
      <c r="B597" s="1156"/>
      <c r="C597" s="118"/>
      <c r="D597" s="1156"/>
      <c r="E597" s="118"/>
      <c r="F597" s="118"/>
      <c r="G597" s="456"/>
      <c r="H597" s="456"/>
      <c r="I597" s="456"/>
      <c r="J597" s="456"/>
      <c r="K597" s="456"/>
      <c r="L597" s="456"/>
      <c r="M597" s="456"/>
      <c r="N597" s="456"/>
      <c r="O597" s="456"/>
      <c r="P597" s="456"/>
      <c r="Q597" s="456"/>
      <c r="R597" s="456"/>
      <c r="S597" s="456"/>
      <c r="T597" s="456"/>
    </row>
    <row r="598" spans="1:20" s="457" customFormat="1">
      <c r="A598" s="1156"/>
      <c r="B598" s="1156"/>
      <c r="C598" s="118"/>
      <c r="D598" s="1156"/>
      <c r="E598" s="118"/>
      <c r="F598" s="118"/>
      <c r="G598" s="456"/>
      <c r="H598" s="456"/>
      <c r="I598" s="456"/>
      <c r="J598" s="456"/>
      <c r="K598" s="456"/>
      <c r="L598" s="456"/>
      <c r="M598" s="456"/>
      <c r="N598" s="456"/>
      <c r="O598" s="456"/>
      <c r="P598" s="456"/>
      <c r="Q598" s="456"/>
      <c r="R598" s="456"/>
      <c r="S598" s="456"/>
      <c r="T598" s="456"/>
    </row>
    <row r="599" spans="1:20" s="457" customFormat="1">
      <c r="A599" s="1156"/>
      <c r="B599" s="1156"/>
      <c r="C599" s="118"/>
      <c r="D599" s="1156"/>
      <c r="E599" s="118"/>
      <c r="F599" s="118"/>
      <c r="G599" s="456"/>
      <c r="H599" s="456"/>
      <c r="I599" s="456"/>
      <c r="J599" s="456"/>
      <c r="K599" s="456"/>
      <c r="L599" s="456"/>
      <c r="M599" s="456"/>
      <c r="N599" s="456"/>
      <c r="O599" s="456"/>
      <c r="P599" s="456"/>
      <c r="Q599" s="456"/>
      <c r="R599" s="456"/>
      <c r="S599" s="456"/>
      <c r="T599" s="456"/>
    </row>
    <row r="600" spans="1:20" s="457" customFormat="1">
      <c r="A600" s="1156"/>
      <c r="B600" s="1156"/>
      <c r="C600" s="118"/>
      <c r="D600" s="1156"/>
      <c r="E600" s="118"/>
      <c r="F600" s="118"/>
      <c r="G600" s="456"/>
      <c r="H600" s="456"/>
      <c r="I600" s="456"/>
      <c r="J600" s="456"/>
      <c r="K600" s="456"/>
      <c r="L600" s="456"/>
      <c r="M600" s="456"/>
      <c r="N600" s="456"/>
      <c r="O600" s="456"/>
      <c r="P600" s="456"/>
      <c r="Q600" s="456"/>
      <c r="R600" s="456"/>
      <c r="S600" s="456"/>
      <c r="T600" s="456"/>
    </row>
    <row r="601" spans="1:20" s="457" customFormat="1">
      <c r="A601" s="1156"/>
      <c r="B601" s="1156"/>
      <c r="C601" s="118"/>
      <c r="D601" s="1156"/>
      <c r="E601" s="118"/>
      <c r="F601" s="118"/>
      <c r="G601" s="456"/>
      <c r="H601" s="456"/>
      <c r="I601" s="456"/>
      <c r="J601" s="456"/>
      <c r="K601" s="456"/>
      <c r="L601" s="456"/>
      <c r="M601" s="456"/>
      <c r="N601" s="456"/>
      <c r="O601" s="456"/>
      <c r="P601" s="456"/>
      <c r="Q601" s="456"/>
      <c r="R601" s="456"/>
      <c r="S601" s="456"/>
      <c r="T601" s="456"/>
    </row>
    <row r="602" spans="1:20" s="457" customFormat="1">
      <c r="A602" s="1156"/>
      <c r="B602" s="1156"/>
      <c r="C602" s="118"/>
      <c r="D602" s="1156"/>
      <c r="E602" s="118"/>
      <c r="F602" s="118"/>
      <c r="G602" s="456"/>
      <c r="H602" s="456"/>
      <c r="I602" s="456"/>
      <c r="J602" s="456"/>
      <c r="K602" s="456"/>
      <c r="L602" s="456"/>
      <c r="M602" s="456"/>
      <c r="N602" s="456"/>
      <c r="O602" s="456"/>
      <c r="P602" s="456"/>
      <c r="Q602" s="456"/>
      <c r="R602" s="456"/>
      <c r="S602" s="456"/>
      <c r="T602" s="456"/>
    </row>
  </sheetData>
  <sheetProtection formatCells="0" formatColumns="0" formatRows="0" insertRows="0"/>
  <mergeCells count="31">
    <mergeCell ref="A7:A9"/>
    <mergeCell ref="B7:B9"/>
    <mergeCell ref="C7:D7"/>
    <mergeCell ref="E7:E9"/>
    <mergeCell ref="F7:F9"/>
    <mergeCell ref="C8:C9"/>
    <mergeCell ref="D8:D9"/>
    <mergeCell ref="A1:B1"/>
    <mergeCell ref="A2:B2"/>
    <mergeCell ref="A4:V4"/>
    <mergeCell ref="A5:V5"/>
    <mergeCell ref="U6:V6"/>
    <mergeCell ref="G8:G9"/>
    <mergeCell ref="H8:H9"/>
    <mergeCell ref="I8:I9"/>
    <mergeCell ref="T8:T9"/>
    <mergeCell ref="G7:M7"/>
    <mergeCell ref="N7:T7"/>
    <mergeCell ref="U7:U9"/>
    <mergeCell ref="V7:V9"/>
    <mergeCell ref="J8:L8"/>
    <mergeCell ref="M8:M9"/>
    <mergeCell ref="N8:N9"/>
    <mergeCell ref="O8:O9"/>
    <mergeCell ref="P8:P9"/>
    <mergeCell ref="Q8:S8"/>
    <mergeCell ref="M540:V540"/>
    <mergeCell ref="M541:V541"/>
    <mergeCell ref="M542:V542"/>
    <mergeCell ref="A543:B543"/>
    <mergeCell ref="A544:B544"/>
  </mergeCells>
  <pageMargins left="0.71" right="0.21" top="0.2" bottom="0.16" header="0.17" footer="0.19"/>
  <pageSetup paperSize="9" scale="4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S415"/>
  <sheetViews>
    <sheetView showZeros="0" zoomScale="95" zoomScaleNormal="95" workbookViewId="0">
      <selection activeCell="I36" sqref="I36"/>
    </sheetView>
  </sheetViews>
  <sheetFormatPr defaultColWidth="9.140625" defaultRowHeight="12.75"/>
  <cols>
    <col min="1" max="1" width="5.5703125" style="121" customWidth="1"/>
    <col min="2" max="2" width="42.140625" style="121" customWidth="1"/>
    <col min="3" max="3" width="11.28515625" style="122" customWidth="1"/>
    <col min="4" max="4" width="12.140625" style="121" customWidth="1"/>
    <col min="5" max="6" width="10.85546875" style="122" customWidth="1"/>
    <col min="7" max="7" width="12.42578125" style="120" customWidth="1"/>
    <col min="8" max="8" width="13.7109375" style="120" customWidth="1"/>
    <col min="9" max="9" width="13" style="120" customWidth="1"/>
    <col min="10" max="10" width="11.5703125" style="120" customWidth="1"/>
    <col min="11" max="11" width="10.85546875" style="120" customWidth="1"/>
    <col min="12" max="12" width="12.5703125" style="120" customWidth="1"/>
    <col min="13" max="13" width="12.28515625" style="120" customWidth="1"/>
    <col min="14" max="14" width="13.5703125" style="120" customWidth="1"/>
    <col min="15" max="15" width="13.140625" style="120" customWidth="1"/>
    <col min="16" max="16" width="13.42578125" style="120" customWidth="1"/>
    <col min="17" max="17" width="11.140625" style="120" customWidth="1"/>
    <col min="18" max="18" width="11.42578125" style="120" customWidth="1"/>
    <col min="19" max="19" width="12.85546875" style="120" customWidth="1"/>
    <col min="20" max="20" width="14.85546875" style="120" customWidth="1"/>
    <col min="21" max="21" width="9.28515625" style="120" customWidth="1"/>
    <col min="22" max="22" width="14" style="120" customWidth="1"/>
    <col min="23" max="23" width="11.85546875" style="6" customWidth="1"/>
    <col min="24" max="25" width="9.140625" style="6"/>
    <col min="26" max="16384" width="9.140625" style="7"/>
  </cols>
  <sheetData>
    <row r="1" spans="1:45">
      <c r="A1" s="1918" t="s">
        <v>0</v>
      </c>
      <c r="B1" s="1918"/>
      <c r="C1" s="1"/>
      <c r="D1" s="2"/>
      <c r="E1" s="1"/>
      <c r="F1" s="1"/>
      <c r="G1" s="3"/>
      <c r="H1" s="3"/>
      <c r="I1" s="3"/>
      <c r="J1" s="3"/>
      <c r="K1" s="4"/>
      <c r="L1" s="4"/>
      <c r="M1" s="4"/>
      <c r="N1" s="3"/>
      <c r="O1" s="3"/>
      <c r="P1" s="3"/>
      <c r="Q1" s="3"/>
      <c r="R1" s="4"/>
      <c r="S1" s="4"/>
      <c r="T1" s="4"/>
      <c r="U1" s="4"/>
      <c r="V1" s="5" t="s">
        <v>2826</v>
      </c>
      <c r="Z1" s="1171"/>
      <c r="AA1" s="1171"/>
      <c r="AB1" s="1171"/>
      <c r="AC1" s="1171"/>
      <c r="AD1" s="1171"/>
      <c r="AE1" s="1171"/>
      <c r="AF1" s="1171"/>
      <c r="AG1" s="1171"/>
      <c r="AH1" s="1171"/>
      <c r="AI1" s="1171"/>
      <c r="AJ1" s="1171"/>
      <c r="AK1" s="1171"/>
      <c r="AL1" s="1171"/>
      <c r="AM1" s="1171"/>
      <c r="AN1" s="1171"/>
      <c r="AO1" s="1171"/>
      <c r="AP1" s="1171"/>
      <c r="AQ1" s="1171"/>
      <c r="AR1" s="1171"/>
      <c r="AS1" s="1171"/>
    </row>
    <row r="2" spans="1:45">
      <c r="A2" s="1918"/>
      <c r="B2" s="1918"/>
      <c r="C2" s="1"/>
      <c r="D2" s="2"/>
      <c r="E2" s="1"/>
      <c r="F2" s="1"/>
      <c r="G2" s="3"/>
      <c r="H2" s="3"/>
      <c r="I2" s="3"/>
      <c r="J2" s="3"/>
      <c r="K2" s="4"/>
      <c r="L2" s="4"/>
      <c r="M2" s="4"/>
      <c r="N2" s="3"/>
      <c r="O2" s="3"/>
      <c r="P2" s="3"/>
      <c r="Q2" s="3"/>
      <c r="R2" s="4"/>
      <c r="S2" s="4"/>
      <c r="T2" s="4"/>
      <c r="U2" s="4"/>
      <c r="V2" s="4"/>
      <c r="Z2" s="1171"/>
      <c r="AA2" s="1171"/>
      <c r="AB2" s="1171"/>
      <c r="AC2" s="1171"/>
      <c r="AD2" s="1171"/>
      <c r="AE2" s="1171"/>
      <c r="AF2" s="1171"/>
      <c r="AG2" s="1171"/>
      <c r="AH2" s="1171"/>
      <c r="AI2" s="1171"/>
      <c r="AJ2" s="1171"/>
      <c r="AK2" s="1171"/>
      <c r="AL2" s="1171"/>
      <c r="AM2" s="1171"/>
      <c r="AN2" s="1171"/>
      <c r="AO2" s="1171"/>
      <c r="AP2" s="1171"/>
      <c r="AQ2" s="1171"/>
      <c r="AR2" s="1171"/>
      <c r="AS2" s="1171"/>
    </row>
    <row r="3" spans="1:45">
      <c r="A3" s="8"/>
      <c r="B3" s="8"/>
      <c r="C3" s="9"/>
      <c r="D3" s="8"/>
      <c r="E3" s="9"/>
      <c r="F3" s="9"/>
      <c r="G3" s="10"/>
      <c r="H3" s="10"/>
      <c r="I3" s="10"/>
      <c r="J3" s="10"/>
      <c r="K3" s="4"/>
      <c r="L3" s="4"/>
      <c r="M3" s="4"/>
      <c r="N3" s="10"/>
      <c r="O3" s="10"/>
      <c r="P3" s="10"/>
      <c r="Q3" s="10"/>
      <c r="R3" s="4"/>
      <c r="S3" s="4"/>
      <c r="T3" s="4"/>
      <c r="U3" s="4"/>
      <c r="V3" s="4"/>
      <c r="Z3" s="1171"/>
      <c r="AA3" s="1171"/>
      <c r="AB3" s="1171"/>
      <c r="AC3" s="1171"/>
      <c r="AD3" s="1171"/>
      <c r="AE3" s="1171"/>
      <c r="AF3" s="1171"/>
      <c r="AG3" s="1171"/>
      <c r="AH3" s="1171"/>
      <c r="AI3" s="1171"/>
      <c r="AJ3" s="1171"/>
      <c r="AK3" s="1171"/>
      <c r="AL3" s="1171"/>
      <c r="AM3" s="1171"/>
      <c r="AN3" s="1171"/>
      <c r="AO3" s="1171"/>
      <c r="AP3" s="1171"/>
      <c r="AQ3" s="1171"/>
      <c r="AR3" s="1171"/>
      <c r="AS3" s="1171"/>
    </row>
    <row r="4" spans="1:45" s="11" customFormat="1" ht="18">
      <c r="A4" s="1941" t="s">
        <v>2917</v>
      </c>
      <c r="B4" s="1942"/>
      <c r="C4" s="1942"/>
      <c r="D4" s="1942"/>
      <c r="E4" s="1942"/>
      <c r="F4" s="1942"/>
      <c r="G4" s="1942"/>
      <c r="H4" s="1942"/>
      <c r="I4" s="1942"/>
      <c r="J4" s="1942"/>
      <c r="K4" s="1942"/>
      <c r="L4" s="1942"/>
      <c r="M4" s="1942"/>
      <c r="N4" s="1942"/>
      <c r="O4" s="1942"/>
      <c r="P4" s="1942"/>
      <c r="Q4" s="1942"/>
      <c r="R4" s="1942"/>
      <c r="S4" s="1942"/>
      <c r="T4" s="1942"/>
      <c r="U4" s="1942"/>
      <c r="V4" s="1942"/>
      <c r="W4" s="6"/>
      <c r="X4" s="6"/>
      <c r="Y4" s="6"/>
    </row>
    <row r="5" spans="1:45" s="11" customFormat="1">
      <c r="A5" s="1921"/>
      <c r="B5" s="1921"/>
      <c r="C5" s="1921"/>
      <c r="D5" s="1921"/>
      <c r="E5" s="1921"/>
      <c r="F5" s="1921"/>
      <c r="G5" s="1921"/>
      <c r="H5" s="1921"/>
      <c r="I5" s="1921"/>
      <c r="J5" s="1921"/>
      <c r="K5" s="1921"/>
      <c r="L5" s="1921"/>
      <c r="M5" s="1921"/>
      <c r="N5" s="1921"/>
      <c r="O5" s="1921"/>
      <c r="P5" s="1921"/>
      <c r="Q5" s="1921"/>
      <c r="R5" s="1921"/>
      <c r="S5" s="1921"/>
      <c r="T5" s="1921"/>
      <c r="U5" s="1921"/>
      <c r="V5" s="1921"/>
      <c r="W5" s="12"/>
      <c r="X5" s="12"/>
      <c r="Y5" s="12"/>
      <c r="Z5" s="12"/>
      <c r="AA5" s="12"/>
      <c r="AB5" s="12"/>
      <c r="AC5" s="12"/>
      <c r="AD5" s="12"/>
      <c r="AE5" s="12"/>
      <c r="AF5" s="12"/>
      <c r="AG5" s="12"/>
      <c r="AH5" s="12"/>
    </row>
    <row r="6" spans="1:45" ht="13.5" thickBot="1">
      <c r="A6" s="13"/>
      <c r="B6" s="13"/>
      <c r="C6" s="14"/>
      <c r="D6" s="13"/>
      <c r="E6" s="14"/>
      <c r="F6" s="14"/>
      <c r="G6" s="15"/>
      <c r="H6" s="15"/>
      <c r="I6" s="15"/>
      <c r="J6" s="15"/>
      <c r="K6" s="15"/>
      <c r="L6" s="15"/>
      <c r="M6" s="15"/>
      <c r="N6" s="15"/>
      <c r="O6" s="15"/>
      <c r="P6" s="15"/>
      <c r="Q6" s="15"/>
      <c r="R6" s="15"/>
      <c r="S6" s="15"/>
      <c r="T6" s="15"/>
      <c r="U6" s="1943" t="s">
        <v>2488</v>
      </c>
      <c r="V6" s="1943"/>
      <c r="Z6" s="1171"/>
      <c r="AA6" s="1171"/>
      <c r="AB6" s="1171"/>
      <c r="AC6" s="1171"/>
      <c r="AD6" s="1171"/>
      <c r="AE6" s="1171"/>
      <c r="AF6" s="1171"/>
      <c r="AG6" s="1171"/>
      <c r="AH6" s="1171"/>
      <c r="AI6" s="1171"/>
      <c r="AJ6" s="1171"/>
      <c r="AK6" s="1171"/>
      <c r="AL6" s="1171"/>
      <c r="AM6" s="1171"/>
      <c r="AN6" s="1171"/>
      <c r="AO6" s="1171"/>
      <c r="AP6" s="1171"/>
      <c r="AQ6" s="1171"/>
      <c r="AR6" s="1171"/>
      <c r="AS6" s="1171"/>
    </row>
    <row r="7" spans="1:45" s="17" customFormat="1" ht="37.9" customHeight="1">
      <c r="A7" s="1944" t="s">
        <v>88</v>
      </c>
      <c r="B7" s="1947" t="s">
        <v>4</v>
      </c>
      <c r="C7" s="1949" t="s">
        <v>2918</v>
      </c>
      <c r="D7" s="1949"/>
      <c r="E7" s="1950" t="s">
        <v>2919</v>
      </c>
      <c r="F7" s="1950" t="s">
        <v>2920</v>
      </c>
      <c r="G7" s="1940" t="s">
        <v>2921</v>
      </c>
      <c r="H7" s="1940"/>
      <c r="I7" s="1940"/>
      <c r="J7" s="1940"/>
      <c r="K7" s="1940"/>
      <c r="L7" s="1940"/>
      <c r="M7" s="1940"/>
      <c r="N7" s="1940" t="s">
        <v>2922</v>
      </c>
      <c r="O7" s="1940"/>
      <c r="P7" s="1940"/>
      <c r="Q7" s="1940"/>
      <c r="R7" s="1940"/>
      <c r="S7" s="1940"/>
      <c r="T7" s="1940"/>
      <c r="U7" s="1932" t="s">
        <v>2833</v>
      </c>
      <c r="V7" s="1935" t="s">
        <v>2923</v>
      </c>
      <c r="W7" s="16"/>
      <c r="X7" s="16"/>
      <c r="Y7" s="16"/>
    </row>
    <row r="8" spans="1:45" s="17" customFormat="1">
      <c r="A8" s="1945"/>
      <c r="B8" s="1924"/>
      <c r="C8" s="1953" t="s">
        <v>2835</v>
      </c>
      <c r="D8" s="1954" t="s">
        <v>2924</v>
      </c>
      <c r="E8" s="1926"/>
      <c r="F8" s="1926"/>
      <c r="G8" s="1939" t="s">
        <v>2463</v>
      </c>
      <c r="H8" s="1939" t="s">
        <v>2837</v>
      </c>
      <c r="I8" s="1939" t="s">
        <v>2838</v>
      </c>
      <c r="J8" s="1938" t="s">
        <v>2512</v>
      </c>
      <c r="K8" s="1938"/>
      <c r="L8" s="1938"/>
      <c r="M8" s="1939" t="s">
        <v>2839</v>
      </c>
      <c r="N8" s="1939" t="s">
        <v>2463</v>
      </c>
      <c r="O8" s="1939" t="s">
        <v>2837</v>
      </c>
      <c r="P8" s="1939" t="s">
        <v>2838</v>
      </c>
      <c r="Q8" s="1938" t="s">
        <v>2512</v>
      </c>
      <c r="R8" s="1938"/>
      <c r="S8" s="1938"/>
      <c r="T8" s="1939" t="s">
        <v>2839</v>
      </c>
      <c r="U8" s="1933"/>
      <c r="V8" s="1936"/>
      <c r="W8" s="16"/>
      <c r="X8" s="16"/>
      <c r="Y8" s="16"/>
    </row>
    <row r="9" spans="1:45" s="17" customFormat="1" ht="118.9" customHeight="1">
      <c r="A9" s="1946"/>
      <c r="B9" s="1948"/>
      <c r="C9" s="1952"/>
      <c r="D9" s="1955"/>
      <c r="E9" s="1951"/>
      <c r="F9" s="1952"/>
      <c r="G9" s="1934"/>
      <c r="H9" s="1934"/>
      <c r="I9" s="1934"/>
      <c r="J9" s="18" t="s">
        <v>2840</v>
      </c>
      <c r="K9" s="18" t="s">
        <v>2841</v>
      </c>
      <c r="L9" s="18" t="s">
        <v>2842</v>
      </c>
      <c r="M9" s="1934"/>
      <c r="N9" s="1934"/>
      <c r="O9" s="1934"/>
      <c r="P9" s="1934"/>
      <c r="Q9" s="18" t="s">
        <v>2840</v>
      </c>
      <c r="R9" s="18" t="s">
        <v>2841</v>
      </c>
      <c r="S9" s="18" t="s">
        <v>2842</v>
      </c>
      <c r="T9" s="1934"/>
      <c r="U9" s="1934"/>
      <c r="V9" s="1937"/>
      <c r="W9" s="16"/>
      <c r="X9" s="16"/>
      <c r="Y9" s="16"/>
    </row>
    <row r="10" spans="1:45" s="24" customFormat="1">
      <c r="A10" s="19">
        <v>1</v>
      </c>
      <c r="B10" s="20">
        <v>2</v>
      </c>
      <c r="C10" s="21">
        <v>3</v>
      </c>
      <c r="D10" s="20">
        <v>4</v>
      </c>
      <c r="E10" s="21">
        <v>5</v>
      </c>
      <c r="F10" s="21">
        <v>6</v>
      </c>
      <c r="G10" s="21" t="s">
        <v>2843</v>
      </c>
      <c r="H10" s="21">
        <v>8</v>
      </c>
      <c r="I10" s="21">
        <v>9</v>
      </c>
      <c r="J10" s="21">
        <v>10</v>
      </c>
      <c r="K10" s="21">
        <v>11</v>
      </c>
      <c r="L10" s="21">
        <v>12</v>
      </c>
      <c r="M10" s="21" t="s">
        <v>2844</v>
      </c>
      <c r="N10" s="21" t="s">
        <v>2845</v>
      </c>
      <c r="O10" s="21">
        <v>15</v>
      </c>
      <c r="P10" s="21">
        <v>16</v>
      </c>
      <c r="Q10" s="21">
        <v>17</v>
      </c>
      <c r="R10" s="21">
        <v>18</v>
      </c>
      <c r="S10" s="21">
        <v>19</v>
      </c>
      <c r="T10" s="21" t="s">
        <v>2846</v>
      </c>
      <c r="U10" s="21">
        <v>21</v>
      </c>
      <c r="V10" s="22" t="s">
        <v>2848</v>
      </c>
      <c r="W10" s="23"/>
      <c r="X10" s="23"/>
      <c r="Y10" s="23"/>
    </row>
    <row r="11" spans="1:45" s="11" customFormat="1" hidden="1">
      <c r="A11" s="123" t="s">
        <v>5</v>
      </c>
      <c r="B11" s="124" t="s">
        <v>2925</v>
      </c>
      <c r="C11" s="125">
        <f t="shared" ref="C11:V11" si="0">C12+C15+C16+C17+C18+C19+C20+C21+C22+C23</f>
        <v>0</v>
      </c>
      <c r="D11" s="167">
        <f t="shared" si="0"/>
        <v>0</v>
      </c>
      <c r="E11" s="125">
        <f t="shared" si="0"/>
        <v>0</v>
      </c>
      <c r="F11" s="125">
        <f t="shared" si="0"/>
        <v>0</v>
      </c>
      <c r="G11" s="126">
        <f t="shared" si="0"/>
        <v>0</v>
      </c>
      <c r="H11" s="126">
        <f t="shared" si="0"/>
        <v>0</v>
      </c>
      <c r="I11" s="126">
        <f t="shared" si="0"/>
        <v>0</v>
      </c>
      <c r="J11" s="126">
        <f t="shared" si="0"/>
        <v>0</v>
      </c>
      <c r="K11" s="126">
        <f t="shared" si="0"/>
        <v>0</v>
      </c>
      <c r="L11" s="126">
        <f t="shared" si="0"/>
        <v>0</v>
      </c>
      <c r="M11" s="126">
        <f t="shared" si="0"/>
        <v>0</v>
      </c>
      <c r="N11" s="126">
        <f t="shared" si="0"/>
        <v>0</v>
      </c>
      <c r="O11" s="126">
        <f t="shared" si="0"/>
        <v>0</v>
      </c>
      <c r="P11" s="126">
        <f t="shared" si="0"/>
        <v>0</v>
      </c>
      <c r="Q11" s="126">
        <f t="shared" si="0"/>
        <v>0</v>
      </c>
      <c r="R11" s="126">
        <f t="shared" si="0"/>
        <v>0</v>
      </c>
      <c r="S11" s="126">
        <f t="shared" si="0"/>
        <v>0</v>
      </c>
      <c r="T11" s="126">
        <f t="shared" si="0"/>
        <v>0</v>
      </c>
      <c r="U11" s="126">
        <f t="shared" si="0"/>
        <v>0</v>
      </c>
      <c r="V11" s="126">
        <f t="shared" si="0"/>
        <v>0</v>
      </c>
      <c r="W11" s="25"/>
      <c r="X11" s="25"/>
      <c r="Y11" s="25"/>
      <c r="Z11" s="25"/>
      <c r="AA11" s="25"/>
      <c r="AB11" s="25"/>
      <c r="AC11" s="25"/>
      <c r="AD11" s="25"/>
      <c r="AE11" s="25"/>
      <c r="AF11" s="25"/>
      <c r="AG11" s="25"/>
      <c r="AH11" s="25"/>
      <c r="AI11" s="25"/>
      <c r="AJ11" s="25"/>
      <c r="AK11" s="25"/>
      <c r="AL11" s="25"/>
      <c r="AM11" s="25"/>
      <c r="AN11" s="25"/>
      <c r="AO11" s="25"/>
      <c r="AP11" s="25"/>
      <c r="AQ11" s="25"/>
      <c r="AR11" s="25"/>
      <c r="AS11" s="25"/>
    </row>
    <row r="12" spans="1:45" s="27" customFormat="1" hidden="1">
      <c r="A12" s="127">
        <v>1</v>
      </c>
      <c r="B12" s="128" t="s">
        <v>2906</v>
      </c>
      <c r="C12" s="129">
        <f>SUM(C13:C14)</f>
        <v>0</v>
      </c>
      <c r="D12" s="168">
        <f t="shared" ref="D12:V12" si="1">SUM(D13:D14)</f>
        <v>0</v>
      </c>
      <c r="E12" s="129">
        <f t="shared" si="1"/>
        <v>0</v>
      </c>
      <c r="F12" s="129">
        <f t="shared" si="1"/>
        <v>0</v>
      </c>
      <c r="G12" s="130">
        <f t="shared" si="1"/>
        <v>0</v>
      </c>
      <c r="H12" s="130">
        <f t="shared" si="1"/>
        <v>0</v>
      </c>
      <c r="I12" s="130">
        <f t="shared" si="1"/>
        <v>0</v>
      </c>
      <c r="J12" s="130">
        <f t="shared" si="1"/>
        <v>0</v>
      </c>
      <c r="K12" s="130">
        <f t="shared" si="1"/>
        <v>0</v>
      </c>
      <c r="L12" s="130">
        <f t="shared" si="1"/>
        <v>0</v>
      </c>
      <c r="M12" s="130">
        <f t="shared" si="1"/>
        <v>0</v>
      </c>
      <c r="N12" s="130">
        <f t="shared" si="1"/>
        <v>0</v>
      </c>
      <c r="O12" s="130">
        <f t="shared" si="1"/>
        <v>0</v>
      </c>
      <c r="P12" s="130">
        <f t="shared" si="1"/>
        <v>0</v>
      </c>
      <c r="Q12" s="130">
        <f t="shared" si="1"/>
        <v>0</v>
      </c>
      <c r="R12" s="130">
        <f t="shared" si="1"/>
        <v>0</v>
      </c>
      <c r="S12" s="130">
        <f t="shared" si="1"/>
        <v>0</v>
      </c>
      <c r="T12" s="130">
        <f t="shared" si="1"/>
        <v>0</v>
      </c>
      <c r="U12" s="130">
        <f t="shared" si="1"/>
        <v>0</v>
      </c>
      <c r="V12" s="130">
        <f t="shared" si="1"/>
        <v>0</v>
      </c>
      <c r="W12" s="26"/>
      <c r="X12" s="26"/>
      <c r="Y12" s="26"/>
      <c r="Z12" s="26"/>
      <c r="AA12" s="26"/>
      <c r="AB12" s="26"/>
      <c r="AC12" s="26"/>
      <c r="AD12" s="26"/>
      <c r="AE12" s="26"/>
      <c r="AF12" s="26"/>
      <c r="AG12" s="26"/>
      <c r="AH12" s="26"/>
      <c r="AI12" s="26"/>
      <c r="AJ12" s="26"/>
      <c r="AK12" s="26"/>
      <c r="AL12" s="26"/>
      <c r="AM12" s="26"/>
      <c r="AN12" s="26"/>
      <c r="AO12" s="26"/>
      <c r="AP12" s="26"/>
      <c r="AQ12" s="26"/>
      <c r="AR12" s="26"/>
      <c r="AS12" s="26"/>
    </row>
    <row r="13" spans="1:45" s="27" customFormat="1" hidden="1">
      <c r="A13" s="127"/>
      <c r="B13" s="131" t="s">
        <v>2490</v>
      </c>
      <c r="C13" s="132">
        <f>C28+C253+C264+C275+C286+C297+C308+C319+C330+C341</f>
        <v>0</v>
      </c>
      <c r="D13" s="169">
        <f>D28+D253+D264+D275+D286+D297+D308+D319+D330+D341</f>
        <v>0</v>
      </c>
      <c r="E13" s="132">
        <f>E28+E253+E264+E275+E286+E297+E308+E319+E330+E341</f>
        <v>0</v>
      </c>
      <c r="F13" s="132">
        <f>F28+F253+F264+F275+F286+F297+F308+F319+F330+F341</f>
        <v>0</v>
      </c>
      <c r="G13" s="133">
        <f>SUM(H13,I13,M13)</f>
        <v>0</v>
      </c>
      <c r="H13" s="133">
        <f>H28+H253+H264+H275+H286+H297+H308+H319+H330+H341</f>
        <v>0</v>
      </c>
      <c r="I13" s="133">
        <f>SUM(J13:L13)</f>
        <v>0</v>
      </c>
      <c r="J13" s="133">
        <f>J28+J253+J264+J275+J286+J297+J308+J319+J330+J341</f>
        <v>0</v>
      </c>
      <c r="K13" s="133">
        <f>K28+K253+K264+K275+K286+K297+K308+K319+K330+K341</f>
        <v>0</v>
      </c>
      <c r="L13" s="133">
        <f>L28+L253+L264+L275+L286+L297+L308+L319+L330+L341</f>
        <v>0</v>
      </c>
      <c r="M13" s="133">
        <f>(H13+I13)*1%</f>
        <v>0</v>
      </c>
      <c r="N13" s="133">
        <f>SUM(O13,P13,T13)</f>
        <v>0</v>
      </c>
      <c r="O13" s="133">
        <f>O28+O253+O264+O275+O286+O297+O308+O319+O330+O341</f>
        <v>0</v>
      </c>
      <c r="P13" s="133">
        <f>SUM(Q13:S13)</f>
        <v>0</v>
      </c>
      <c r="Q13" s="133">
        <f>Q28+Q253+Q264+Q275+Q286+Q297+Q308+Q319+Q330+Q341</f>
        <v>0</v>
      </c>
      <c r="R13" s="133">
        <f>R28+R253+R264+R275+R286+R297+R308+R319+R330+R341</f>
        <v>0</v>
      </c>
      <c r="S13" s="133">
        <f>S28+S253+S264+S275+S286+S297+S308+S319+S330+S341</f>
        <v>0</v>
      </c>
      <c r="T13" s="133">
        <f>(O13+P13)*1%</f>
        <v>0</v>
      </c>
      <c r="U13" s="133">
        <f>T13-M13</f>
        <v>0</v>
      </c>
      <c r="V13" s="133">
        <f>U13*6</f>
        <v>0</v>
      </c>
    </row>
    <row r="14" spans="1:45" s="28" customFormat="1" hidden="1">
      <c r="A14" s="134"/>
      <c r="B14" s="131" t="s">
        <v>2491</v>
      </c>
      <c r="C14" s="132">
        <f>C73</f>
        <v>0</v>
      </c>
      <c r="D14" s="169">
        <f t="shared" ref="D14:S14" si="2">D73</f>
        <v>0</v>
      </c>
      <c r="E14" s="132">
        <f t="shared" si="2"/>
        <v>0</v>
      </c>
      <c r="F14" s="132">
        <f t="shared" si="2"/>
        <v>0</v>
      </c>
      <c r="G14" s="133">
        <f>SUM(H14,I14,M14)</f>
        <v>0</v>
      </c>
      <c r="H14" s="133">
        <f t="shared" si="2"/>
        <v>0</v>
      </c>
      <c r="I14" s="133">
        <f>SUM(J14:L14)</f>
        <v>0</v>
      </c>
      <c r="J14" s="133">
        <f t="shared" si="2"/>
        <v>0</v>
      </c>
      <c r="K14" s="133">
        <f t="shared" si="2"/>
        <v>0</v>
      </c>
      <c r="L14" s="133">
        <f t="shared" si="2"/>
        <v>0</v>
      </c>
      <c r="M14" s="133">
        <f>(H14+I14)*1%</f>
        <v>0</v>
      </c>
      <c r="N14" s="133">
        <f>SUM(O14,P14,T14)</f>
        <v>0</v>
      </c>
      <c r="O14" s="133">
        <f t="shared" si="2"/>
        <v>0</v>
      </c>
      <c r="P14" s="133">
        <f t="shared" ref="P14:P23" si="3">SUM(Q14:S14)</f>
        <v>0</v>
      </c>
      <c r="Q14" s="133">
        <f t="shared" si="2"/>
        <v>0</v>
      </c>
      <c r="R14" s="133">
        <f t="shared" si="2"/>
        <v>0</v>
      </c>
      <c r="S14" s="133">
        <f t="shared" si="2"/>
        <v>0</v>
      </c>
      <c r="T14" s="133">
        <f>(O14+P14)*1%</f>
        <v>0</v>
      </c>
      <c r="U14" s="133">
        <f>T14-M14</f>
        <v>0</v>
      </c>
      <c r="V14" s="133">
        <f>U14*6</f>
        <v>0</v>
      </c>
    </row>
    <row r="15" spans="1:45" s="27" customFormat="1" hidden="1">
      <c r="A15" s="127">
        <v>2</v>
      </c>
      <c r="B15" s="128" t="s">
        <v>2237</v>
      </c>
      <c r="C15" s="129">
        <f>C82+C254+C265+C276+C287+C298+C309+C320+C331+C342</f>
        <v>0</v>
      </c>
      <c r="D15" s="168">
        <f>D82+D254+D265+D276+D287+D298+D309+D320+D331+D342</f>
        <v>0</v>
      </c>
      <c r="E15" s="129">
        <f>E82+E254+E265+E276+E287+E298+E309+E320+E331+E342</f>
        <v>0</v>
      </c>
      <c r="F15" s="129">
        <f>F82+F254+F265+F276+F287+F298+F309+F320+F331+F342</f>
        <v>0</v>
      </c>
      <c r="G15" s="133">
        <f t="shared" ref="G15:G23" si="4">SUM(H15,I15,M15)</f>
        <v>0</v>
      </c>
      <c r="H15" s="130">
        <f>H82+H254+H265+H276+H287+H298+H309+H320+H331+H342</f>
        <v>0</v>
      </c>
      <c r="I15" s="133">
        <f t="shared" ref="I15:I23" si="5">SUM(J15:L15)</f>
        <v>0</v>
      </c>
      <c r="J15" s="130">
        <f>J82+J254+J265+J276+J287+J298+J309+J320+J331+J342</f>
        <v>0</v>
      </c>
      <c r="K15" s="130">
        <f>K82+K254+K265+K276+K287+K298+K309+K320+K331+K342</f>
        <v>0</v>
      </c>
      <c r="L15" s="130">
        <f>L82+L254+L265+L276+L287+L298+L309+L320+L331+L342</f>
        <v>0</v>
      </c>
      <c r="M15" s="133">
        <f t="shared" ref="M15:M23" si="6">(H15+I15)*1%</f>
        <v>0</v>
      </c>
      <c r="N15" s="133">
        <f t="shared" ref="N15:N23" si="7">SUM(O15,P15,T15)</f>
        <v>0</v>
      </c>
      <c r="O15" s="130">
        <f>O82+O254+O265+O276+O287+O298+O309+O320+O331+O342</f>
        <v>0</v>
      </c>
      <c r="P15" s="133">
        <f t="shared" si="3"/>
        <v>0</v>
      </c>
      <c r="Q15" s="130">
        <f>Q82+Q254+Q265+Q276+Q287+Q298+Q309+Q320+Q331+Q342</f>
        <v>0</v>
      </c>
      <c r="R15" s="130">
        <f>R82+R254+R265+R276+R287+R298+R309+R320+R331+R342</f>
        <v>0</v>
      </c>
      <c r="S15" s="130">
        <f>S82+S254+S265+S276+S287+S298+S309+S320+S331+S342</f>
        <v>0</v>
      </c>
      <c r="T15" s="133">
        <f t="shared" ref="T15:T23" si="8">(O15+P15)*1%</f>
        <v>0</v>
      </c>
      <c r="U15" s="133">
        <f>T15-M15</f>
        <v>0</v>
      </c>
      <c r="V15" s="133">
        <f t="shared" ref="V15:V23" si="9">U15*6</f>
        <v>0</v>
      </c>
    </row>
    <row r="16" spans="1:45" s="27" customFormat="1" hidden="1">
      <c r="A16" s="127">
        <v>3</v>
      </c>
      <c r="B16" s="128" t="s">
        <v>2531</v>
      </c>
      <c r="C16" s="129">
        <f>C116+C255+C266+C277+C288+C299+C310+C321+C332+C343</f>
        <v>0</v>
      </c>
      <c r="D16" s="168">
        <f>D116+D255+D266+D277+D288+D299+D310+D321+D332+D343</f>
        <v>0</v>
      </c>
      <c r="E16" s="129">
        <f>E116+E255+E266+E277+E288+E299+E310+E321+E332+E343</f>
        <v>0</v>
      </c>
      <c r="F16" s="129">
        <f>F116+F255+F266+F277+F288+F299+F310+F321+F332+F343</f>
        <v>0</v>
      </c>
      <c r="G16" s="133">
        <f t="shared" si="4"/>
        <v>0</v>
      </c>
      <c r="H16" s="130">
        <f>H116+H255+H266+H277+H288+H299+H310+H321+H332+H343</f>
        <v>0</v>
      </c>
      <c r="I16" s="133">
        <f t="shared" si="5"/>
        <v>0</v>
      </c>
      <c r="J16" s="130">
        <f>J116+J255+J266+J277+J288+J299+J310+J321+J332+J343</f>
        <v>0</v>
      </c>
      <c r="K16" s="130">
        <f>K116+K255+K266+K277+K288+K299+K310+K321+K332+K343</f>
        <v>0</v>
      </c>
      <c r="L16" s="130">
        <f>L116+L255+L266+L277+L288+L299+L310+L321+L332+L343</f>
        <v>0</v>
      </c>
      <c r="M16" s="133">
        <f t="shared" si="6"/>
        <v>0</v>
      </c>
      <c r="N16" s="133">
        <f t="shared" si="7"/>
        <v>0</v>
      </c>
      <c r="O16" s="130">
        <f>O116+O255+O266+O277+O288+O299+O310+O321+O332+O343</f>
        <v>0</v>
      </c>
      <c r="P16" s="133">
        <f t="shared" si="3"/>
        <v>0</v>
      </c>
      <c r="Q16" s="130">
        <f>Q116+Q255+Q266+Q277+Q288+Q299+Q310+Q321+Q332+Q343</f>
        <v>0</v>
      </c>
      <c r="R16" s="130">
        <f>R116+R255+R266+R277+R288+R299+R310+R321+R332+R343</f>
        <v>0</v>
      </c>
      <c r="S16" s="130">
        <f>S116+S255+S266+S277+S288+S299+S310+S321+S332+S343</f>
        <v>0</v>
      </c>
      <c r="T16" s="133">
        <f t="shared" si="8"/>
        <v>0</v>
      </c>
      <c r="U16" s="133">
        <f t="shared" ref="U16:U23" si="10">T16-M16</f>
        <v>0</v>
      </c>
      <c r="V16" s="133">
        <f t="shared" si="9"/>
        <v>0</v>
      </c>
    </row>
    <row r="17" spans="1:22" s="27" customFormat="1" hidden="1">
      <c r="A17" s="127">
        <v>4</v>
      </c>
      <c r="B17" s="128" t="s">
        <v>2532</v>
      </c>
      <c r="C17" s="129">
        <f>C125+C267+C256+C278+C289+C300+C311+C322+C333+C344</f>
        <v>0</v>
      </c>
      <c r="D17" s="168">
        <f>D125+D267+D256+D278+D289+D300+D311+D322+D333+D344</f>
        <v>0</v>
      </c>
      <c r="E17" s="129">
        <f>E125+E267+E256+E278+E289+E300+E311+E322+E333+E344</f>
        <v>0</v>
      </c>
      <c r="F17" s="129">
        <f>F125+F267+F256+F278+F289+F300+F311+F322+F333+F344</f>
        <v>0</v>
      </c>
      <c r="G17" s="133">
        <f t="shared" si="4"/>
        <v>0</v>
      </c>
      <c r="H17" s="130">
        <f>H125+H267+H256+H278+H289+H300+H311+H322+H333+H344</f>
        <v>0</v>
      </c>
      <c r="I17" s="133">
        <f t="shared" si="5"/>
        <v>0</v>
      </c>
      <c r="J17" s="130">
        <f>J125+J267+J256+J278+J289+J300+J311+J322+J333+J344</f>
        <v>0</v>
      </c>
      <c r="K17" s="130">
        <f>K125+K267+K256+K278+K289+K300+K311+K322+K333+K344</f>
        <v>0</v>
      </c>
      <c r="L17" s="130">
        <f>L125+L267+L256+L278+L289+L300+L311+L322+L333+L344</f>
        <v>0</v>
      </c>
      <c r="M17" s="133">
        <f t="shared" si="6"/>
        <v>0</v>
      </c>
      <c r="N17" s="133">
        <f t="shared" si="7"/>
        <v>0</v>
      </c>
      <c r="O17" s="130">
        <f>O125+O267+O256+O278+O289+O300+O311+O322+O333+O344</f>
        <v>0</v>
      </c>
      <c r="P17" s="133">
        <f t="shared" si="3"/>
        <v>0</v>
      </c>
      <c r="Q17" s="130">
        <f>Q125+Q267+Q256+Q278+Q289+Q300+Q311+Q322+Q333+Q344</f>
        <v>0</v>
      </c>
      <c r="R17" s="130">
        <f>R125+R267+R256+R278+R289+R300+R311+R322+R333+R344</f>
        <v>0</v>
      </c>
      <c r="S17" s="130">
        <f>S125+S267+S256+S278+S289+S300+S311+S322+S333+S344</f>
        <v>0</v>
      </c>
      <c r="T17" s="133">
        <f t="shared" si="8"/>
        <v>0</v>
      </c>
      <c r="U17" s="133">
        <f t="shared" si="10"/>
        <v>0</v>
      </c>
      <c r="V17" s="133">
        <f t="shared" si="9"/>
        <v>0</v>
      </c>
    </row>
    <row r="18" spans="1:22" s="27" customFormat="1" hidden="1">
      <c r="A18" s="127">
        <v>5</v>
      </c>
      <c r="B18" s="128" t="s">
        <v>2533</v>
      </c>
      <c r="C18" s="129">
        <f>C135+C257+C268+C279+C290+C301+C312+C323+C334+C345</f>
        <v>0</v>
      </c>
      <c r="D18" s="168">
        <f>D135+D257+D268+D279+D290+D301+D312+D323+D334+D345</f>
        <v>0</v>
      </c>
      <c r="E18" s="129">
        <f>E135+E257+E268+E279+E290+E301+E312+E323+E334+E345</f>
        <v>0</v>
      </c>
      <c r="F18" s="129">
        <f>F135+F257+F268+F279+F290+F301+F312+F323+F334+F345</f>
        <v>0</v>
      </c>
      <c r="G18" s="133">
        <f t="shared" si="4"/>
        <v>0</v>
      </c>
      <c r="H18" s="130">
        <f>H135+H257+H268+H279+H290+H301+H312+H323+H334+H345</f>
        <v>0</v>
      </c>
      <c r="I18" s="133">
        <f t="shared" si="5"/>
        <v>0</v>
      </c>
      <c r="J18" s="130">
        <f>J135+J257+J268+J279+J290+J301+J312+J323+J334+J345</f>
        <v>0</v>
      </c>
      <c r="K18" s="130">
        <f>K135+K257+K268+K279+K290+K301+K312+K323+K334+K345</f>
        <v>0</v>
      </c>
      <c r="L18" s="130">
        <f>L135+L257+L268+L279+L290+L301+L312+L323+L334+L345</f>
        <v>0</v>
      </c>
      <c r="M18" s="133">
        <f t="shared" si="6"/>
        <v>0</v>
      </c>
      <c r="N18" s="133">
        <f t="shared" si="7"/>
        <v>0</v>
      </c>
      <c r="O18" s="130">
        <f>O135+O257+O268+O279+O290+O301+O312+O323+O334+O345</f>
        <v>0</v>
      </c>
      <c r="P18" s="133">
        <f t="shared" si="3"/>
        <v>0</v>
      </c>
      <c r="Q18" s="130">
        <f>Q135+Q257+Q268+Q279+Q290+Q301+Q312+Q323+Q334+Q345</f>
        <v>0</v>
      </c>
      <c r="R18" s="130">
        <f>R135+R257+R268+R279+R290+R301+R312+R323+R334+R345</f>
        <v>0</v>
      </c>
      <c r="S18" s="130">
        <f>S135+S257+S268+S279+S290+S301+S312+S323+S334+S345</f>
        <v>0</v>
      </c>
      <c r="T18" s="133">
        <f t="shared" si="8"/>
        <v>0</v>
      </c>
      <c r="U18" s="133">
        <f t="shared" si="10"/>
        <v>0</v>
      </c>
      <c r="V18" s="133">
        <f t="shared" si="9"/>
        <v>0</v>
      </c>
    </row>
    <row r="19" spans="1:22" s="27" customFormat="1" hidden="1">
      <c r="A19" s="127">
        <v>6</v>
      </c>
      <c r="B19" s="128" t="s">
        <v>2534</v>
      </c>
      <c r="C19" s="129">
        <f>C132+C258+C269+C280+C291+C302+C313+C324+C335+C346</f>
        <v>0</v>
      </c>
      <c r="D19" s="168">
        <f>D132+D258+D269+D280+D291+D302+D313+D324+D335+D346</f>
        <v>0</v>
      </c>
      <c r="E19" s="129">
        <f>E132+E258+E269+E280+E291+E302+E313+E324+E335+E346</f>
        <v>0</v>
      </c>
      <c r="F19" s="129">
        <f>F132+F258+F269+F280+F291+F302+F313+F324+F335+F346</f>
        <v>0</v>
      </c>
      <c r="G19" s="133">
        <f t="shared" si="4"/>
        <v>0</v>
      </c>
      <c r="H19" s="130">
        <f>H132+H258+H269+H280+H291+H302+H313+H324+H335+H346</f>
        <v>0</v>
      </c>
      <c r="I19" s="133">
        <f t="shared" si="5"/>
        <v>0</v>
      </c>
      <c r="J19" s="130">
        <f>J132+J258+J269+J280+J291+J302+J313+J324+J335+J346</f>
        <v>0</v>
      </c>
      <c r="K19" s="130">
        <f>K132+K258+K269+K280+K291+K302+K313+K324+K335+K346</f>
        <v>0</v>
      </c>
      <c r="L19" s="130">
        <f>L132+L258+L269+L280+L291+L302+L313+L324+L335+L346</f>
        <v>0</v>
      </c>
      <c r="M19" s="133">
        <f t="shared" si="6"/>
        <v>0</v>
      </c>
      <c r="N19" s="133">
        <f t="shared" si="7"/>
        <v>0</v>
      </c>
      <c r="O19" s="130">
        <f>O132+O258+O269+O280+O291+O302+O313+O324+O335+O346</f>
        <v>0</v>
      </c>
      <c r="P19" s="133">
        <f t="shared" si="3"/>
        <v>0</v>
      </c>
      <c r="Q19" s="130">
        <f>Q132+Q258+Q269+Q280+Q291+Q302+Q313+Q324+Q335+Q346</f>
        <v>0</v>
      </c>
      <c r="R19" s="130">
        <f>R132+R258+R269+R280+R291+R302+R313+R324+R335+R346</f>
        <v>0</v>
      </c>
      <c r="S19" s="130">
        <f>S132+S258+S269+S280+S291+S302+S313+S324+S335+S346</f>
        <v>0</v>
      </c>
      <c r="T19" s="133">
        <f t="shared" si="8"/>
        <v>0</v>
      </c>
      <c r="U19" s="133">
        <f t="shared" si="10"/>
        <v>0</v>
      </c>
      <c r="V19" s="133">
        <f t="shared" si="9"/>
        <v>0</v>
      </c>
    </row>
    <row r="20" spans="1:22" s="27" customFormat="1" hidden="1">
      <c r="A20" s="127">
        <v>7</v>
      </c>
      <c r="B20" s="128" t="s">
        <v>2926</v>
      </c>
      <c r="C20" s="129">
        <f>C137</f>
        <v>0</v>
      </c>
      <c r="D20" s="168">
        <f t="shared" ref="D20:S20" si="11">D137</f>
        <v>0</v>
      </c>
      <c r="E20" s="129">
        <f t="shared" si="11"/>
        <v>0</v>
      </c>
      <c r="F20" s="129">
        <f t="shared" si="11"/>
        <v>0</v>
      </c>
      <c r="G20" s="133">
        <f t="shared" si="4"/>
        <v>0</v>
      </c>
      <c r="H20" s="130">
        <f t="shared" si="11"/>
        <v>0</v>
      </c>
      <c r="I20" s="133">
        <f t="shared" si="5"/>
        <v>0</v>
      </c>
      <c r="J20" s="130">
        <f t="shared" si="11"/>
        <v>0</v>
      </c>
      <c r="K20" s="130">
        <f t="shared" si="11"/>
        <v>0</v>
      </c>
      <c r="L20" s="130">
        <f t="shared" si="11"/>
        <v>0</v>
      </c>
      <c r="M20" s="133">
        <f t="shared" si="6"/>
        <v>0</v>
      </c>
      <c r="N20" s="133">
        <f t="shared" si="7"/>
        <v>0</v>
      </c>
      <c r="O20" s="130">
        <f t="shared" si="11"/>
        <v>0</v>
      </c>
      <c r="P20" s="133">
        <f t="shared" si="3"/>
        <v>0</v>
      </c>
      <c r="Q20" s="130">
        <f t="shared" si="11"/>
        <v>0</v>
      </c>
      <c r="R20" s="130">
        <f t="shared" si="11"/>
        <v>0</v>
      </c>
      <c r="S20" s="130">
        <f t="shared" si="11"/>
        <v>0</v>
      </c>
      <c r="T20" s="133">
        <f t="shared" si="8"/>
        <v>0</v>
      </c>
      <c r="U20" s="133">
        <f t="shared" si="10"/>
        <v>0</v>
      </c>
      <c r="V20" s="133">
        <f t="shared" si="9"/>
        <v>0</v>
      </c>
    </row>
    <row r="21" spans="1:22" s="27" customFormat="1" hidden="1">
      <c r="A21" s="127">
        <v>8</v>
      </c>
      <c r="B21" s="128" t="s">
        <v>2536</v>
      </c>
      <c r="C21" s="129">
        <f>C145+C260+C271+C282+C293+C304+C315+C326+C337+C348</f>
        <v>0</v>
      </c>
      <c r="D21" s="168">
        <f>D145+D260+D271+D282+D293+D304+D315+D326+D337+D348</f>
        <v>0</v>
      </c>
      <c r="E21" s="129">
        <f>E145+E260+E271+E282+E293+E304+E315+E326+E337+E348</f>
        <v>0</v>
      </c>
      <c r="F21" s="129">
        <f>F145+F260+F271+F282+F293+F304+F315+F326+F337+F348</f>
        <v>0</v>
      </c>
      <c r="G21" s="133">
        <f t="shared" si="4"/>
        <v>0</v>
      </c>
      <c r="H21" s="130">
        <f>H145+H260+H271+H282+H293+H304+H315+H326+H337+H348</f>
        <v>0</v>
      </c>
      <c r="I21" s="133">
        <f t="shared" si="5"/>
        <v>0</v>
      </c>
      <c r="J21" s="130">
        <f>J145+J260+J271+J282+J293+J304+J315+J326+J337+J348</f>
        <v>0</v>
      </c>
      <c r="K21" s="130">
        <f>K145+K260+K271+K282+K293+K304+K315+K326+K337+K348</f>
        <v>0</v>
      </c>
      <c r="L21" s="130">
        <f>L145+L260+L271+L282+L293+L304+L315+L326+L337+L348</f>
        <v>0</v>
      </c>
      <c r="M21" s="133">
        <f t="shared" si="6"/>
        <v>0</v>
      </c>
      <c r="N21" s="133">
        <f t="shared" si="7"/>
        <v>0</v>
      </c>
      <c r="O21" s="130">
        <f>O145+O260+O271+O282+O293+O304+O315+O326+O337+O348</f>
        <v>0</v>
      </c>
      <c r="P21" s="133">
        <f t="shared" si="3"/>
        <v>0</v>
      </c>
      <c r="Q21" s="130">
        <f>Q145+Q260+Q271+Q282+Q293+Q304+Q315+Q326+Q337+Q348</f>
        <v>0</v>
      </c>
      <c r="R21" s="130">
        <f>R145+R260+R271+R282+R293+R304+R315+R326+R337+R348</f>
        <v>0</v>
      </c>
      <c r="S21" s="130">
        <f>S145+S260+S271+S282+S293+S304+S315+S326+S337+S348</f>
        <v>0</v>
      </c>
      <c r="T21" s="133">
        <f t="shared" si="8"/>
        <v>0</v>
      </c>
      <c r="U21" s="133">
        <f t="shared" si="10"/>
        <v>0</v>
      </c>
      <c r="V21" s="133">
        <f t="shared" si="9"/>
        <v>0</v>
      </c>
    </row>
    <row r="22" spans="1:22" s="27" customFormat="1" hidden="1">
      <c r="A22" s="127">
        <v>9</v>
      </c>
      <c r="B22" s="128" t="s">
        <v>2537</v>
      </c>
      <c r="C22" s="129">
        <f>C261+C272+C283+C294+C305+C316+C327+C338+C349</f>
        <v>0</v>
      </c>
      <c r="D22" s="168">
        <f t="shared" ref="D22:S22" si="12">D261+D272+D283+D294+D305+D316+D327+D338+D349</f>
        <v>0</v>
      </c>
      <c r="E22" s="129">
        <f t="shared" si="12"/>
        <v>0</v>
      </c>
      <c r="F22" s="129">
        <f t="shared" si="12"/>
        <v>0</v>
      </c>
      <c r="G22" s="133">
        <f t="shared" si="4"/>
        <v>0</v>
      </c>
      <c r="H22" s="130">
        <f t="shared" si="12"/>
        <v>0</v>
      </c>
      <c r="I22" s="133">
        <f t="shared" si="5"/>
        <v>0</v>
      </c>
      <c r="J22" s="130">
        <f t="shared" si="12"/>
        <v>0</v>
      </c>
      <c r="K22" s="130">
        <f t="shared" si="12"/>
        <v>0</v>
      </c>
      <c r="L22" s="130">
        <f t="shared" si="12"/>
        <v>0</v>
      </c>
      <c r="M22" s="133">
        <f t="shared" si="6"/>
        <v>0</v>
      </c>
      <c r="N22" s="133">
        <f t="shared" si="7"/>
        <v>0</v>
      </c>
      <c r="O22" s="130">
        <f t="shared" si="12"/>
        <v>0</v>
      </c>
      <c r="P22" s="133">
        <f t="shared" si="3"/>
        <v>0</v>
      </c>
      <c r="Q22" s="130">
        <f t="shared" si="12"/>
        <v>0</v>
      </c>
      <c r="R22" s="130">
        <f t="shared" si="12"/>
        <v>0</v>
      </c>
      <c r="S22" s="130">
        <f t="shared" si="12"/>
        <v>0</v>
      </c>
      <c r="T22" s="133">
        <f t="shared" si="8"/>
        <v>0</v>
      </c>
      <c r="U22" s="133">
        <f t="shared" si="10"/>
        <v>0</v>
      </c>
      <c r="V22" s="133">
        <f t="shared" si="9"/>
        <v>0</v>
      </c>
    </row>
    <row r="23" spans="1:22" s="27" customFormat="1" hidden="1">
      <c r="A23" s="127">
        <v>10</v>
      </c>
      <c r="B23" s="128" t="s">
        <v>2492</v>
      </c>
      <c r="C23" s="129">
        <f>C177+C262+C273+C284+C295+C306+C317+C328+C339+C350</f>
        <v>0</v>
      </c>
      <c r="D23" s="168">
        <f>D177+D262+D273+D284+D295+D306+D317+D328+D339+D350</f>
        <v>0</v>
      </c>
      <c r="E23" s="129">
        <f>E177+E262+E273+E284+E295+E306+E317+E328+E339+E350</f>
        <v>0</v>
      </c>
      <c r="F23" s="129">
        <f>F177+F262+F273+F284+F295+F306+F317+F328+F339+F350</f>
        <v>0</v>
      </c>
      <c r="G23" s="133">
        <f t="shared" si="4"/>
        <v>0</v>
      </c>
      <c r="H23" s="130">
        <f>H177+H262+H273+H284+H295+H306+H317+H328+H339+H350</f>
        <v>0</v>
      </c>
      <c r="I23" s="133">
        <f t="shared" si="5"/>
        <v>0</v>
      </c>
      <c r="J23" s="130">
        <f>J177+J262+J273+J284+J295+J306+J317+J328+J339+J350</f>
        <v>0</v>
      </c>
      <c r="K23" s="130">
        <f>K177+K262+K273+K284+K295+K306+K317+K328+K339+K350</f>
        <v>0</v>
      </c>
      <c r="L23" s="130">
        <f>L177+L262+L273+L284+L295+L306+L317+L328+L339+L350</f>
        <v>0</v>
      </c>
      <c r="M23" s="133">
        <f t="shared" si="6"/>
        <v>0</v>
      </c>
      <c r="N23" s="133">
        <f t="shared" si="7"/>
        <v>0</v>
      </c>
      <c r="O23" s="130">
        <f>O177+O262+O273+O284+O295+O306+O317+O328+O339+O350</f>
        <v>0</v>
      </c>
      <c r="P23" s="133">
        <f t="shared" si="3"/>
        <v>0</v>
      </c>
      <c r="Q23" s="130">
        <f>Q177+Q262+Q273+Q284+Q295+Q306+Q317+Q328+Q339+Q350</f>
        <v>0</v>
      </c>
      <c r="R23" s="130">
        <f>R177+R262+R273+R284+R295+R306+R317+R328+R339+R350</f>
        <v>0</v>
      </c>
      <c r="S23" s="130">
        <f>S177+S262+S273+S284+S295+S306+S317+S328+S339+S350</f>
        <v>0</v>
      </c>
      <c r="T23" s="133">
        <f t="shared" si="8"/>
        <v>0</v>
      </c>
      <c r="U23" s="133">
        <f t="shared" si="10"/>
        <v>0</v>
      </c>
      <c r="V23" s="133">
        <f t="shared" si="9"/>
        <v>0</v>
      </c>
    </row>
    <row r="24" spans="1:22" s="27" customFormat="1" hidden="1">
      <c r="A24" s="135"/>
      <c r="B24" s="136"/>
      <c r="C24" s="137"/>
      <c r="D24" s="170"/>
      <c r="E24" s="137"/>
      <c r="F24" s="137"/>
      <c r="G24" s="138"/>
      <c r="H24" s="138"/>
      <c r="I24" s="138"/>
      <c r="J24" s="138"/>
      <c r="K24" s="138"/>
      <c r="L24" s="138"/>
      <c r="M24" s="138"/>
      <c r="N24" s="138"/>
      <c r="O24" s="138"/>
      <c r="P24" s="138"/>
      <c r="Q24" s="138"/>
      <c r="R24" s="138"/>
      <c r="S24" s="138"/>
      <c r="T24" s="138"/>
      <c r="U24" s="138"/>
      <c r="V24" s="138"/>
    </row>
    <row r="25" spans="1:22" s="29" customFormat="1" hidden="1">
      <c r="A25" s="139" t="s">
        <v>12</v>
      </c>
      <c r="B25" s="140" t="s">
        <v>2927</v>
      </c>
      <c r="C25" s="141">
        <f t="shared" ref="C25:V25" si="13">C26+C251</f>
        <v>0</v>
      </c>
      <c r="D25" s="171">
        <f t="shared" si="13"/>
        <v>0</v>
      </c>
      <c r="E25" s="141">
        <f t="shared" si="13"/>
        <v>0</v>
      </c>
      <c r="F25" s="141">
        <f t="shared" si="13"/>
        <v>0</v>
      </c>
      <c r="G25" s="142">
        <f t="shared" si="13"/>
        <v>0</v>
      </c>
      <c r="H25" s="142">
        <f t="shared" si="13"/>
        <v>0</v>
      </c>
      <c r="I25" s="142">
        <f t="shared" si="13"/>
        <v>0</v>
      </c>
      <c r="J25" s="142">
        <f t="shared" si="13"/>
        <v>0</v>
      </c>
      <c r="K25" s="142">
        <f t="shared" si="13"/>
        <v>0</v>
      </c>
      <c r="L25" s="142">
        <f t="shared" si="13"/>
        <v>0</v>
      </c>
      <c r="M25" s="142">
        <f t="shared" si="13"/>
        <v>0</v>
      </c>
      <c r="N25" s="142">
        <f t="shared" si="13"/>
        <v>0</v>
      </c>
      <c r="O25" s="142">
        <f t="shared" si="13"/>
        <v>0</v>
      </c>
      <c r="P25" s="142">
        <f t="shared" si="13"/>
        <v>0</v>
      </c>
      <c r="Q25" s="142">
        <f t="shared" si="13"/>
        <v>0</v>
      </c>
      <c r="R25" s="142">
        <f t="shared" si="13"/>
        <v>0</v>
      </c>
      <c r="S25" s="142">
        <f t="shared" si="13"/>
        <v>0</v>
      </c>
      <c r="T25" s="142">
        <f t="shared" si="13"/>
        <v>0</v>
      </c>
      <c r="U25" s="142">
        <f t="shared" si="13"/>
        <v>0</v>
      </c>
      <c r="V25" s="142">
        <f t="shared" si="13"/>
        <v>0</v>
      </c>
    </row>
    <row r="26" spans="1:22" s="29" customFormat="1" ht="21.75" customHeight="1">
      <c r="A26" s="30" t="s">
        <v>13</v>
      </c>
      <c r="B26" s="31" t="s">
        <v>2550</v>
      </c>
      <c r="C26" s="32">
        <f>C27+C82+C116+C124+C135+C137+C145+C177</f>
        <v>0</v>
      </c>
      <c r="D26" s="172">
        <f t="shared" ref="D26:V26" si="14">D27+D82+D116+D124+D135+D137+D145+D177</f>
        <v>0</v>
      </c>
      <c r="E26" s="32">
        <f t="shared" si="14"/>
        <v>0</v>
      </c>
      <c r="F26" s="32">
        <f t="shared" si="14"/>
        <v>0</v>
      </c>
      <c r="G26" s="143">
        <f t="shared" si="14"/>
        <v>0</v>
      </c>
      <c r="H26" s="33">
        <f t="shared" si="14"/>
        <v>0</v>
      </c>
      <c r="I26" s="143">
        <f t="shared" si="14"/>
        <v>0</v>
      </c>
      <c r="J26" s="33">
        <f t="shared" si="14"/>
        <v>0</v>
      </c>
      <c r="K26" s="33">
        <f t="shared" si="14"/>
        <v>0</v>
      </c>
      <c r="L26" s="33">
        <f t="shared" si="14"/>
        <v>0</v>
      </c>
      <c r="M26" s="143">
        <f t="shared" si="14"/>
        <v>0</v>
      </c>
      <c r="N26" s="143">
        <f t="shared" si="14"/>
        <v>0</v>
      </c>
      <c r="O26" s="143">
        <f t="shared" si="14"/>
        <v>0</v>
      </c>
      <c r="P26" s="143">
        <f t="shared" si="14"/>
        <v>0</v>
      </c>
      <c r="Q26" s="143">
        <f t="shared" si="14"/>
        <v>0</v>
      </c>
      <c r="R26" s="143">
        <f t="shared" si="14"/>
        <v>0</v>
      </c>
      <c r="S26" s="143">
        <f t="shared" si="14"/>
        <v>0</v>
      </c>
      <c r="T26" s="143">
        <f t="shared" si="14"/>
        <v>0</v>
      </c>
      <c r="U26" s="143">
        <f t="shared" si="14"/>
        <v>0</v>
      </c>
      <c r="V26" s="143">
        <f t="shared" si="14"/>
        <v>0</v>
      </c>
    </row>
    <row r="27" spans="1:22" s="29" customFormat="1">
      <c r="A27" s="34">
        <v>1</v>
      </c>
      <c r="B27" s="35" t="s">
        <v>2928</v>
      </c>
      <c r="C27" s="36">
        <f>C28+C73</f>
        <v>0</v>
      </c>
      <c r="D27" s="173">
        <f t="shared" ref="D27:V27" si="15">D28+D73</f>
        <v>0</v>
      </c>
      <c r="E27" s="36">
        <f t="shared" si="15"/>
        <v>0</v>
      </c>
      <c r="F27" s="36">
        <f t="shared" si="15"/>
        <v>0</v>
      </c>
      <c r="G27" s="144">
        <f t="shared" si="15"/>
        <v>0</v>
      </c>
      <c r="H27" s="37">
        <f t="shared" si="15"/>
        <v>0</v>
      </c>
      <c r="I27" s="144">
        <f t="shared" si="15"/>
        <v>0</v>
      </c>
      <c r="J27" s="37">
        <f t="shared" si="15"/>
        <v>0</v>
      </c>
      <c r="K27" s="37">
        <f t="shared" si="15"/>
        <v>0</v>
      </c>
      <c r="L27" s="37">
        <f t="shared" si="15"/>
        <v>0</v>
      </c>
      <c r="M27" s="144">
        <f t="shared" si="15"/>
        <v>0</v>
      </c>
      <c r="N27" s="144">
        <f t="shared" si="15"/>
        <v>0</v>
      </c>
      <c r="O27" s="144">
        <f t="shared" si="15"/>
        <v>0</v>
      </c>
      <c r="P27" s="144">
        <f t="shared" si="15"/>
        <v>0</v>
      </c>
      <c r="Q27" s="144">
        <f t="shared" si="15"/>
        <v>0</v>
      </c>
      <c r="R27" s="144">
        <f t="shared" si="15"/>
        <v>0</v>
      </c>
      <c r="S27" s="144">
        <f t="shared" si="15"/>
        <v>0</v>
      </c>
      <c r="T27" s="144">
        <f t="shared" si="15"/>
        <v>0</v>
      </c>
      <c r="U27" s="144">
        <f t="shared" si="15"/>
        <v>0</v>
      </c>
      <c r="V27" s="144">
        <f t="shared" si="15"/>
        <v>0</v>
      </c>
    </row>
    <row r="28" spans="1:22" s="27" customFormat="1">
      <c r="A28" s="34" t="s">
        <v>6</v>
      </c>
      <c r="B28" s="35" t="s">
        <v>2929</v>
      </c>
      <c r="C28" s="38">
        <f>C29+C72</f>
        <v>0</v>
      </c>
      <c r="D28" s="174">
        <f t="shared" ref="D28:E28" si="16">D29+D72</f>
        <v>0</v>
      </c>
      <c r="E28" s="38">
        <f t="shared" si="16"/>
        <v>0</v>
      </c>
      <c r="F28" s="38">
        <f>F29+F72</f>
        <v>0</v>
      </c>
      <c r="G28" s="145">
        <f t="shared" ref="G28:V28" si="17">G29+G72</f>
        <v>0</v>
      </c>
      <c r="H28" s="39">
        <f t="shared" si="17"/>
        <v>0</v>
      </c>
      <c r="I28" s="145">
        <f t="shared" si="17"/>
        <v>0</v>
      </c>
      <c r="J28" s="39">
        <f t="shared" si="17"/>
        <v>0</v>
      </c>
      <c r="K28" s="39">
        <f t="shared" si="17"/>
        <v>0</v>
      </c>
      <c r="L28" s="39">
        <f t="shared" si="17"/>
        <v>0</v>
      </c>
      <c r="M28" s="145">
        <f t="shared" si="17"/>
        <v>0</v>
      </c>
      <c r="N28" s="145">
        <f t="shared" si="17"/>
        <v>0</v>
      </c>
      <c r="O28" s="145">
        <f t="shared" si="17"/>
        <v>0</v>
      </c>
      <c r="P28" s="145">
        <f t="shared" si="17"/>
        <v>0</v>
      </c>
      <c r="Q28" s="145">
        <f t="shared" si="17"/>
        <v>0</v>
      </c>
      <c r="R28" s="145">
        <f t="shared" si="17"/>
        <v>0</v>
      </c>
      <c r="S28" s="145">
        <f t="shared" si="17"/>
        <v>0</v>
      </c>
      <c r="T28" s="145">
        <f t="shared" si="17"/>
        <v>0</v>
      </c>
      <c r="U28" s="145">
        <f t="shared" si="17"/>
        <v>0</v>
      </c>
      <c r="V28" s="145">
        <f t="shared" si="17"/>
        <v>0</v>
      </c>
    </row>
    <row r="29" spans="1:22" s="27" customFormat="1">
      <c r="A29" s="40"/>
      <c r="B29" s="41" t="s">
        <v>2551</v>
      </c>
      <c r="C29" s="38">
        <f>SUM(C30:C71)</f>
        <v>0</v>
      </c>
      <c r="D29" s="174">
        <f t="shared" ref="D29:V29" si="18">SUM(D30:D71)</f>
        <v>0</v>
      </c>
      <c r="E29" s="38">
        <f t="shared" si="18"/>
        <v>0</v>
      </c>
      <c r="F29" s="38">
        <f t="shared" si="18"/>
        <v>0</v>
      </c>
      <c r="G29" s="145">
        <f t="shared" si="18"/>
        <v>0</v>
      </c>
      <c r="H29" s="39">
        <f t="shared" si="18"/>
        <v>0</v>
      </c>
      <c r="I29" s="145">
        <f t="shared" si="18"/>
        <v>0</v>
      </c>
      <c r="J29" s="39">
        <f t="shared" si="18"/>
        <v>0</v>
      </c>
      <c r="K29" s="39">
        <f t="shared" si="18"/>
        <v>0</v>
      </c>
      <c r="L29" s="39">
        <f t="shared" si="18"/>
        <v>0</v>
      </c>
      <c r="M29" s="145">
        <f t="shared" si="18"/>
        <v>0</v>
      </c>
      <c r="N29" s="145">
        <f t="shared" si="18"/>
        <v>0</v>
      </c>
      <c r="O29" s="145">
        <f t="shared" si="18"/>
        <v>0</v>
      </c>
      <c r="P29" s="145">
        <f t="shared" si="18"/>
        <v>0</v>
      </c>
      <c r="Q29" s="145">
        <f t="shared" si="18"/>
        <v>0</v>
      </c>
      <c r="R29" s="145">
        <f t="shared" si="18"/>
        <v>0</v>
      </c>
      <c r="S29" s="145">
        <f t="shared" si="18"/>
        <v>0</v>
      </c>
      <c r="T29" s="145">
        <f t="shared" si="18"/>
        <v>0</v>
      </c>
      <c r="U29" s="145">
        <f t="shared" si="18"/>
        <v>0</v>
      </c>
      <c r="V29" s="145">
        <f t="shared" si="18"/>
        <v>0</v>
      </c>
    </row>
    <row r="30" spans="1:22" s="27" customFormat="1">
      <c r="A30" s="42"/>
      <c r="B30" s="43" t="s">
        <v>2930</v>
      </c>
      <c r="C30" s="44"/>
      <c r="D30" s="175"/>
      <c r="E30" s="44"/>
      <c r="F30" s="44"/>
      <c r="G30" s="146">
        <f t="shared" ref="G30:G71" si="19">H30+I30+M30</f>
        <v>0</v>
      </c>
      <c r="H30" s="46"/>
      <c r="I30" s="146">
        <f t="shared" ref="I30:I71" si="20">SUM(J30:L30)</f>
        <v>0</v>
      </c>
      <c r="J30" s="46"/>
      <c r="K30" s="46"/>
      <c r="L30" s="46"/>
      <c r="M30" s="146">
        <f>(H30+I30)*1%</f>
        <v>0</v>
      </c>
      <c r="N30" s="153">
        <f t="shared" ref="N30:N71" si="21">O30+P30+T30</f>
        <v>0</v>
      </c>
      <c r="O30" s="153">
        <f>(H30/1.39)*1.49</f>
        <v>0</v>
      </c>
      <c r="P30" s="153">
        <f t="shared" ref="P30:P62" si="22">SUM(Q30:S30)</f>
        <v>0</v>
      </c>
      <c r="Q30" s="153">
        <f>(J30/1.39)*1.49</f>
        <v>0</v>
      </c>
      <c r="R30" s="153">
        <f t="shared" ref="R30:S30" si="23">(K30/1.39)*1.49</f>
        <v>0</v>
      </c>
      <c r="S30" s="153">
        <f t="shared" si="23"/>
        <v>0</v>
      </c>
      <c r="T30" s="153">
        <f>(O30+P30)*1%</f>
        <v>0</v>
      </c>
      <c r="U30" s="153">
        <f>T30-M30</f>
        <v>0</v>
      </c>
      <c r="V30" s="153">
        <f t="shared" ref="V30:V71" si="24">U30*6</f>
        <v>0</v>
      </c>
    </row>
    <row r="31" spans="1:22" s="27" customFormat="1">
      <c r="A31" s="42"/>
      <c r="B31" s="43" t="s">
        <v>2931</v>
      </c>
      <c r="C31" s="44"/>
      <c r="D31" s="175"/>
      <c r="E31" s="44"/>
      <c r="F31" s="44"/>
      <c r="G31" s="146">
        <f t="shared" si="19"/>
        <v>0</v>
      </c>
      <c r="H31" s="46"/>
      <c r="I31" s="146">
        <f t="shared" si="20"/>
        <v>0</v>
      </c>
      <c r="J31" s="46"/>
      <c r="K31" s="46"/>
      <c r="L31" s="46"/>
      <c r="M31" s="146">
        <f t="shared" ref="M31:M72" si="25">(H31+I31)*1%</f>
        <v>0</v>
      </c>
      <c r="N31" s="153">
        <f t="shared" si="21"/>
        <v>0</v>
      </c>
      <c r="O31" s="153">
        <f t="shared" ref="O31:O81" si="26">(H31/1.39)*1.49</f>
        <v>0</v>
      </c>
      <c r="P31" s="153">
        <f t="shared" si="22"/>
        <v>0</v>
      </c>
      <c r="Q31" s="153">
        <f t="shared" ref="Q31:Q72" si="27">(J31/1.39)*1.49</f>
        <v>0</v>
      </c>
      <c r="R31" s="153">
        <f t="shared" ref="R31:R72" si="28">(K31/1.39)*1.49</f>
        <v>0</v>
      </c>
      <c r="S31" s="153">
        <f t="shared" ref="S31:S72" si="29">(L31/1.39)*1.49</f>
        <v>0</v>
      </c>
      <c r="T31" s="153">
        <f t="shared" ref="T31:T72" si="30">(O31+P31)*1%</f>
        <v>0</v>
      </c>
      <c r="U31" s="153">
        <f t="shared" ref="U31:U62" si="31">T31-M31</f>
        <v>0</v>
      </c>
      <c r="V31" s="153">
        <f t="shared" si="24"/>
        <v>0</v>
      </c>
    </row>
    <row r="32" spans="1:22" s="29" customFormat="1">
      <c r="A32" s="42"/>
      <c r="B32" s="43" t="s">
        <v>2932</v>
      </c>
      <c r="C32" s="44"/>
      <c r="D32" s="175"/>
      <c r="E32" s="44"/>
      <c r="F32" s="44"/>
      <c r="G32" s="146">
        <f t="shared" si="19"/>
        <v>0</v>
      </c>
      <c r="H32" s="46"/>
      <c r="I32" s="146">
        <f t="shared" si="20"/>
        <v>0</v>
      </c>
      <c r="J32" s="46"/>
      <c r="K32" s="46"/>
      <c r="L32" s="46"/>
      <c r="M32" s="146">
        <f t="shared" si="25"/>
        <v>0</v>
      </c>
      <c r="N32" s="153">
        <f t="shared" si="21"/>
        <v>0</v>
      </c>
      <c r="O32" s="153">
        <f t="shared" si="26"/>
        <v>0</v>
      </c>
      <c r="P32" s="153">
        <f t="shared" si="22"/>
        <v>0</v>
      </c>
      <c r="Q32" s="153">
        <f t="shared" si="27"/>
        <v>0</v>
      </c>
      <c r="R32" s="153">
        <f t="shared" si="28"/>
        <v>0</v>
      </c>
      <c r="S32" s="153">
        <f t="shared" si="29"/>
        <v>0</v>
      </c>
      <c r="T32" s="153">
        <f t="shared" si="30"/>
        <v>0</v>
      </c>
      <c r="U32" s="153">
        <f t="shared" si="31"/>
        <v>0</v>
      </c>
      <c r="V32" s="153">
        <f t="shared" si="24"/>
        <v>0</v>
      </c>
    </row>
    <row r="33" spans="1:25" s="29" customFormat="1">
      <c r="A33" s="42"/>
      <c r="B33" s="43" t="s">
        <v>2933</v>
      </c>
      <c r="C33" s="44"/>
      <c r="D33" s="175"/>
      <c r="E33" s="44"/>
      <c r="F33" s="44"/>
      <c r="G33" s="146">
        <f t="shared" si="19"/>
        <v>0</v>
      </c>
      <c r="H33" s="46"/>
      <c r="I33" s="146">
        <f t="shared" si="20"/>
        <v>0</v>
      </c>
      <c r="J33" s="46"/>
      <c r="K33" s="46"/>
      <c r="L33" s="46"/>
      <c r="M33" s="146">
        <f t="shared" si="25"/>
        <v>0</v>
      </c>
      <c r="N33" s="153">
        <f t="shared" si="21"/>
        <v>0</v>
      </c>
      <c r="O33" s="153">
        <f t="shared" si="26"/>
        <v>0</v>
      </c>
      <c r="P33" s="153">
        <f t="shared" si="22"/>
        <v>0</v>
      </c>
      <c r="Q33" s="153">
        <f t="shared" si="27"/>
        <v>0</v>
      </c>
      <c r="R33" s="153">
        <f t="shared" si="28"/>
        <v>0</v>
      </c>
      <c r="S33" s="153">
        <f t="shared" si="29"/>
        <v>0</v>
      </c>
      <c r="T33" s="153">
        <f t="shared" si="30"/>
        <v>0</v>
      </c>
      <c r="U33" s="153">
        <f t="shared" si="31"/>
        <v>0</v>
      </c>
      <c r="V33" s="153">
        <f t="shared" si="24"/>
        <v>0</v>
      </c>
    </row>
    <row r="34" spans="1:25" s="50" customFormat="1">
      <c r="A34" s="42"/>
      <c r="B34" s="43" t="s">
        <v>2934</v>
      </c>
      <c r="C34" s="44"/>
      <c r="D34" s="175"/>
      <c r="E34" s="44"/>
      <c r="F34" s="44"/>
      <c r="G34" s="146">
        <f t="shared" si="19"/>
        <v>0</v>
      </c>
      <c r="H34" s="46"/>
      <c r="I34" s="146">
        <f t="shared" si="20"/>
        <v>0</v>
      </c>
      <c r="J34" s="46"/>
      <c r="K34" s="46"/>
      <c r="L34" s="46"/>
      <c r="M34" s="146">
        <f t="shared" si="25"/>
        <v>0</v>
      </c>
      <c r="N34" s="153">
        <f t="shared" si="21"/>
        <v>0</v>
      </c>
      <c r="O34" s="153">
        <f t="shared" si="26"/>
        <v>0</v>
      </c>
      <c r="P34" s="153">
        <f t="shared" si="22"/>
        <v>0</v>
      </c>
      <c r="Q34" s="153">
        <f t="shared" si="27"/>
        <v>0</v>
      </c>
      <c r="R34" s="153">
        <f t="shared" si="28"/>
        <v>0</v>
      </c>
      <c r="S34" s="153">
        <f t="shared" si="29"/>
        <v>0</v>
      </c>
      <c r="T34" s="153">
        <f t="shared" si="30"/>
        <v>0</v>
      </c>
      <c r="U34" s="153">
        <f t="shared" si="31"/>
        <v>0</v>
      </c>
      <c r="V34" s="153">
        <f t="shared" si="24"/>
        <v>0</v>
      </c>
      <c r="W34" s="48"/>
      <c r="X34" s="48"/>
      <c r="Y34" s="49"/>
    </row>
    <row r="35" spans="1:25" s="50" customFormat="1">
      <c r="A35" s="42"/>
      <c r="B35" s="43" t="s">
        <v>2935</v>
      </c>
      <c r="C35" s="44"/>
      <c r="D35" s="175"/>
      <c r="E35" s="44"/>
      <c r="F35" s="44"/>
      <c r="G35" s="146">
        <f t="shared" si="19"/>
        <v>0</v>
      </c>
      <c r="H35" s="46"/>
      <c r="I35" s="146">
        <f t="shared" si="20"/>
        <v>0</v>
      </c>
      <c r="J35" s="46"/>
      <c r="K35" s="46"/>
      <c r="L35" s="46"/>
      <c r="M35" s="146">
        <f t="shared" si="25"/>
        <v>0</v>
      </c>
      <c r="N35" s="153">
        <f t="shared" si="21"/>
        <v>0</v>
      </c>
      <c r="O35" s="153">
        <f t="shared" si="26"/>
        <v>0</v>
      </c>
      <c r="P35" s="153">
        <f t="shared" si="22"/>
        <v>0</v>
      </c>
      <c r="Q35" s="153">
        <f t="shared" si="27"/>
        <v>0</v>
      </c>
      <c r="R35" s="153">
        <f t="shared" si="28"/>
        <v>0</v>
      </c>
      <c r="S35" s="153">
        <f t="shared" si="29"/>
        <v>0</v>
      </c>
      <c r="T35" s="153">
        <f t="shared" si="30"/>
        <v>0</v>
      </c>
      <c r="U35" s="153">
        <f t="shared" si="31"/>
        <v>0</v>
      </c>
      <c r="V35" s="153">
        <f t="shared" si="24"/>
        <v>0</v>
      </c>
      <c r="W35" s="48"/>
      <c r="X35" s="48"/>
      <c r="Y35" s="49"/>
    </row>
    <row r="36" spans="1:25" s="50" customFormat="1">
      <c r="A36" s="42"/>
      <c r="B36" s="43" t="s">
        <v>2936</v>
      </c>
      <c r="C36" s="44"/>
      <c r="D36" s="175"/>
      <c r="E36" s="44"/>
      <c r="F36" s="44"/>
      <c r="G36" s="146">
        <f t="shared" si="19"/>
        <v>0</v>
      </c>
      <c r="H36" s="46"/>
      <c r="I36" s="146">
        <f t="shared" si="20"/>
        <v>0</v>
      </c>
      <c r="J36" s="46"/>
      <c r="K36" s="46"/>
      <c r="L36" s="46"/>
      <c r="M36" s="146">
        <f t="shared" si="25"/>
        <v>0</v>
      </c>
      <c r="N36" s="153">
        <f t="shared" si="21"/>
        <v>0</v>
      </c>
      <c r="O36" s="153">
        <f t="shared" si="26"/>
        <v>0</v>
      </c>
      <c r="P36" s="153">
        <f t="shared" si="22"/>
        <v>0</v>
      </c>
      <c r="Q36" s="153">
        <f t="shared" si="27"/>
        <v>0</v>
      </c>
      <c r="R36" s="153">
        <f t="shared" si="28"/>
        <v>0</v>
      </c>
      <c r="S36" s="153">
        <f t="shared" si="29"/>
        <v>0</v>
      </c>
      <c r="T36" s="153">
        <f t="shared" si="30"/>
        <v>0</v>
      </c>
      <c r="U36" s="153">
        <f t="shared" si="31"/>
        <v>0</v>
      </c>
      <c r="V36" s="153">
        <f t="shared" si="24"/>
        <v>0</v>
      </c>
      <c r="W36" s="48"/>
      <c r="X36" s="48"/>
      <c r="Y36" s="49"/>
    </row>
    <row r="37" spans="1:25" s="29" customFormat="1">
      <c r="A37" s="42"/>
      <c r="B37" s="43" t="s">
        <v>2937</v>
      </c>
      <c r="C37" s="44"/>
      <c r="D37" s="175"/>
      <c r="E37" s="44"/>
      <c r="F37" s="44"/>
      <c r="G37" s="146">
        <f t="shared" si="19"/>
        <v>0</v>
      </c>
      <c r="H37" s="46"/>
      <c r="I37" s="146">
        <f t="shared" si="20"/>
        <v>0</v>
      </c>
      <c r="J37" s="46"/>
      <c r="K37" s="46"/>
      <c r="L37" s="46"/>
      <c r="M37" s="146">
        <f t="shared" si="25"/>
        <v>0</v>
      </c>
      <c r="N37" s="153">
        <f t="shared" si="21"/>
        <v>0</v>
      </c>
      <c r="O37" s="153">
        <f t="shared" si="26"/>
        <v>0</v>
      </c>
      <c r="P37" s="153">
        <f t="shared" si="22"/>
        <v>0</v>
      </c>
      <c r="Q37" s="153">
        <f t="shared" si="27"/>
        <v>0</v>
      </c>
      <c r="R37" s="153">
        <f t="shared" si="28"/>
        <v>0</v>
      </c>
      <c r="S37" s="153">
        <f t="shared" si="29"/>
        <v>0</v>
      </c>
      <c r="T37" s="153">
        <f t="shared" si="30"/>
        <v>0</v>
      </c>
      <c r="U37" s="153">
        <f t="shared" si="31"/>
        <v>0</v>
      </c>
      <c r="V37" s="153">
        <f t="shared" si="24"/>
        <v>0</v>
      </c>
    </row>
    <row r="38" spans="1:25" s="29" customFormat="1">
      <c r="A38" s="42"/>
      <c r="B38" s="43" t="s">
        <v>2938</v>
      </c>
      <c r="C38" s="44"/>
      <c r="D38" s="175"/>
      <c r="E38" s="44"/>
      <c r="F38" s="44"/>
      <c r="G38" s="146">
        <f t="shared" si="19"/>
        <v>0</v>
      </c>
      <c r="H38" s="46"/>
      <c r="I38" s="146">
        <f t="shared" si="20"/>
        <v>0</v>
      </c>
      <c r="J38" s="46"/>
      <c r="K38" s="46"/>
      <c r="L38" s="46"/>
      <c r="M38" s="146">
        <f t="shared" si="25"/>
        <v>0</v>
      </c>
      <c r="N38" s="153">
        <f t="shared" si="21"/>
        <v>0</v>
      </c>
      <c r="O38" s="153">
        <f t="shared" si="26"/>
        <v>0</v>
      </c>
      <c r="P38" s="153">
        <f t="shared" si="22"/>
        <v>0</v>
      </c>
      <c r="Q38" s="153">
        <f t="shared" si="27"/>
        <v>0</v>
      </c>
      <c r="R38" s="153">
        <f t="shared" si="28"/>
        <v>0</v>
      </c>
      <c r="S38" s="153">
        <f t="shared" si="29"/>
        <v>0</v>
      </c>
      <c r="T38" s="153">
        <f t="shared" si="30"/>
        <v>0</v>
      </c>
      <c r="U38" s="153">
        <f t="shared" si="31"/>
        <v>0</v>
      </c>
      <c r="V38" s="153">
        <f t="shared" si="24"/>
        <v>0</v>
      </c>
    </row>
    <row r="39" spans="1:25" s="29" customFormat="1">
      <c r="A39" s="42"/>
      <c r="B39" s="43" t="s">
        <v>2939</v>
      </c>
      <c r="C39" s="44"/>
      <c r="D39" s="175"/>
      <c r="E39" s="44"/>
      <c r="F39" s="44"/>
      <c r="G39" s="146">
        <f t="shared" si="19"/>
        <v>0</v>
      </c>
      <c r="H39" s="46"/>
      <c r="I39" s="146">
        <f t="shared" si="20"/>
        <v>0</v>
      </c>
      <c r="J39" s="46"/>
      <c r="K39" s="46"/>
      <c r="L39" s="46"/>
      <c r="M39" s="146">
        <f t="shared" si="25"/>
        <v>0</v>
      </c>
      <c r="N39" s="153">
        <f t="shared" si="21"/>
        <v>0</v>
      </c>
      <c r="O39" s="153">
        <f t="shared" si="26"/>
        <v>0</v>
      </c>
      <c r="P39" s="153">
        <f t="shared" si="22"/>
        <v>0</v>
      </c>
      <c r="Q39" s="153">
        <f t="shared" si="27"/>
        <v>0</v>
      </c>
      <c r="R39" s="153">
        <f t="shared" si="28"/>
        <v>0</v>
      </c>
      <c r="S39" s="153">
        <f t="shared" si="29"/>
        <v>0</v>
      </c>
      <c r="T39" s="153">
        <f t="shared" si="30"/>
        <v>0</v>
      </c>
      <c r="U39" s="153">
        <f t="shared" si="31"/>
        <v>0</v>
      </c>
      <c r="V39" s="153">
        <f t="shared" si="24"/>
        <v>0</v>
      </c>
    </row>
    <row r="40" spans="1:25" s="29" customFormat="1">
      <c r="A40" s="42"/>
      <c r="B40" s="43" t="s">
        <v>2940</v>
      </c>
      <c r="C40" s="44"/>
      <c r="D40" s="175"/>
      <c r="E40" s="44"/>
      <c r="F40" s="44"/>
      <c r="G40" s="146">
        <f t="shared" si="19"/>
        <v>0</v>
      </c>
      <c r="H40" s="46"/>
      <c r="I40" s="146">
        <f t="shared" si="20"/>
        <v>0</v>
      </c>
      <c r="J40" s="46"/>
      <c r="K40" s="46"/>
      <c r="L40" s="46"/>
      <c r="M40" s="146">
        <f t="shared" si="25"/>
        <v>0</v>
      </c>
      <c r="N40" s="153">
        <f t="shared" si="21"/>
        <v>0</v>
      </c>
      <c r="O40" s="153">
        <f t="shared" si="26"/>
        <v>0</v>
      </c>
      <c r="P40" s="153">
        <f t="shared" si="22"/>
        <v>0</v>
      </c>
      <c r="Q40" s="153">
        <f t="shared" si="27"/>
        <v>0</v>
      </c>
      <c r="R40" s="153">
        <f t="shared" si="28"/>
        <v>0</v>
      </c>
      <c r="S40" s="153">
        <f t="shared" si="29"/>
        <v>0</v>
      </c>
      <c r="T40" s="153">
        <f t="shared" si="30"/>
        <v>0</v>
      </c>
      <c r="U40" s="153">
        <f t="shared" si="31"/>
        <v>0</v>
      </c>
      <c r="V40" s="153">
        <f t="shared" si="24"/>
        <v>0</v>
      </c>
    </row>
    <row r="41" spans="1:25" s="29" customFormat="1">
      <c r="A41" s="42"/>
      <c r="B41" s="43" t="s">
        <v>2941</v>
      </c>
      <c r="C41" s="44"/>
      <c r="D41" s="175"/>
      <c r="E41" s="44"/>
      <c r="F41" s="44"/>
      <c r="G41" s="146">
        <f t="shared" si="19"/>
        <v>0</v>
      </c>
      <c r="H41" s="46"/>
      <c r="I41" s="146">
        <f t="shared" si="20"/>
        <v>0</v>
      </c>
      <c r="J41" s="46"/>
      <c r="K41" s="46"/>
      <c r="L41" s="46"/>
      <c r="M41" s="146">
        <f t="shared" si="25"/>
        <v>0</v>
      </c>
      <c r="N41" s="153">
        <f t="shared" si="21"/>
        <v>0</v>
      </c>
      <c r="O41" s="153">
        <f t="shared" si="26"/>
        <v>0</v>
      </c>
      <c r="P41" s="153">
        <f t="shared" si="22"/>
        <v>0</v>
      </c>
      <c r="Q41" s="153">
        <f t="shared" si="27"/>
        <v>0</v>
      </c>
      <c r="R41" s="153">
        <f t="shared" si="28"/>
        <v>0</v>
      </c>
      <c r="S41" s="153">
        <f t="shared" si="29"/>
        <v>0</v>
      </c>
      <c r="T41" s="153">
        <f t="shared" si="30"/>
        <v>0</v>
      </c>
      <c r="U41" s="153">
        <f t="shared" si="31"/>
        <v>0</v>
      </c>
      <c r="V41" s="153">
        <f t="shared" si="24"/>
        <v>0</v>
      </c>
    </row>
    <row r="42" spans="1:25" s="29" customFormat="1">
      <c r="A42" s="42"/>
      <c r="B42" s="43" t="s">
        <v>2942</v>
      </c>
      <c r="C42" s="44"/>
      <c r="D42" s="175"/>
      <c r="E42" s="44"/>
      <c r="F42" s="44"/>
      <c r="G42" s="146">
        <f t="shared" si="19"/>
        <v>0</v>
      </c>
      <c r="H42" s="46"/>
      <c r="I42" s="146">
        <f t="shared" si="20"/>
        <v>0</v>
      </c>
      <c r="J42" s="46"/>
      <c r="K42" s="46"/>
      <c r="L42" s="46"/>
      <c r="M42" s="146">
        <f t="shared" si="25"/>
        <v>0</v>
      </c>
      <c r="N42" s="153">
        <f t="shared" si="21"/>
        <v>0</v>
      </c>
      <c r="O42" s="153">
        <f t="shared" si="26"/>
        <v>0</v>
      </c>
      <c r="P42" s="153">
        <f t="shared" si="22"/>
        <v>0</v>
      </c>
      <c r="Q42" s="153">
        <f t="shared" si="27"/>
        <v>0</v>
      </c>
      <c r="R42" s="153">
        <f t="shared" si="28"/>
        <v>0</v>
      </c>
      <c r="S42" s="153">
        <f t="shared" si="29"/>
        <v>0</v>
      </c>
      <c r="T42" s="153">
        <f t="shared" si="30"/>
        <v>0</v>
      </c>
      <c r="U42" s="153">
        <f t="shared" si="31"/>
        <v>0</v>
      </c>
      <c r="V42" s="153">
        <f t="shared" si="24"/>
        <v>0</v>
      </c>
    </row>
    <row r="43" spans="1:25" s="29" customFormat="1">
      <c r="A43" s="42"/>
      <c r="B43" s="43" t="s">
        <v>2943</v>
      </c>
      <c r="C43" s="44"/>
      <c r="D43" s="175"/>
      <c r="E43" s="44"/>
      <c r="F43" s="44"/>
      <c r="G43" s="146">
        <f t="shared" si="19"/>
        <v>0</v>
      </c>
      <c r="H43" s="46"/>
      <c r="I43" s="146">
        <f t="shared" si="20"/>
        <v>0</v>
      </c>
      <c r="J43" s="46"/>
      <c r="K43" s="46"/>
      <c r="L43" s="46"/>
      <c r="M43" s="146">
        <f t="shared" si="25"/>
        <v>0</v>
      </c>
      <c r="N43" s="153">
        <f t="shared" si="21"/>
        <v>0</v>
      </c>
      <c r="O43" s="153">
        <f t="shared" si="26"/>
        <v>0</v>
      </c>
      <c r="P43" s="153">
        <f t="shared" si="22"/>
        <v>0</v>
      </c>
      <c r="Q43" s="153">
        <f t="shared" si="27"/>
        <v>0</v>
      </c>
      <c r="R43" s="153">
        <f t="shared" si="28"/>
        <v>0</v>
      </c>
      <c r="S43" s="153">
        <f t="shared" si="29"/>
        <v>0</v>
      </c>
      <c r="T43" s="153">
        <f t="shared" si="30"/>
        <v>0</v>
      </c>
      <c r="U43" s="153">
        <f t="shared" si="31"/>
        <v>0</v>
      </c>
      <c r="V43" s="153">
        <f t="shared" si="24"/>
        <v>0</v>
      </c>
    </row>
    <row r="44" spans="1:25" s="29" customFormat="1">
      <c r="A44" s="42"/>
      <c r="B44" s="43" t="s">
        <v>2944</v>
      </c>
      <c r="C44" s="44"/>
      <c r="D44" s="175"/>
      <c r="E44" s="44"/>
      <c r="F44" s="44"/>
      <c r="G44" s="146">
        <f t="shared" si="19"/>
        <v>0</v>
      </c>
      <c r="H44" s="46"/>
      <c r="I44" s="146">
        <f t="shared" si="20"/>
        <v>0</v>
      </c>
      <c r="J44" s="46"/>
      <c r="K44" s="46"/>
      <c r="L44" s="46"/>
      <c r="M44" s="146">
        <f t="shared" si="25"/>
        <v>0</v>
      </c>
      <c r="N44" s="153">
        <f t="shared" si="21"/>
        <v>0</v>
      </c>
      <c r="O44" s="153">
        <f t="shared" si="26"/>
        <v>0</v>
      </c>
      <c r="P44" s="153">
        <f t="shared" si="22"/>
        <v>0</v>
      </c>
      <c r="Q44" s="153">
        <f t="shared" si="27"/>
        <v>0</v>
      </c>
      <c r="R44" s="153">
        <f t="shared" si="28"/>
        <v>0</v>
      </c>
      <c r="S44" s="153">
        <f t="shared" si="29"/>
        <v>0</v>
      </c>
      <c r="T44" s="153">
        <f t="shared" si="30"/>
        <v>0</v>
      </c>
      <c r="U44" s="153">
        <f t="shared" si="31"/>
        <v>0</v>
      </c>
      <c r="V44" s="153">
        <f t="shared" si="24"/>
        <v>0</v>
      </c>
    </row>
    <row r="45" spans="1:25" s="29" customFormat="1">
      <c r="A45" s="42"/>
      <c r="B45" s="43" t="s">
        <v>2945</v>
      </c>
      <c r="C45" s="44"/>
      <c r="D45" s="175"/>
      <c r="E45" s="44"/>
      <c r="F45" s="44"/>
      <c r="G45" s="146">
        <f t="shared" si="19"/>
        <v>0</v>
      </c>
      <c r="H45" s="46"/>
      <c r="I45" s="146">
        <f t="shared" si="20"/>
        <v>0</v>
      </c>
      <c r="J45" s="46"/>
      <c r="K45" s="46"/>
      <c r="L45" s="46"/>
      <c r="M45" s="146">
        <f t="shared" si="25"/>
        <v>0</v>
      </c>
      <c r="N45" s="153">
        <f t="shared" si="21"/>
        <v>0</v>
      </c>
      <c r="O45" s="153">
        <f t="shared" si="26"/>
        <v>0</v>
      </c>
      <c r="P45" s="153">
        <f t="shared" si="22"/>
        <v>0</v>
      </c>
      <c r="Q45" s="153">
        <f t="shared" si="27"/>
        <v>0</v>
      </c>
      <c r="R45" s="153">
        <f t="shared" si="28"/>
        <v>0</v>
      </c>
      <c r="S45" s="153">
        <f t="shared" si="29"/>
        <v>0</v>
      </c>
      <c r="T45" s="153">
        <f t="shared" si="30"/>
        <v>0</v>
      </c>
      <c r="U45" s="153">
        <f t="shared" si="31"/>
        <v>0</v>
      </c>
      <c r="V45" s="153">
        <f t="shared" si="24"/>
        <v>0</v>
      </c>
    </row>
    <row r="46" spans="1:25" s="51" customFormat="1">
      <c r="A46" s="42"/>
      <c r="B46" s="43" t="s">
        <v>2946</v>
      </c>
      <c r="C46" s="44"/>
      <c r="D46" s="175"/>
      <c r="E46" s="44"/>
      <c r="F46" s="44"/>
      <c r="G46" s="146">
        <f t="shared" si="19"/>
        <v>0</v>
      </c>
      <c r="H46" s="46"/>
      <c r="I46" s="146">
        <f t="shared" si="20"/>
        <v>0</v>
      </c>
      <c r="J46" s="46"/>
      <c r="K46" s="46"/>
      <c r="L46" s="46"/>
      <c r="M46" s="146">
        <f t="shared" si="25"/>
        <v>0</v>
      </c>
      <c r="N46" s="153">
        <f t="shared" si="21"/>
        <v>0</v>
      </c>
      <c r="O46" s="153">
        <f t="shared" si="26"/>
        <v>0</v>
      </c>
      <c r="P46" s="153">
        <f t="shared" si="22"/>
        <v>0</v>
      </c>
      <c r="Q46" s="153">
        <f t="shared" si="27"/>
        <v>0</v>
      </c>
      <c r="R46" s="153">
        <f t="shared" si="28"/>
        <v>0</v>
      </c>
      <c r="S46" s="153">
        <f t="shared" si="29"/>
        <v>0</v>
      </c>
      <c r="T46" s="153">
        <f t="shared" si="30"/>
        <v>0</v>
      </c>
      <c r="U46" s="153">
        <f t="shared" si="31"/>
        <v>0</v>
      </c>
      <c r="V46" s="153">
        <f t="shared" si="24"/>
        <v>0</v>
      </c>
    </row>
    <row r="47" spans="1:25" s="29" customFormat="1">
      <c r="A47" s="42"/>
      <c r="B47" s="43" t="s">
        <v>2947</v>
      </c>
      <c r="C47" s="44"/>
      <c r="D47" s="175"/>
      <c r="E47" s="44"/>
      <c r="F47" s="44"/>
      <c r="G47" s="146">
        <f t="shared" si="19"/>
        <v>0</v>
      </c>
      <c r="H47" s="46"/>
      <c r="I47" s="146">
        <f t="shared" si="20"/>
        <v>0</v>
      </c>
      <c r="J47" s="46"/>
      <c r="K47" s="46"/>
      <c r="L47" s="46"/>
      <c r="M47" s="146">
        <f t="shared" si="25"/>
        <v>0</v>
      </c>
      <c r="N47" s="153">
        <f t="shared" si="21"/>
        <v>0</v>
      </c>
      <c r="O47" s="153">
        <f t="shared" si="26"/>
        <v>0</v>
      </c>
      <c r="P47" s="153">
        <f t="shared" si="22"/>
        <v>0</v>
      </c>
      <c r="Q47" s="153">
        <f t="shared" si="27"/>
        <v>0</v>
      </c>
      <c r="R47" s="153">
        <f t="shared" si="28"/>
        <v>0</v>
      </c>
      <c r="S47" s="153">
        <f t="shared" si="29"/>
        <v>0</v>
      </c>
      <c r="T47" s="153">
        <f t="shared" si="30"/>
        <v>0</v>
      </c>
      <c r="U47" s="153">
        <f t="shared" si="31"/>
        <v>0</v>
      </c>
      <c r="V47" s="153">
        <f t="shared" si="24"/>
        <v>0</v>
      </c>
    </row>
    <row r="48" spans="1:25" s="29" customFormat="1">
      <c r="A48" s="42"/>
      <c r="B48" s="43" t="s">
        <v>2948</v>
      </c>
      <c r="C48" s="44"/>
      <c r="D48" s="175"/>
      <c r="E48" s="44"/>
      <c r="F48" s="44"/>
      <c r="G48" s="146">
        <f t="shared" si="19"/>
        <v>0</v>
      </c>
      <c r="H48" s="46"/>
      <c r="I48" s="146">
        <f t="shared" si="20"/>
        <v>0</v>
      </c>
      <c r="J48" s="46"/>
      <c r="K48" s="46"/>
      <c r="L48" s="46"/>
      <c r="M48" s="146">
        <f t="shared" si="25"/>
        <v>0</v>
      </c>
      <c r="N48" s="153">
        <f t="shared" si="21"/>
        <v>0</v>
      </c>
      <c r="O48" s="153">
        <f t="shared" si="26"/>
        <v>0</v>
      </c>
      <c r="P48" s="153">
        <f t="shared" si="22"/>
        <v>0</v>
      </c>
      <c r="Q48" s="153">
        <f t="shared" si="27"/>
        <v>0</v>
      </c>
      <c r="R48" s="153">
        <f t="shared" si="28"/>
        <v>0</v>
      </c>
      <c r="S48" s="153">
        <f t="shared" si="29"/>
        <v>0</v>
      </c>
      <c r="T48" s="153">
        <f t="shared" si="30"/>
        <v>0</v>
      </c>
      <c r="U48" s="153">
        <f t="shared" si="31"/>
        <v>0</v>
      </c>
      <c r="V48" s="153">
        <f t="shared" si="24"/>
        <v>0</v>
      </c>
    </row>
    <row r="49" spans="1:22" s="29" customFormat="1">
      <c r="A49" s="42"/>
      <c r="B49" s="43" t="s">
        <v>2949</v>
      </c>
      <c r="C49" s="44"/>
      <c r="D49" s="175"/>
      <c r="E49" s="44"/>
      <c r="F49" s="44"/>
      <c r="G49" s="146">
        <f t="shared" si="19"/>
        <v>0</v>
      </c>
      <c r="H49" s="46"/>
      <c r="I49" s="146">
        <f t="shared" si="20"/>
        <v>0</v>
      </c>
      <c r="J49" s="46"/>
      <c r="K49" s="46"/>
      <c r="L49" s="46"/>
      <c r="M49" s="146">
        <f t="shared" si="25"/>
        <v>0</v>
      </c>
      <c r="N49" s="153">
        <f t="shared" si="21"/>
        <v>0</v>
      </c>
      <c r="O49" s="153">
        <f t="shared" si="26"/>
        <v>0</v>
      </c>
      <c r="P49" s="153">
        <f t="shared" si="22"/>
        <v>0</v>
      </c>
      <c r="Q49" s="153">
        <f t="shared" si="27"/>
        <v>0</v>
      </c>
      <c r="R49" s="153">
        <f t="shared" si="28"/>
        <v>0</v>
      </c>
      <c r="S49" s="153">
        <f t="shared" si="29"/>
        <v>0</v>
      </c>
      <c r="T49" s="153">
        <f t="shared" si="30"/>
        <v>0</v>
      </c>
      <c r="U49" s="153">
        <f t="shared" si="31"/>
        <v>0</v>
      </c>
      <c r="V49" s="153">
        <f t="shared" si="24"/>
        <v>0</v>
      </c>
    </row>
    <row r="50" spans="1:22" s="29" customFormat="1">
      <c r="A50" s="42"/>
      <c r="B50" s="43" t="s">
        <v>2950</v>
      </c>
      <c r="C50" s="44"/>
      <c r="D50" s="175"/>
      <c r="E50" s="44"/>
      <c r="F50" s="44"/>
      <c r="G50" s="146">
        <f t="shared" si="19"/>
        <v>0</v>
      </c>
      <c r="H50" s="46"/>
      <c r="I50" s="146">
        <f t="shared" si="20"/>
        <v>0</v>
      </c>
      <c r="J50" s="46"/>
      <c r="K50" s="46"/>
      <c r="L50" s="46"/>
      <c r="M50" s="146">
        <f t="shared" si="25"/>
        <v>0</v>
      </c>
      <c r="N50" s="153">
        <f t="shared" si="21"/>
        <v>0</v>
      </c>
      <c r="O50" s="153">
        <f t="shared" si="26"/>
        <v>0</v>
      </c>
      <c r="P50" s="153">
        <f t="shared" si="22"/>
        <v>0</v>
      </c>
      <c r="Q50" s="153">
        <f t="shared" si="27"/>
        <v>0</v>
      </c>
      <c r="R50" s="153">
        <f t="shared" si="28"/>
        <v>0</v>
      </c>
      <c r="S50" s="153">
        <f t="shared" si="29"/>
        <v>0</v>
      </c>
      <c r="T50" s="153">
        <f t="shared" si="30"/>
        <v>0</v>
      </c>
      <c r="U50" s="153">
        <f t="shared" si="31"/>
        <v>0</v>
      </c>
      <c r="V50" s="153">
        <f t="shared" si="24"/>
        <v>0</v>
      </c>
    </row>
    <row r="51" spans="1:22" s="29" customFormat="1">
      <c r="A51" s="42"/>
      <c r="B51" s="43" t="s">
        <v>2951</v>
      </c>
      <c r="C51" s="44"/>
      <c r="D51" s="175"/>
      <c r="E51" s="44"/>
      <c r="F51" s="44"/>
      <c r="G51" s="146">
        <f t="shared" si="19"/>
        <v>0</v>
      </c>
      <c r="H51" s="46"/>
      <c r="I51" s="146">
        <f t="shared" si="20"/>
        <v>0</v>
      </c>
      <c r="J51" s="46"/>
      <c r="K51" s="46"/>
      <c r="L51" s="46"/>
      <c r="M51" s="146">
        <f t="shared" si="25"/>
        <v>0</v>
      </c>
      <c r="N51" s="153">
        <f t="shared" si="21"/>
        <v>0</v>
      </c>
      <c r="O51" s="153">
        <f t="shared" si="26"/>
        <v>0</v>
      </c>
      <c r="P51" s="153">
        <f t="shared" si="22"/>
        <v>0</v>
      </c>
      <c r="Q51" s="153">
        <f t="shared" si="27"/>
        <v>0</v>
      </c>
      <c r="R51" s="153">
        <f t="shared" si="28"/>
        <v>0</v>
      </c>
      <c r="S51" s="153">
        <f t="shared" si="29"/>
        <v>0</v>
      </c>
      <c r="T51" s="153">
        <f t="shared" si="30"/>
        <v>0</v>
      </c>
      <c r="U51" s="153">
        <f t="shared" si="31"/>
        <v>0</v>
      </c>
      <c r="V51" s="153">
        <f t="shared" si="24"/>
        <v>0</v>
      </c>
    </row>
    <row r="52" spans="1:22" s="29" customFormat="1">
      <c r="A52" s="42"/>
      <c r="B52" s="43" t="s">
        <v>2952</v>
      </c>
      <c r="C52" s="44"/>
      <c r="D52" s="175"/>
      <c r="E52" s="44"/>
      <c r="F52" s="44"/>
      <c r="G52" s="146">
        <f t="shared" si="19"/>
        <v>0</v>
      </c>
      <c r="H52" s="46"/>
      <c r="I52" s="146">
        <f t="shared" si="20"/>
        <v>0</v>
      </c>
      <c r="J52" s="46"/>
      <c r="K52" s="46"/>
      <c r="L52" s="46"/>
      <c r="M52" s="146">
        <f t="shared" si="25"/>
        <v>0</v>
      </c>
      <c r="N52" s="153">
        <f t="shared" si="21"/>
        <v>0</v>
      </c>
      <c r="O52" s="153">
        <f t="shared" si="26"/>
        <v>0</v>
      </c>
      <c r="P52" s="153">
        <f t="shared" si="22"/>
        <v>0</v>
      </c>
      <c r="Q52" s="153">
        <f t="shared" si="27"/>
        <v>0</v>
      </c>
      <c r="R52" s="153">
        <f t="shared" si="28"/>
        <v>0</v>
      </c>
      <c r="S52" s="153">
        <f t="shared" si="29"/>
        <v>0</v>
      </c>
      <c r="T52" s="153">
        <f t="shared" si="30"/>
        <v>0</v>
      </c>
      <c r="U52" s="153">
        <f t="shared" si="31"/>
        <v>0</v>
      </c>
      <c r="V52" s="153">
        <f t="shared" si="24"/>
        <v>0</v>
      </c>
    </row>
    <row r="53" spans="1:22" s="29" customFormat="1">
      <c r="A53" s="42"/>
      <c r="B53" s="43" t="s">
        <v>2953</v>
      </c>
      <c r="C53" s="44"/>
      <c r="D53" s="175"/>
      <c r="E53" s="44"/>
      <c r="F53" s="44"/>
      <c r="G53" s="146">
        <f t="shared" si="19"/>
        <v>0</v>
      </c>
      <c r="H53" s="46"/>
      <c r="I53" s="146">
        <f t="shared" si="20"/>
        <v>0</v>
      </c>
      <c r="J53" s="46"/>
      <c r="K53" s="46"/>
      <c r="L53" s="46"/>
      <c r="M53" s="146">
        <f t="shared" si="25"/>
        <v>0</v>
      </c>
      <c r="N53" s="153">
        <f t="shared" si="21"/>
        <v>0</v>
      </c>
      <c r="O53" s="153">
        <f t="shared" si="26"/>
        <v>0</v>
      </c>
      <c r="P53" s="153">
        <f t="shared" si="22"/>
        <v>0</v>
      </c>
      <c r="Q53" s="153">
        <f t="shared" si="27"/>
        <v>0</v>
      </c>
      <c r="R53" s="153">
        <f t="shared" si="28"/>
        <v>0</v>
      </c>
      <c r="S53" s="153">
        <f t="shared" si="29"/>
        <v>0</v>
      </c>
      <c r="T53" s="153">
        <f t="shared" si="30"/>
        <v>0</v>
      </c>
      <c r="U53" s="153">
        <f t="shared" si="31"/>
        <v>0</v>
      </c>
      <c r="V53" s="153">
        <f t="shared" si="24"/>
        <v>0</v>
      </c>
    </row>
    <row r="54" spans="1:22" s="29" customFormat="1">
      <c r="A54" s="42"/>
      <c r="B54" s="43" t="s">
        <v>2954</v>
      </c>
      <c r="C54" s="44"/>
      <c r="D54" s="175"/>
      <c r="E54" s="44"/>
      <c r="F54" s="44"/>
      <c r="G54" s="146">
        <f t="shared" si="19"/>
        <v>0</v>
      </c>
      <c r="H54" s="46"/>
      <c r="I54" s="146">
        <f t="shared" si="20"/>
        <v>0</v>
      </c>
      <c r="J54" s="46"/>
      <c r="K54" s="46"/>
      <c r="L54" s="46"/>
      <c r="M54" s="146">
        <f t="shared" si="25"/>
        <v>0</v>
      </c>
      <c r="N54" s="153">
        <f t="shared" si="21"/>
        <v>0</v>
      </c>
      <c r="O54" s="153">
        <f t="shared" si="26"/>
        <v>0</v>
      </c>
      <c r="P54" s="153">
        <f t="shared" si="22"/>
        <v>0</v>
      </c>
      <c r="Q54" s="153">
        <f t="shared" si="27"/>
        <v>0</v>
      </c>
      <c r="R54" s="153">
        <f t="shared" si="28"/>
        <v>0</v>
      </c>
      <c r="S54" s="153">
        <f t="shared" si="29"/>
        <v>0</v>
      </c>
      <c r="T54" s="153">
        <f t="shared" si="30"/>
        <v>0</v>
      </c>
      <c r="U54" s="153">
        <f t="shared" si="31"/>
        <v>0</v>
      </c>
      <c r="V54" s="153">
        <f t="shared" si="24"/>
        <v>0</v>
      </c>
    </row>
    <row r="55" spans="1:22" s="29" customFormat="1">
      <c r="A55" s="42"/>
      <c r="B55" s="43" t="s">
        <v>2955</v>
      </c>
      <c r="C55" s="44"/>
      <c r="D55" s="175"/>
      <c r="E55" s="44"/>
      <c r="F55" s="44"/>
      <c r="G55" s="146">
        <f t="shared" si="19"/>
        <v>0</v>
      </c>
      <c r="H55" s="46"/>
      <c r="I55" s="146">
        <f t="shared" si="20"/>
        <v>0</v>
      </c>
      <c r="J55" s="46"/>
      <c r="K55" s="46"/>
      <c r="L55" s="46"/>
      <c r="M55" s="146">
        <f t="shared" si="25"/>
        <v>0</v>
      </c>
      <c r="N55" s="153">
        <f t="shared" si="21"/>
        <v>0</v>
      </c>
      <c r="O55" s="153">
        <f t="shared" si="26"/>
        <v>0</v>
      </c>
      <c r="P55" s="153">
        <f t="shared" si="22"/>
        <v>0</v>
      </c>
      <c r="Q55" s="153">
        <f t="shared" si="27"/>
        <v>0</v>
      </c>
      <c r="R55" s="153">
        <f t="shared" si="28"/>
        <v>0</v>
      </c>
      <c r="S55" s="153">
        <f t="shared" si="29"/>
        <v>0</v>
      </c>
      <c r="T55" s="153">
        <f t="shared" si="30"/>
        <v>0</v>
      </c>
      <c r="U55" s="153">
        <f t="shared" si="31"/>
        <v>0</v>
      </c>
      <c r="V55" s="153">
        <f t="shared" si="24"/>
        <v>0</v>
      </c>
    </row>
    <row r="56" spans="1:22" s="29" customFormat="1">
      <c r="A56" s="42"/>
      <c r="B56" s="43" t="s">
        <v>2956</v>
      </c>
      <c r="C56" s="44"/>
      <c r="D56" s="175"/>
      <c r="E56" s="44"/>
      <c r="F56" s="44"/>
      <c r="G56" s="146">
        <f t="shared" si="19"/>
        <v>0</v>
      </c>
      <c r="H56" s="46"/>
      <c r="I56" s="146">
        <f t="shared" si="20"/>
        <v>0</v>
      </c>
      <c r="J56" s="46"/>
      <c r="K56" s="46"/>
      <c r="L56" s="46"/>
      <c r="M56" s="146">
        <f t="shared" si="25"/>
        <v>0</v>
      </c>
      <c r="N56" s="153">
        <f t="shared" si="21"/>
        <v>0</v>
      </c>
      <c r="O56" s="153">
        <f t="shared" si="26"/>
        <v>0</v>
      </c>
      <c r="P56" s="153">
        <f t="shared" si="22"/>
        <v>0</v>
      </c>
      <c r="Q56" s="153">
        <f t="shared" si="27"/>
        <v>0</v>
      </c>
      <c r="R56" s="153">
        <f t="shared" si="28"/>
        <v>0</v>
      </c>
      <c r="S56" s="153">
        <f t="shared" si="29"/>
        <v>0</v>
      </c>
      <c r="T56" s="153">
        <f t="shared" si="30"/>
        <v>0</v>
      </c>
      <c r="U56" s="153">
        <f t="shared" si="31"/>
        <v>0</v>
      </c>
      <c r="V56" s="153">
        <f t="shared" si="24"/>
        <v>0</v>
      </c>
    </row>
    <row r="57" spans="1:22" s="29" customFormat="1">
      <c r="A57" s="42"/>
      <c r="B57" s="43" t="s">
        <v>2957</v>
      </c>
      <c r="C57" s="44"/>
      <c r="D57" s="175"/>
      <c r="E57" s="44"/>
      <c r="F57" s="44"/>
      <c r="G57" s="146">
        <f t="shared" si="19"/>
        <v>0</v>
      </c>
      <c r="H57" s="46"/>
      <c r="I57" s="146">
        <f t="shared" si="20"/>
        <v>0</v>
      </c>
      <c r="J57" s="46"/>
      <c r="K57" s="46"/>
      <c r="L57" s="46"/>
      <c r="M57" s="146">
        <f t="shared" si="25"/>
        <v>0</v>
      </c>
      <c r="N57" s="153">
        <f t="shared" si="21"/>
        <v>0</v>
      </c>
      <c r="O57" s="153">
        <f t="shared" si="26"/>
        <v>0</v>
      </c>
      <c r="P57" s="153">
        <f t="shared" si="22"/>
        <v>0</v>
      </c>
      <c r="Q57" s="153">
        <f t="shared" si="27"/>
        <v>0</v>
      </c>
      <c r="R57" s="153">
        <f t="shared" si="28"/>
        <v>0</v>
      </c>
      <c r="S57" s="153">
        <f t="shared" si="29"/>
        <v>0</v>
      </c>
      <c r="T57" s="153">
        <f t="shared" si="30"/>
        <v>0</v>
      </c>
      <c r="U57" s="153">
        <f t="shared" si="31"/>
        <v>0</v>
      </c>
      <c r="V57" s="153">
        <f t="shared" si="24"/>
        <v>0</v>
      </c>
    </row>
    <row r="58" spans="1:22" s="29" customFormat="1">
      <c r="A58" s="42"/>
      <c r="B58" s="43" t="s">
        <v>2958</v>
      </c>
      <c r="C58" s="44"/>
      <c r="D58" s="175"/>
      <c r="E58" s="44"/>
      <c r="F58" s="44"/>
      <c r="G58" s="146">
        <f t="shared" si="19"/>
        <v>0</v>
      </c>
      <c r="H58" s="46"/>
      <c r="I58" s="146">
        <f t="shared" si="20"/>
        <v>0</v>
      </c>
      <c r="J58" s="46"/>
      <c r="K58" s="46"/>
      <c r="L58" s="46"/>
      <c r="M58" s="146">
        <f t="shared" si="25"/>
        <v>0</v>
      </c>
      <c r="N58" s="153">
        <f t="shared" si="21"/>
        <v>0</v>
      </c>
      <c r="O58" s="153">
        <f t="shared" si="26"/>
        <v>0</v>
      </c>
      <c r="P58" s="153">
        <f t="shared" si="22"/>
        <v>0</v>
      </c>
      <c r="Q58" s="153">
        <f t="shared" si="27"/>
        <v>0</v>
      </c>
      <c r="R58" s="153">
        <f t="shared" si="28"/>
        <v>0</v>
      </c>
      <c r="S58" s="153">
        <f t="shared" si="29"/>
        <v>0</v>
      </c>
      <c r="T58" s="153">
        <f t="shared" si="30"/>
        <v>0</v>
      </c>
      <c r="U58" s="153">
        <f t="shared" si="31"/>
        <v>0</v>
      </c>
      <c r="V58" s="153">
        <f t="shared" si="24"/>
        <v>0</v>
      </c>
    </row>
    <row r="59" spans="1:22" s="29" customFormat="1">
      <c r="A59" s="42"/>
      <c r="B59" s="43" t="s">
        <v>2959</v>
      </c>
      <c r="C59" s="44"/>
      <c r="D59" s="175"/>
      <c r="E59" s="44"/>
      <c r="F59" s="44"/>
      <c r="G59" s="146">
        <f t="shared" si="19"/>
        <v>0</v>
      </c>
      <c r="H59" s="46"/>
      <c r="I59" s="146">
        <f t="shared" si="20"/>
        <v>0</v>
      </c>
      <c r="J59" s="46"/>
      <c r="K59" s="46"/>
      <c r="L59" s="46"/>
      <c r="M59" s="146">
        <f t="shared" si="25"/>
        <v>0</v>
      </c>
      <c r="N59" s="153">
        <f t="shared" si="21"/>
        <v>0</v>
      </c>
      <c r="O59" s="153">
        <f t="shared" si="26"/>
        <v>0</v>
      </c>
      <c r="P59" s="153">
        <f t="shared" si="22"/>
        <v>0</v>
      </c>
      <c r="Q59" s="153">
        <f t="shared" si="27"/>
        <v>0</v>
      </c>
      <c r="R59" s="153">
        <f t="shared" si="28"/>
        <v>0</v>
      </c>
      <c r="S59" s="153">
        <f t="shared" si="29"/>
        <v>0</v>
      </c>
      <c r="T59" s="153">
        <f t="shared" si="30"/>
        <v>0</v>
      </c>
      <c r="U59" s="153">
        <f t="shared" si="31"/>
        <v>0</v>
      </c>
      <c r="V59" s="153">
        <f t="shared" si="24"/>
        <v>0</v>
      </c>
    </row>
    <row r="60" spans="1:22" s="29" customFormat="1">
      <c r="A60" s="42"/>
      <c r="B60" s="43" t="s">
        <v>2960</v>
      </c>
      <c r="C60" s="44"/>
      <c r="D60" s="175"/>
      <c r="E60" s="44"/>
      <c r="F60" s="44"/>
      <c r="G60" s="146">
        <f t="shared" si="19"/>
        <v>0</v>
      </c>
      <c r="H60" s="46"/>
      <c r="I60" s="146">
        <f t="shared" si="20"/>
        <v>0</v>
      </c>
      <c r="J60" s="46"/>
      <c r="K60" s="46"/>
      <c r="L60" s="46"/>
      <c r="M60" s="146">
        <f t="shared" si="25"/>
        <v>0</v>
      </c>
      <c r="N60" s="153">
        <f t="shared" si="21"/>
        <v>0</v>
      </c>
      <c r="O60" s="153">
        <f t="shared" si="26"/>
        <v>0</v>
      </c>
      <c r="P60" s="153">
        <f t="shared" si="22"/>
        <v>0</v>
      </c>
      <c r="Q60" s="153">
        <f t="shared" si="27"/>
        <v>0</v>
      </c>
      <c r="R60" s="153">
        <f t="shared" si="28"/>
        <v>0</v>
      </c>
      <c r="S60" s="153">
        <f t="shared" si="29"/>
        <v>0</v>
      </c>
      <c r="T60" s="153">
        <f t="shared" si="30"/>
        <v>0</v>
      </c>
      <c r="U60" s="153">
        <f t="shared" si="31"/>
        <v>0</v>
      </c>
      <c r="V60" s="153">
        <f t="shared" si="24"/>
        <v>0</v>
      </c>
    </row>
    <row r="61" spans="1:22" s="29" customFormat="1">
      <c r="A61" s="42"/>
      <c r="B61" s="43" t="s">
        <v>2961</v>
      </c>
      <c r="C61" s="44"/>
      <c r="D61" s="175"/>
      <c r="E61" s="44"/>
      <c r="F61" s="44"/>
      <c r="G61" s="146">
        <f t="shared" si="19"/>
        <v>0</v>
      </c>
      <c r="H61" s="46"/>
      <c r="I61" s="146">
        <f t="shared" si="20"/>
        <v>0</v>
      </c>
      <c r="J61" s="46"/>
      <c r="K61" s="46"/>
      <c r="L61" s="46"/>
      <c r="M61" s="146">
        <f t="shared" si="25"/>
        <v>0</v>
      </c>
      <c r="N61" s="153">
        <f t="shared" si="21"/>
        <v>0</v>
      </c>
      <c r="O61" s="153">
        <f t="shared" si="26"/>
        <v>0</v>
      </c>
      <c r="P61" s="153">
        <f t="shared" si="22"/>
        <v>0</v>
      </c>
      <c r="Q61" s="153">
        <f t="shared" si="27"/>
        <v>0</v>
      </c>
      <c r="R61" s="153">
        <f t="shared" si="28"/>
        <v>0</v>
      </c>
      <c r="S61" s="153">
        <f t="shared" si="29"/>
        <v>0</v>
      </c>
      <c r="T61" s="153">
        <f t="shared" si="30"/>
        <v>0</v>
      </c>
      <c r="U61" s="153">
        <f t="shared" si="31"/>
        <v>0</v>
      </c>
      <c r="V61" s="153">
        <f t="shared" si="24"/>
        <v>0</v>
      </c>
    </row>
    <row r="62" spans="1:22" s="29" customFormat="1">
      <c r="A62" s="42"/>
      <c r="B62" s="43" t="s">
        <v>2962</v>
      </c>
      <c r="C62" s="44"/>
      <c r="D62" s="175"/>
      <c r="E62" s="44"/>
      <c r="F62" s="44"/>
      <c r="G62" s="146">
        <f t="shared" si="19"/>
        <v>0</v>
      </c>
      <c r="H62" s="46"/>
      <c r="I62" s="146">
        <f t="shared" si="20"/>
        <v>0</v>
      </c>
      <c r="J62" s="46"/>
      <c r="K62" s="46"/>
      <c r="L62" s="46"/>
      <c r="M62" s="146">
        <f t="shared" si="25"/>
        <v>0</v>
      </c>
      <c r="N62" s="153">
        <f t="shared" si="21"/>
        <v>0</v>
      </c>
      <c r="O62" s="153">
        <f t="shared" si="26"/>
        <v>0</v>
      </c>
      <c r="P62" s="153">
        <f t="shared" si="22"/>
        <v>0</v>
      </c>
      <c r="Q62" s="153">
        <f t="shared" si="27"/>
        <v>0</v>
      </c>
      <c r="R62" s="153">
        <f t="shared" si="28"/>
        <v>0</v>
      </c>
      <c r="S62" s="153">
        <f t="shared" si="29"/>
        <v>0</v>
      </c>
      <c r="T62" s="153">
        <f t="shared" si="30"/>
        <v>0</v>
      </c>
      <c r="U62" s="153">
        <f t="shared" si="31"/>
        <v>0</v>
      </c>
      <c r="V62" s="153">
        <f t="shared" si="24"/>
        <v>0</v>
      </c>
    </row>
    <row r="63" spans="1:22" s="29" customFormat="1">
      <c r="A63" s="42"/>
      <c r="B63" s="43" t="s">
        <v>2963</v>
      </c>
      <c r="C63" s="44"/>
      <c r="D63" s="175"/>
      <c r="E63" s="44"/>
      <c r="F63" s="44"/>
      <c r="G63" s="147">
        <f t="shared" si="19"/>
        <v>0</v>
      </c>
      <c r="H63" s="53"/>
      <c r="I63" s="147">
        <f t="shared" si="20"/>
        <v>0</v>
      </c>
      <c r="J63" s="53"/>
      <c r="K63" s="53"/>
      <c r="L63" s="53"/>
      <c r="M63" s="146">
        <f t="shared" si="25"/>
        <v>0</v>
      </c>
      <c r="N63" s="154">
        <f t="shared" si="21"/>
        <v>0</v>
      </c>
      <c r="O63" s="153">
        <f t="shared" si="26"/>
        <v>0</v>
      </c>
      <c r="P63" s="154">
        <f t="shared" ref="P63:P67" si="32">SUM(Q63:S63)</f>
        <v>0</v>
      </c>
      <c r="Q63" s="153">
        <f t="shared" si="27"/>
        <v>0</v>
      </c>
      <c r="R63" s="153">
        <f t="shared" si="28"/>
        <v>0</v>
      </c>
      <c r="S63" s="153">
        <f t="shared" si="29"/>
        <v>0</v>
      </c>
      <c r="T63" s="153">
        <f t="shared" si="30"/>
        <v>0</v>
      </c>
      <c r="U63" s="154">
        <f t="shared" ref="U63:U67" si="33">N63-G63</f>
        <v>0</v>
      </c>
      <c r="V63" s="154">
        <f t="shared" si="24"/>
        <v>0</v>
      </c>
    </row>
    <row r="64" spans="1:22" s="29" customFormat="1">
      <c r="A64" s="42"/>
      <c r="B64" s="43" t="s">
        <v>2964</v>
      </c>
      <c r="C64" s="44"/>
      <c r="D64" s="175"/>
      <c r="E64" s="44"/>
      <c r="F64" s="44"/>
      <c r="G64" s="146">
        <f t="shared" si="19"/>
        <v>0</v>
      </c>
      <c r="H64" s="46"/>
      <c r="I64" s="146">
        <f t="shared" si="20"/>
        <v>0</v>
      </c>
      <c r="J64" s="46"/>
      <c r="K64" s="46"/>
      <c r="L64" s="46"/>
      <c r="M64" s="146">
        <f t="shared" si="25"/>
        <v>0</v>
      </c>
      <c r="N64" s="153">
        <f t="shared" si="21"/>
        <v>0</v>
      </c>
      <c r="O64" s="153">
        <f t="shared" si="26"/>
        <v>0</v>
      </c>
      <c r="P64" s="153">
        <f t="shared" ref="P64" si="34">SUM(Q64:S64)</f>
        <v>0</v>
      </c>
      <c r="Q64" s="153">
        <f t="shared" si="27"/>
        <v>0</v>
      </c>
      <c r="R64" s="153">
        <f t="shared" si="28"/>
        <v>0</v>
      </c>
      <c r="S64" s="153">
        <f t="shared" si="29"/>
        <v>0</v>
      </c>
      <c r="T64" s="153">
        <f t="shared" si="30"/>
        <v>0</v>
      </c>
      <c r="U64" s="153">
        <f t="shared" ref="U64" si="35">T64-M64</f>
        <v>0</v>
      </c>
      <c r="V64" s="153">
        <f t="shared" si="24"/>
        <v>0</v>
      </c>
    </row>
    <row r="65" spans="1:22" s="29" customFormat="1">
      <c r="A65" s="42"/>
      <c r="B65" s="43" t="s">
        <v>2965</v>
      </c>
      <c r="C65" s="44"/>
      <c r="D65" s="175"/>
      <c r="E65" s="44"/>
      <c r="F65" s="44"/>
      <c r="G65" s="147">
        <f t="shared" si="19"/>
        <v>0</v>
      </c>
      <c r="H65" s="53"/>
      <c r="I65" s="147">
        <f t="shared" si="20"/>
        <v>0</v>
      </c>
      <c r="J65" s="53"/>
      <c r="K65" s="53"/>
      <c r="L65" s="53"/>
      <c r="M65" s="146">
        <f t="shared" si="25"/>
        <v>0</v>
      </c>
      <c r="N65" s="154">
        <f t="shared" si="21"/>
        <v>0</v>
      </c>
      <c r="O65" s="153">
        <f t="shared" si="26"/>
        <v>0</v>
      </c>
      <c r="P65" s="154">
        <f t="shared" si="32"/>
        <v>0</v>
      </c>
      <c r="Q65" s="153">
        <f t="shared" si="27"/>
        <v>0</v>
      </c>
      <c r="R65" s="153">
        <f t="shared" si="28"/>
        <v>0</v>
      </c>
      <c r="S65" s="153">
        <f t="shared" si="29"/>
        <v>0</v>
      </c>
      <c r="T65" s="153">
        <f t="shared" si="30"/>
        <v>0</v>
      </c>
      <c r="U65" s="154">
        <f t="shared" si="33"/>
        <v>0</v>
      </c>
      <c r="V65" s="154">
        <f t="shared" si="24"/>
        <v>0</v>
      </c>
    </row>
    <row r="66" spans="1:22" s="29" customFormat="1">
      <c r="A66" s="42"/>
      <c r="B66" s="43" t="s">
        <v>2966</v>
      </c>
      <c r="C66" s="44"/>
      <c r="D66" s="175"/>
      <c r="E66" s="44"/>
      <c r="F66" s="44"/>
      <c r="G66" s="147">
        <f t="shared" si="19"/>
        <v>0</v>
      </c>
      <c r="H66" s="53"/>
      <c r="I66" s="147">
        <f t="shared" si="20"/>
        <v>0</v>
      </c>
      <c r="J66" s="53"/>
      <c r="K66" s="53"/>
      <c r="L66" s="53"/>
      <c r="M66" s="146">
        <f t="shared" si="25"/>
        <v>0</v>
      </c>
      <c r="N66" s="154">
        <f t="shared" si="21"/>
        <v>0</v>
      </c>
      <c r="O66" s="153">
        <f t="shared" si="26"/>
        <v>0</v>
      </c>
      <c r="P66" s="154">
        <f t="shared" si="32"/>
        <v>0</v>
      </c>
      <c r="Q66" s="153">
        <f t="shared" si="27"/>
        <v>0</v>
      </c>
      <c r="R66" s="153">
        <f t="shared" si="28"/>
        <v>0</v>
      </c>
      <c r="S66" s="153">
        <f t="shared" si="29"/>
        <v>0</v>
      </c>
      <c r="T66" s="153">
        <f t="shared" si="30"/>
        <v>0</v>
      </c>
      <c r="U66" s="154">
        <f t="shared" si="33"/>
        <v>0</v>
      </c>
      <c r="V66" s="154">
        <f t="shared" si="24"/>
        <v>0</v>
      </c>
    </row>
    <row r="67" spans="1:22" s="29" customFormat="1">
      <c r="A67" s="42"/>
      <c r="B67" s="43" t="s">
        <v>2967</v>
      </c>
      <c r="C67" s="44"/>
      <c r="D67" s="175"/>
      <c r="E67" s="44"/>
      <c r="F67" s="44"/>
      <c r="G67" s="147">
        <f t="shared" si="19"/>
        <v>0</v>
      </c>
      <c r="H67" s="53"/>
      <c r="I67" s="147">
        <f t="shared" si="20"/>
        <v>0</v>
      </c>
      <c r="J67" s="53"/>
      <c r="K67" s="53"/>
      <c r="L67" s="53"/>
      <c r="M67" s="146">
        <f t="shared" si="25"/>
        <v>0</v>
      </c>
      <c r="N67" s="154">
        <f t="shared" si="21"/>
        <v>0</v>
      </c>
      <c r="O67" s="153">
        <f t="shared" si="26"/>
        <v>0</v>
      </c>
      <c r="P67" s="154">
        <f t="shared" si="32"/>
        <v>0</v>
      </c>
      <c r="Q67" s="153">
        <f t="shared" si="27"/>
        <v>0</v>
      </c>
      <c r="R67" s="153">
        <f t="shared" si="28"/>
        <v>0</v>
      </c>
      <c r="S67" s="153">
        <f t="shared" si="29"/>
        <v>0</v>
      </c>
      <c r="T67" s="153">
        <f t="shared" si="30"/>
        <v>0</v>
      </c>
      <c r="U67" s="154">
        <f t="shared" si="33"/>
        <v>0</v>
      </c>
      <c r="V67" s="154">
        <f t="shared" si="24"/>
        <v>0</v>
      </c>
    </row>
    <row r="68" spans="1:22" s="29" customFormat="1">
      <c r="A68" s="42"/>
      <c r="B68" s="43" t="s">
        <v>2968</v>
      </c>
      <c r="C68" s="44"/>
      <c r="D68" s="175"/>
      <c r="E68" s="44"/>
      <c r="F68" s="44"/>
      <c r="G68" s="146">
        <f t="shared" si="19"/>
        <v>0</v>
      </c>
      <c r="H68" s="46"/>
      <c r="I68" s="146">
        <f t="shared" si="20"/>
        <v>0</v>
      </c>
      <c r="J68" s="46"/>
      <c r="K68" s="46"/>
      <c r="L68" s="46"/>
      <c r="M68" s="146">
        <f t="shared" si="25"/>
        <v>0</v>
      </c>
      <c r="N68" s="153">
        <f t="shared" si="21"/>
        <v>0</v>
      </c>
      <c r="O68" s="153">
        <f t="shared" si="26"/>
        <v>0</v>
      </c>
      <c r="P68" s="153">
        <f t="shared" ref="P68:P71" si="36">SUM(Q68:S68)</f>
        <v>0</v>
      </c>
      <c r="Q68" s="153">
        <f t="shared" si="27"/>
        <v>0</v>
      </c>
      <c r="R68" s="153">
        <f t="shared" si="28"/>
        <v>0</v>
      </c>
      <c r="S68" s="153">
        <f t="shared" si="29"/>
        <v>0</v>
      </c>
      <c r="T68" s="153">
        <f t="shared" si="30"/>
        <v>0</v>
      </c>
      <c r="U68" s="153">
        <f t="shared" ref="U68:U71" si="37">T68-M68</f>
        <v>0</v>
      </c>
      <c r="V68" s="153">
        <f t="shared" si="24"/>
        <v>0</v>
      </c>
    </row>
    <row r="69" spans="1:22" s="29" customFormat="1">
      <c r="A69" s="42"/>
      <c r="B69" s="43" t="s">
        <v>2969</v>
      </c>
      <c r="C69" s="44"/>
      <c r="D69" s="175"/>
      <c r="E69" s="44"/>
      <c r="F69" s="44"/>
      <c r="G69" s="146">
        <f t="shared" si="19"/>
        <v>0</v>
      </c>
      <c r="H69" s="46"/>
      <c r="I69" s="146">
        <f t="shared" si="20"/>
        <v>0</v>
      </c>
      <c r="J69" s="46"/>
      <c r="K69" s="46"/>
      <c r="L69" s="46"/>
      <c r="M69" s="146">
        <f t="shared" si="25"/>
        <v>0</v>
      </c>
      <c r="N69" s="153">
        <f t="shared" si="21"/>
        <v>0</v>
      </c>
      <c r="O69" s="153">
        <f t="shared" si="26"/>
        <v>0</v>
      </c>
      <c r="P69" s="153">
        <f t="shared" si="36"/>
        <v>0</v>
      </c>
      <c r="Q69" s="153">
        <f t="shared" si="27"/>
        <v>0</v>
      </c>
      <c r="R69" s="153">
        <f t="shared" si="28"/>
        <v>0</v>
      </c>
      <c r="S69" s="153">
        <f t="shared" si="29"/>
        <v>0</v>
      </c>
      <c r="T69" s="153">
        <f t="shared" si="30"/>
        <v>0</v>
      </c>
      <c r="U69" s="153">
        <f t="shared" si="37"/>
        <v>0</v>
      </c>
      <c r="V69" s="153">
        <f t="shared" si="24"/>
        <v>0</v>
      </c>
    </row>
    <row r="70" spans="1:22" s="29" customFormat="1">
      <c r="A70" s="42"/>
      <c r="B70" s="43" t="s">
        <v>2970</v>
      </c>
      <c r="C70" s="44"/>
      <c r="D70" s="175"/>
      <c r="E70" s="44"/>
      <c r="F70" s="44"/>
      <c r="G70" s="146">
        <f t="shared" si="19"/>
        <v>0</v>
      </c>
      <c r="H70" s="46"/>
      <c r="I70" s="146">
        <f t="shared" si="20"/>
        <v>0</v>
      </c>
      <c r="J70" s="46"/>
      <c r="K70" s="46"/>
      <c r="L70" s="46"/>
      <c r="M70" s="146">
        <f t="shared" si="25"/>
        <v>0</v>
      </c>
      <c r="N70" s="153">
        <f t="shared" si="21"/>
        <v>0</v>
      </c>
      <c r="O70" s="153">
        <f t="shared" si="26"/>
        <v>0</v>
      </c>
      <c r="P70" s="153">
        <f t="shared" si="36"/>
        <v>0</v>
      </c>
      <c r="Q70" s="153">
        <f t="shared" si="27"/>
        <v>0</v>
      </c>
      <c r="R70" s="153">
        <f t="shared" si="28"/>
        <v>0</v>
      </c>
      <c r="S70" s="153">
        <f t="shared" si="29"/>
        <v>0</v>
      </c>
      <c r="T70" s="153">
        <f t="shared" si="30"/>
        <v>0</v>
      </c>
      <c r="U70" s="153">
        <f t="shared" si="37"/>
        <v>0</v>
      </c>
      <c r="V70" s="153">
        <f t="shared" si="24"/>
        <v>0</v>
      </c>
    </row>
    <row r="71" spans="1:22" s="29" customFormat="1">
      <c r="A71" s="42"/>
      <c r="B71" s="43" t="s">
        <v>2971</v>
      </c>
      <c r="C71" s="44"/>
      <c r="D71" s="175"/>
      <c r="E71" s="44"/>
      <c r="F71" s="44"/>
      <c r="G71" s="146">
        <f t="shared" si="19"/>
        <v>0</v>
      </c>
      <c r="H71" s="46"/>
      <c r="I71" s="146">
        <f t="shared" si="20"/>
        <v>0</v>
      </c>
      <c r="J71" s="46"/>
      <c r="K71" s="46"/>
      <c r="L71" s="46"/>
      <c r="M71" s="146">
        <f t="shared" si="25"/>
        <v>0</v>
      </c>
      <c r="N71" s="153">
        <f t="shared" si="21"/>
        <v>0</v>
      </c>
      <c r="O71" s="153">
        <f t="shared" si="26"/>
        <v>0</v>
      </c>
      <c r="P71" s="153">
        <f t="shared" si="36"/>
        <v>0</v>
      </c>
      <c r="Q71" s="153">
        <f t="shared" si="27"/>
        <v>0</v>
      </c>
      <c r="R71" s="153">
        <f t="shared" si="28"/>
        <v>0</v>
      </c>
      <c r="S71" s="153">
        <f t="shared" si="29"/>
        <v>0</v>
      </c>
      <c r="T71" s="153">
        <f t="shared" si="30"/>
        <v>0</v>
      </c>
      <c r="U71" s="153">
        <f t="shared" si="37"/>
        <v>0</v>
      </c>
      <c r="V71" s="153">
        <f t="shared" si="24"/>
        <v>0</v>
      </c>
    </row>
    <row r="72" spans="1:22" s="29" customFormat="1" ht="25.5">
      <c r="A72" s="42"/>
      <c r="B72" s="55" t="s">
        <v>2972</v>
      </c>
      <c r="C72" s="44"/>
      <c r="D72" s="175"/>
      <c r="E72" s="44"/>
      <c r="F72" s="44"/>
      <c r="G72" s="146">
        <f>H72+I72+M72</f>
        <v>0</v>
      </c>
      <c r="H72" s="46"/>
      <c r="I72" s="146">
        <f>SUM(J72:L72)</f>
        <v>0</v>
      </c>
      <c r="J72" s="46"/>
      <c r="K72" s="46"/>
      <c r="L72" s="46"/>
      <c r="M72" s="146">
        <f t="shared" si="25"/>
        <v>0</v>
      </c>
      <c r="N72" s="153">
        <f>O72+P72+T72</f>
        <v>0</v>
      </c>
      <c r="O72" s="153">
        <f t="shared" si="26"/>
        <v>0</v>
      </c>
      <c r="P72" s="153">
        <f>SUM(Q72:S72)</f>
        <v>0</v>
      </c>
      <c r="Q72" s="153">
        <f t="shared" si="27"/>
        <v>0</v>
      </c>
      <c r="R72" s="153">
        <f t="shared" si="28"/>
        <v>0</v>
      </c>
      <c r="S72" s="153">
        <f t="shared" si="29"/>
        <v>0</v>
      </c>
      <c r="T72" s="153">
        <f t="shared" si="30"/>
        <v>0</v>
      </c>
      <c r="U72" s="153">
        <f>T72-M72</f>
        <v>0</v>
      </c>
      <c r="V72" s="153">
        <f>U72*6</f>
        <v>0</v>
      </c>
    </row>
    <row r="73" spans="1:22" s="29" customFormat="1">
      <c r="A73" s="56" t="s">
        <v>7</v>
      </c>
      <c r="B73" s="57" t="s">
        <v>2973</v>
      </c>
      <c r="C73" s="58">
        <f>SUM(C74:C81)</f>
        <v>0</v>
      </c>
      <c r="D73" s="176">
        <f t="shared" ref="D73:V73" si="38">SUM(D74:D81)</f>
        <v>0</v>
      </c>
      <c r="E73" s="58">
        <f t="shared" si="38"/>
        <v>0</v>
      </c>
      <c r="F73" s="58">
        <f t="shared" si="38"/>
        <v>0</v>
      </c>
      <c r="G73" s="144">
        <f t="shared" si="38"/>
        <v>0</v>
      </c>
      <c r="H73" s="59">
        <f t="shared" si="38"/>
        <v>0</v>
      </c>
      <c r="I73" s="144">
        <f t="shared" si="38"/>
        <v>0</v>
      </c>
      <c r="J73" s="59">
        <f t="shared" si="38"/>
        <v>0</v>
      </c>
      <c r="K73" s="59">
        <f t="shared" si="38"/>
        <v>0</v>
      </c>
      <c r="L73" s="59">
        <f t="shared" si="38"/>
        <v>0</v>
      </c>
      <c r="M73" s="144">
        <f t="shared" si="38"/>
        <v>0</v>
      </c>
      <c r="N73" s="155">
        <f t="shared" si="38"/>
        <v>0</v>
      </c>
      <c r="O73" s="155">
        <f t="shared" si="38"/>
        <v>0</v>
      </c>
      <c r="P73" s="155">
        <f t="shared" si="38"/>
        <v>0</v>
      </c>
      <c r="Q73" s="155">
        <f t="shared" si="38"/>
        <v>0</v>
      </c>
      <c r="R73" s="155">
        <f t="shared" si="38"/>
        <v>0</v>
      </c>
      <c r="S73" s="155">
        <f t="shared" si="38"/>
        <v>0</v>
      </c>
      <c r="T73" s="155">
        <f t="shared" si="38"/>
        <v>0</v>
      </c>
      <c r="U73" s="155">
        <f t="shared" si="38"/>
        <v>0</v>
      </c>
      <c r="V73" s="155">
        <f t="shared" si="38"/>
        <v>0</v>
      </c>
    </row>
    <row r="74" spans="1:22" s="29" customFormat="1">
      <c r="A74" s="42"/>
      <c r="B74" s="55" t="s">
        <v>2591</v>
      </c>
      <c r="C74" s="44"/>
      <c r="D74" s="175"/>
      <c r="E74" s="44"/>
      <c r="F74" s="44"/>
      <c r="G74" s="146">
        <f t="shared" ref="G74:G81" si="39">H74+I74+M74</f>
        <v>0</v>
      </c>
      <c r="H74" s="46"/>
      <c r="I74" s="146">
        <f t="shared" ref="I74:I77" si="40">SUM(J74:L74)</f>
        <v>0</v>
      </c>
      <c r="J74" s="46"/>
      <c r="K74" s="46"/>
      <c r="L74" s="46"/>
      <c r="M74" s="146">
        <f t="shared" ref="M74:M81" si="41">(H74+I74)*1%</f>
        <v>0</v>
      </c>
      <c r="N74" s="153">
        <f>O74+P74+T74</f>
        <v>0</v>
      </c>
      <c r="O74" s="153">
        <f t="shared" si="26"/>
        <v>0</v>
      </c>
      <c r="P74" s="153">
        <f>SUM(Q74:S74)</f>
        <v>0</v>
      </c>
      <c r="Q74" s="153">
        <f t="shared" ref="Q74:Q81" si="42">(J74/1.39)*1.49</f>
        <v>0</v>
      </c>
      <c r="R74" s="153">
        <f t="shared" ref="R74:R81" si="43">(K74/1.39)*1.49</f>
        <v>0</v>
      </c>
      <c r="S74" s="153">
        <f t="shared" ref="S74:S81" si="44">(L74/1.39)*1.49</f>
        <v>0</v>
      </c>
      <c r="T74" s="153">
        <f t="shared" ref="T74:T81" si="45">(O74+P74)*1%</f>
        <v>0</v>
      </c>
      <c r="U74" s="153">
        <f t="shared" ref="U74:U81" si="46">T74-M74</f>
        <v>0</v>
      </c>
      <c r="V74" s="153">
        <f t="shared" ref="V74:V77" si="47">U74*6</f>
        <v>0</v>
      </c>
    </row>
    <row r="75" spans="1:22" s="29" customFormat="1">
      <c r="A75" s="42"/>
      <c r="B75" s="55" t="s">
        <v>2592</v>
      </c>
      <c r="C75" s="44"/>
      <c r="D75" s="175"/>
      <c r="E75" s="44"/>
      <c r="F75" s="44"/>
      <c r="G75" s="146">
        <f t="shared" si="39"/>
        <v>0</v>
      </c>
      <c r="H75" s="46"/>
      <c r="I75" s="146">
        <f t="shared" si="40"/>
        <v>0</v>
      </c>
      <c r="J75" s="46"/>
      <c r="K75" s="46"/>
      <c r="L75" s="46"/>
      <c r="M75" s="146">
        <f t="shared" si="41"/>
        <v>0</v>
      </c>
      <c r="N75" s="153">
        <f t="shared" ref="N75:N77" si="48">O75+P75+T75</f>
        <v>0</v>
      </c>
      <c r="O75" s="153">
        <f t="shared" si="26"/>
        <v>0</v>
      </c>
      <c r="P75" s="153">
        <f t="shared" ref="P75:P77" si="49">SUM(Q75:S75)</f>
        <v>0</v>
      </c>
      <c r="Q75" s="153">
        <f t="shared" si="42"/>
        <v>0</v>
      </c>
      <c r="R75" s="153">
        <f t="shared" si="43"/>
        <v>0</v>
      </c>
      <c r="S75" s="153">
        <f t="shared" si="44"/>
        <v>0</v>
      </c>
      <c r="T75" s="153">
        <f t="shared" si="45"/>
        <v>0</v>
      </c>
      <c r="U75" s="153">
        <f t="shared" si="46"/>
        <v>0</v>
      </c>
      <c r="V75" s="153">
        <f t="shared" si="47"/>
        <v>0</v>
      </c>
    </row>
    <row r="76" spans="1:22" s="29" customFormat="1">
      <c r="A76" s="42"/>
      <c r="B76" s="55" t="s">
        <v>2594</v>
      </c>
      <c r="C76" s="44"/>
      <c r="D76" s="175"/>
      <c r="E76" s="44"/>
      <c r="F76" s="44"/>
      <c r="G76" s="146">
        <f t="shared" si="39"/>
        <v>0</v>
      </c>
      <c r="H76" s="46"/>
      <c r="I76" s="146">
        <f t="shared" si="40"/>
        <v>0</v>
      </c>
      <c r="J76" s="46"/>
      <c r="K76" s="46"/>
      <c r="L76" s="46"/>
      <c r="M76" s="146">
        <f t="shared" si="41"/>
        <v>0</v>
      </c>
      <c r="N76" s="153">
        <f t="shared" si="48"/>
        <v>0</v>
      </c>
      <c r="O76" s="153">
        <f t="shared" si="26"/>
        <v>0</v>
      </c>
      <c r="P76" s="153">
        <f t="shared" si="49"/>
        <v>0</v>
      </c>
      <c r="Q76" s="153">
        <f t="shared" si="42"/>
        <v>0</v>
      </c>
      <c r="R76" s="153">
        <f t="shared" si="43"/>
        <v>0</v>
      </c>
      <c r="S76" s="153">
        <f t="shared" si="44"/>
        <v>0</v>
      </c>
      <c r="T76" s="153">
        <f t="shared" si="45"/>
        <v>0</v>
      </c>
      <c r="U76" s="153">
        <f t="shared" si="46"/>
        <v>0</v>
      </c>
      <c r="V76" s="153">
        <f t="shared" si="47"/>
        <v>0</v>
      </c>
    </row>
    <row r="77" spans="1:22" s="29" customFormat="1">
      <c r="A77" s="42"/>
      <c r="B77" s="55" t="s">
        <v>2595</v>
      </c>
      <c r="C77" s="44"/>
      <c r="D77" s="175"/>
      <c r="E77" s="44"/>
      <c r="F77" s="44"/>
      <c r="G77" s="146">
        <f t="shared" si="39"/>
        <v>0</v>
      </c>
      <c r="H77" s="46"/>
      <c r="I77" s="146">
        <f t="shared" si="40"/>
        <v>0</v>
      </c>
      <c r="J77" s="46"/>
      <c r="K77" s="46"/>
      <c r="L77" s="46"/>
      <c r="M77" s="146">
        <f t="shared" si="41"/>
        <v>0</v>
      </c>
      <c r="N77" s="153">
        <f t="shared" si="48"/>
        <v>0</v>
      </c>
      <c r="O77" s="153">
        <f t="shared" si="26"/>
        <v>0</v>
      </c>
      <c r="P77" s="153">
        <f t="shared" si="49"/>
        <v>0</v>
      </c>
      <c r="Q77" s="153">
        <f t="shared" si="42"/>
        <v>0</v>
      </c>
      <c r="R77" s="153">
        <f t="shared" si="43"/>
        <v>0</v>
      </c>
      <c r="S77" s="153">
        <f t="shared" si="44"/>
        <v>0</v>
      </c>
      <c r="T77" s="153">
        <f t="shared" si="45"/>
        <v>0</v>
      </c>
      <c r="U77" s="153">
        <f t="shared" si="46"/>
        <v>0</v>
      </c>
      <c r="V77" s="153">
        <f t="shared" si="47"/>
        <v>0</v>
      </c>
    </row>
    <row r="78" spans="1:22" s="29" customFormat="1" ht="25.5">
      <c r="A78" s="42"/>
      <c r="B78" s="55" t="s">
        <v>2974</v>
      </c>
      <c r="C78" s="44"/>
      <c r="D78" s="175"/>
      <c r="E78" s="44"/>
      <c r="F78" s="44"/>
      <c r="G78" s="146">
        <f t="shared" si="39"/>
        <v>0</v>
      </c>
      <c r="H78" s="46"/>
      <c r="I78" s="146">
        <f>SUM(J78:L78)</f>
        <v>0</v>
      </c>
      <c r="J78" s="46"/>
      <c r="K78" s="46"/>
      <c r="L78" s="46"/>
      <c r="M78" s="146">
        <f t="shared" si="41"/>
        <v>0</v>
      </c>
      <c r="N78" s="153">
        <f>O78+P78+T78</f>
        <v>0</v>
      </c>
      <c r="O78" s="153">
        <f t="shared" si="26"/>
        <v>0</v>
      </c>
      <c r="P78" s="153">
        <f>SUM(Q78:S78)</f>
        <v>0</v>
      </c>
      <c r="Q78" s="153">
        <f t="shared" si="42"/>
        <v>0</v>
      </c>
      <c r="R78" s="153">
        <f t="shared" si="43"/>
        <v>0</v>
      </c>
      <c r="S78" s="153">
        <f t="shared" si="44"/>
        <v>0</v>
      </c>
      <c r="T78" s="153">
        <f t="shared" si="45"/>
        <v>0</v>
      </c>
      <c r="U78" s="153">
        <f t="shared" si="46"/>
        <v>0</v>
      </c>
      <c r="V78" s="153">
        <f>U78*6</f>
        <v>0</v>
      </c>
    </row>
    <row r="79" spans="1:22" s="29" customFormat="1" ht="25.5">
      <c r="A79" s="42"/>
      <c r="B79" s="55" t="s">
        <v>2596</v>
      </c>
      <c r="C79" s="44"/>
      <c r="D79" s="175"/>
      <c r="E79" s="44"/>
      <c r="F79" s="44"/>
      <c r="G79" s="146">
        <f t="shared" si="39"/>
        <v>0</v>
      </c>
      <c r="H79" s="46"/>
      <c r="I79" s="146">
        <f t="shared" ref="I79:I81" si="50">SUM(J79:L79)</f>
        <v>0</v>
      </c>
      <c r="J79" s="46"/>
      <c r="K79" s="46"/>
      <c r="L79" s="46"/>
      <c r="M79" s="146">
        <f t="shared" si="41"/>
        <v>0</v>
      </c>
      <c r="N79" s="153">
        <f>O79+P79+T79</f>
        <v>0</v>
      </c>
      <c r="O79" s="153">
        <f t="shared" si="26"/>
        <v>0</v>
      </c>
      <c r="P79" s="153">
        <f t="shared" ref="P79:P81" si="51">SUM(Q79:S79)</f>
        <v>0</v>
      </c>
      <c r="Q79" s="153">
        <f t="shared" si="42"/>
        <v>0</v>
      </c>
      <c r="R79" s="153">
        <f t="shared" si="43"/>
        <v>0</v>
      </c>
      <c r="S79" s="153">
        <f t="shared" si="44"/>
        <v>0</v>
      </c>
      <c r="T79" s="153">
        <f t="shared" si="45"/>
        <v>0</v>
      </c>
      <c r="U79" s="153">
        <f t="shared" si="46"/>
        <v>0</v>
      </c>
      <c r="V79" s="153">
        <f t="shared" ref="V79:V81" si="52">U79*6</f>
        <v>0</v>
      </c>
    </row>
    <row r="80" spans="1:22" s="27" customFormat="1" ht="25.5">
      <c r="A80" s="42"/>
      <c r="B80" s="55" t="s">
        <v>2597</v>
      </c>
      <c r="C80" s="44"/>
      <c r="D80" s="175"/>
      <c r="E80" s="44"/>
      <c r="F80" s="44"/>
      <c r="G80" s="146">
        <f t="shared" si="39"/>
        <v>0</v>
      </c>
      <c r="H80" s="46"/>
      <c r="I80" s="146">
        <f t="shared" si="50"/>
        <v>0</v>
      </c>
      <c r="J80" s="46"/>
      <c r="K80" s="46"/>
      <c r="L80" s="46"/>
      <c r="M80" s="146">
        <f t="shared" si="41"/>
        <v>0</v>
      </c>
      <c r="N80" s="153">
        <f t="shared" ref="N80:N81" si="53">O80+P80+T80</f>
        <v>0</v>
      </c>
      <c r="O80" s="153">
        <f t="shared" si="26"/>
        <v>0</v>
      </c>
      <c r="P80" s="153">
        <f t="shared" si="51"/>
        <v>0</v>
      </c>
      <c r="Q80" s="153">
        <f t="shared" si="42"/>
        <v>0</v>
      </c>
      <c r="R80" s="153">
        <f t="shared" si="43"/>
        <v>0</v>
      </c>
      <c r="S80" s="153">
        <f t="shared" si="44"/>
        <v>0</v>
      </c>
      <c r="T80" s="153">
        <f t="shared" si="45"/>
        <v>0</v>
      </c>
      <c r="U80" s="153">
        <f t="shared" si="46"/>
        <v>0</v>
      </c>
      <c r="V80" s="153">
        <f t="shared" si="52"/>
        <v>0</v>
      </c>
    </row>
    <row r="81" spans="1:22" s="29" customFormat="1" ht="25.5">
      <c r="A81" s="42"/>
      <c r="B81" s="55" t="s">
        <v>2598</v>
      </c>
      <c r="C81" s="60"/>
      <c r="D81" s="177"/>
      <c r="E81" s="60"/>
      <c r="F81" s="60"/>
      <c r="G81" s="146">
        <f t="shared" si="39"/>
        <v>0</v>
      </c>
      <c r="H81" s="53"/>
      <c r="I81" s="147">
        <f t="shared" si="50"/>
        <v>0</v>
      </c>
      <c r="J81" s="53"/>
      <c r="K81" s="53"/>
      <c r="L81" s="53"/>
      <c r="M81" s="146">
        <f t="shared" si="41"/>
        <v>0</v>
      </c>
      <c r="N81" s="154">
        <f t="shared" si="53"/>
        <v>0</v>
      </c>
      <c r="O81" s="153">
        <f t="shared" si="26"/>
        <v>0</v>
      </c>
      <c r="P81" s="154">
        <f t="shared" si="51"/>
        <v>0</v>
      </c>
      <c r="Q81" s="153">
        <f t="shared" si="42"/>
        <v>0</v>
      </c>
      <c r="R81" s="153">
        <f t="shared" si="43"/>
        <v>0</v>
      </c>
      <c r="S81" s="153">
        <f t="shared" si="44"/>
        <v>0</v>
      </c>
      <c r="T81" s="153">
        <f t="shared" si="45"/>
        <v>0</v>
      </c>
      <c r="U81" s="153">
        <f t="shared" si="46"/>
        <v>0</v>
      </c>
      <c r="V81" s="154">
        <f t="shared" si="52"/>
        <v>0</v>
      </c>
    </row>
    <row r="82" spans="1:22" s="29" customFormat="1">
      <c r="A82" s="34">
        <v>2</v>
      </c>
      <c r="B82" s="35" t="s">
        <v>2975</v>
      </c>
      <c r="C82" s="36">
        <f>C83+C98</f>
        <v>0</v>
      </c>
      <c r="D82" s="173">
        <f t="shared" ref="D82:V82" si="54">D83+D98</f>
        <v>0</v>
      </c>
      <c r="E82" s="36">
        <f t="shared" si="54"/>
        <v>0</v>
      </c>
      <c r="F82" s="36">
        <f t="shared" si="54"/>
        <v>0</v>
      </c>
      <c r="G82" s="144">
        <f t="shared" si="54"/>
        <v>0</v>
      </c>
      <c r="H82" s="37">
        <f t="shared" si="54"/>
        <v>0</v>
      </c>
      <c r="I82" s="144">
        <f t="shared" si="54"/>
        <v>0</v>
      </c>
      <c r="J82" s="37">
        <f t="shared" si="54"/>
        <v>0</v>
      </c>
      <c r="K82" s="37">
        <f t="shared" si="54"/>
        <v>0</v>
      </c>
      <c r="L82" s="37">
        <f t="shared" si="54"/>
        <v>0</v>
      </c>
      <c r="M82" s="144">
        <f t="shared" si="54"/>
        <v>0</v>
      </c>
      <c r="N82" s="155">
        <f t="shared" si="54"/>
        <v>0</v>
      </c>
      <c r="O82" s="155">
        <f t="shared" si="54"/>
        <v>0</v>
      </c>
      <c r="P82" s="155">
        <f t="shared" si="54"/>
        <v>0</v>
      </c>
      <c r="Q82" s="155">
        <f t="shared" si="54"/>
        <v>0</v>
      </c>
      <c r="R82" s="155">
        <f t="shared" si="54"/>
        <v>0</v>
      </c>
      <c r="S82" s="155">
        <f t="shared" si="54"/>
        <v>0</v>
      </c>
      <c r="T82" s="155">
        <f t="shared" si="54"/>
        <v>0</v>
      </c>
      <c r="U82" s="155">
        <f t="shared" si="54"/>
        <v>0</v>
      </c>
      <c r="V82" s="155">
        <f t="shared" si="54"/>
        <v>0</v>
      </c>
    </row>
    <row r="83" spans="1:22" s="29" customFormat="1">
      <c r="A83" s="34" t="s">
        <v>6</v>
      </c>
      <c r="B83" s="35" t="s">
        <v>2976</v>
      </c>
      <c r="C83" s="36">
        <f>C84</f>
        <v>0</v>
      </c>
      <c r="D83" s="173">
        <f t="shared" ref="D83:V83" si="55">D84</f>
        <v>0</v>
      </c>
      <c r="E83" s="36">
        <f t="shared" si="55"/>
        <v>0</v>
      </c>
      <c r="F83" s="36">
        <f t="shared" si="55"/>
        <v>0</v>
      </c>
      <c r="G83" s="144">
        <f t="shared" si="55"/>
        <v>0</v>
      </c>
      <c r="H83" s="37">
        <f t="shared" si="55"/>
        <v>0</v>
      </c>
      <c r="I83" s="144">
        <f t="shared" si="55"/>
        <v>0</v>
      </c>
      <c r="J83" s="37">
        <f t="shared" si="55"/>
        <v>0</v>
      </c>
      <c r="K83" s="37">
        <f t="shared" si="55"/>
        <v>0</v>
      </c>
      <c r="L83" s="37">
        <f t="shared" si="55"/>
        <v>0</v>
      </c>
      <c r="M83" s="144">
        <f t="shared" si="55"/>
        <v>0</v>
      </c>
      <c r="N83" s="155">
        <f t="shared" si="55"/>
        <v>0</v>
      </c>
      <c r="O83" s="155">
        <f t="shared" si="55"/>
        <v>0</v>
      </c>
      <c r="P83" s="155">
        <f t="shared" si="55"/>
        <v>0</v>
      </c>
      <c r="Q83" s="155">
        <f t="shared" si="55"/>
        <v>0</v>
      </c>
      <c r="R83" s="155">
        <f t="shared" si="55"/>
        <v>0</v>
      </c>
      <c r="S83" s="155">
        <f t="shared" si="55"/>
        <v>0</v>
      </c>
      <c r="T83" s="155">
        <f t="shared" si="55"/>
        <v>0</v>
      </c>
      <c r="U83" s="155">
        <f t="shared" si="55"/>
        <v>0</v>
      </c>
      <c r="V83" s="155">
        <f t="shared" si="55"/>
        <v>0</v>
      </c>
    </row>
    <row r="84" spans="1:22" s="29" customFormat="1">
      <c r="A84" s="34"/>
      <c r="B84" s="35" t="s">
        <v>2977</v>
      </c>
      <c r="C84" s="36">
        <f>SUM(C85:C97)</f>
        <v>0</v>
      </c>
      <c r="D84" s="173">
        <f t="shared" ref="D84:V84" si="56">SUM(D85:D97)</f>
        <v>0</v>
      </c>
      <c r="E84" s="36">
        <f t="shared" si="56"/>
        <v>0</v>
      </c>
      <c r="F84" s="36">
        <f t="shared" si="56"/>
        <v>0</v>
      </c>
      <c r="G84" s="144">
        <f t="shared" si="56"/>
        <v>0</v>
      </c>
      <c r="H84" s="37">
        <f t="shared" si="56"/>
        <v>0</v>
      </c>
      <c r="I84" s="144">
        <f t="shared" si="56"/>
        <v>0</v>
      </c>
      <c r="J84" s="37">
        <f t="shared" si="56"/>
        <v>0</v>
      </c>
      <c r="K84" s="37">
        <f t="shared" si="56"/>
        <v>0</v>
      </c>
      <c r="L84" s="37">
        <f t="shared" si="56"/>
        <v>0</v>
      </c>
      <c r="M84" s="144">
        <f t="shared" si="56"/>
        <v>0</v>
      </c>
      <c r="N84" s="155">
        <f t="shared" si="56"/>
        <v>0</v>
      </c>
      <c r="O84" s="155">
        <f t="shared" si="56"/>
        <v>0</v>
      </c>
      <c r="P84" s="155">
        <f t="shared" si="56"/>
        <v>0</v>
      </c>
      <c r="Q84" s="155">
        <f t="shared" si="56"/>
        <v>0</v>
      </c>
      <c r="R84" s="155">
        <f t="shared" si="56"/>
        <v>0</v>
      </c>
      <c r="S84" s="155">
        <f t="shared" si="56"/>
        <v>0</v>
      </c>
      <c r="T84" s="155">
        <f t="shared" si="56"/>
        <v>0</v>
      </c>
      <c r="U84" s="155">
        <f t="shared" si="56"/>
        <v>0</v>
      </c>
      <c r="V84" s="155">
        <f t="shared" si="56"/>
        <v>0</v>
      </c>
    </row>
    <row r="85" spans="1:22" s="29" customFormat="1">
      <c r="A85" s="42"/>
      <c r="B85" s="55" t="s">
        <v>2978</v>
      </c>
      <c r="C85" s="60"/>
      <c r="D85" s="177"/>
      <c r="E85" s="60"/>
      <c r="F85" s="60"/>
      <c r="G85" s="147">
        <f t="shared" ref="G85:G95" si="57">H85+I85+M85</f>
        <v>0</v>
      </c>
      <c r="H85" s="53"/>
      <c r="I85" s="147">
        <f t="shared" ref="I85:I97" si="58">SUM(J85:L85)</f>
        <v>0</v>
      </c>
      <c r="J85" s="53"/>
      <c r="K85" s="53"/>
      <c r="L85" s="53"/>
      <c r="M85" s="146">
        <f t="shared" ref="M85:M97" si="59">(H85+I85)*1%</f>
        <v>0</v>
      </c>
      <c r="N85" s="154">
        <f t="shared" ref="N85:N97" si="60">O85+P85+T85</f>
        <v>0</v>
      </c>
      <c r="O85" s="153">
        <f t="shared" ref="O85:O100" si="61">(H85/1.39)*1.49</f>
        <v>0</v>
      </c>
      <c r="P85" s="154">
        <f t="shared" ref="P85:P97" si="62">SUM(Q85:S85)</f>
        <v>0</v>
      </c>
      <c r="Q85" s="153">
        <f t="shared" ref="Q85:Q97" si="63">(J85/1.39)*1.49</f>
        <v>0</v>
      </c>
      <c r="R85" s="153">
        <f t="shared" ref="R85:R97" si="64">(K85/1.39)*1.49</f>
        <v>0</v>
      </c>
      <c r="S85" s="153">
        <f t="shared" ref="S85:S97" si="65">(L85/1.39)*1.49</f>
        <v>0</v>
      </c>
      <c r="T85" s="153">
        <f t="shared" ref="T85:T97" si="66">(O85+P85)*1%</f>
        <v>0</v>
      </c>
      <c r="U85" s="154">
        <f t="shared" ref="U85" si="67">N85-G85</f>
        <v>0</v>
      </c>
      <c r="V85" s="154">
        <f t="shared" ref="V85:V97" si="68">U85*6</f>
        <v>0</v>
      </c>
    </row>
    <row r="86" spans="1:22" s="29" customFormat="1">
      <c r="A86" s="42"/>
      <c r="B86" s="55" t="s">
        <v>2979</v>
      </c>
      <c r="C86" s="60"/>
      <c r="D86" s="177"/>
      <c r="E86" s="60"/>
      <c r="F86" s="61"/>
      <c r="G86" s="148">
        <f t="shared" si="57"/>
        <v>0</v>
      </c>
      <c r="H86" s="62"/>
      <c r="I86" s="148">
        <f t="shared" si="58"/>
        <v>0</v>
      </c>
      <c r="J86" s="62"/>
      <c r="K86" s="62"/>
      <c r="L86" s="62"/>
      <c r="M86" s="146">
        <f t="shared" si="59"/>
        <v>0</v>
      </c>
      <c r="N86" s="156">
        <f t="shared" si="60"/>
        <v>0</v>
      </c>
      <c r="O86" s="153">
        <f t="shared" si="61"/>
        <v>0</v>
      </c>
      <c r="P86" s="156">
        <f t="shared" si="62"/>
        <v>0</v>
      </c>
      <c r="Q86" s="153">
        <f t="shared" si="63"/>
        <v>0</v>
      </c>
      <c r="R86" s="153">
        <f t="shared" si="64"/>
        <v>0</v>
      </c>
      <c r="S86" s="153">
        <f t="shared" si="65"/>
        <v>0</v>
      </c>
      <c r="T86" s="153">
        <f t="shared" si="66"/>
        <v>0</v>
      </c>
      <c r="U86" s="153">
        <f t="shared" ref="U86:U99" si="69">T86-M86</f>
        <v>0</v>
      </c>
      <c r="V86" s="156">
        <f t="shared" si="68"/>
        <v>0</v>
      </c>
    </row>
    <row r="87" spans="1:22" s="29" customFormat="1">
      <c r="A87" s="42"/>
      <c r="B87" s="55" t="s">
        <v>2980</v>
      </c>
      <c r="C87" s="60"/>
      <c r="D87" s="177"/>
      <c r="E87" s="60"/>
      <c r="F87" s="61"/>
      <c r="G87" s="148">
        <f t="shared" si="57"/>
        <v>0</v>
      </c>
      <c r="H87" s="62"/>
      <c r="I87" s="148">
        <f t="shared" si="58"/>
        <v>0</v>
      </c>
      <c r="J87" s="62"/>
      <c r="K87" s="62"/>
      <c r="L87" s="62"/>
      <c r="M87" s="146">
        <f t="shared" si="59"/>
        <v>0</v>
      </c>
      <c r="N87" s="156">
        <f t="shared" si="60"/>
        <v>0</v>
      </c>
      <c r="O87" s="153">
        <f t="shared" si="61"/>
        <v>0</v>
      </c>
      <c r="P87" s="156">
        <f t="shared" si="62"/>
        <v>0</v>
      </c>
      <c r="Q87" s="153">
        <f t="shared" si="63"/>
        <v>0</v>
      </c>
      <c r="R87" s="153">
        <f t="shared" si="64"/>
        <v>0</v>
      </c>
      <c r="S87" s="153">
        <f t="shared" si="65"/>
        <v>0</v>
      </c>
      <c r="T87" s="153">
        <f t="shared" si="66"/>
        <v>0</v>
      </c>
      <c r="U87" s="153">
        <f t="shared" si="69"/>
        <v>0</v>
      </c>
      <c r="V87" s="156">
        <f t="shared" si="68"/>
        <v>0</v>
      </c>
    </row>
    <row r="88" spans="1:22" s="29" customFormat="1">
      <c r="A88" s="42"/>
      <c r="B88" s="55" t="s">
        <v>2981</v>
      </c>
      <c r="C88" s="60"/>
      <c r="D88" s="177"/>
      <c r="E88" s="60"/>
      <c r="F88" s="63"/>
      <c r="G88" s="149">
        <f t="shared" si="57"/>
        <v>0</v>
      </c>
      <c r="H88" s="64"/>
      <c r="I88" s="149">
        <f t="shared" si="58"/>
        <v>0</v>
      </c>
      <c r="J88" s="64"/>
      <c r="K88" s="64"/>
      <c r="L88" s="64"/>
      <c r="M88" s="146">
        <f t="shared" si="59"/>
        <v>0</v>
      </c>
      <c r="N88" s="157">
        <f t="shared" si="60"/>
        <v>0</v>
      </c>
      <c r="O88" s="153">
        <f t="shared" si="61"/>
        <v>0</v>
      </c>
      <c r="P88" s="157">
        <f t="shared" si="62"/>
        <v>0</v>
      </c>
      <c r="Q88" s="153">
        <f t="shared" si="63"/>
        <v>0</v>
      </c>
      <c r="R88" s="153">
        <f t="shared" si="64"/>
        <v>0</v>
      </c>
      <c r="S88" s="153">
        <f t="shared" si="65"/>
        <v>0</v>
      </c>
      <c r="T88" s="153">
        <f t="shared" si="66"/>
        <v>0</v>
      </c>
      <c r="U88" s="153">
        <f t="shared" si="69"/>
        <v>0</v>
      </c>
      <c r="V88" s="157">
        <f t="shared" si="68"/>
        <v>0</v>
      </c>
    </row>
    <row r="89" spans="1:22" s="29" customFormat="1">
      <c r="A89" s="42"/>
      <c r="B89" s="55" t="s">
        <v>2982</v>
      </c>
      <c r="C89" s="60"/>
      <c r="D89" s="177"/>
      <c r="E89" s="60"/>
      <c r="F89" s="61"/>
      <c r="G89" s="148">
        <f t="shared" si="57"/>
        <v>0</v>
      </c>
      <c r="H89" s="62"/>
      <c r="I89" s="148">
        <f t="shared" si="58"/>
        <v>0</v>
      </c>
      <c r="J89" s="62"/>
      <c r="K89" s="62"/>
      <c r="L89" s="62"/>
      <c r="M89" s="146">
        <f t="shared" si="59"/>
        <v>0</v>
      </c>
      <c r="N89" s="156">
        <f t="shared" si="60"/>
        <v>0</v>
      </c>
      <c r="O89" s="153">
        <f t="shared" si="61"/>
        <v>0</v>
      </c>
      <c r="P89" s="156">
        <f t="shared" si="62"/>
        <v>0</v>
      </c>
      <c r="Q89" s="153">
        <f t="shared" si="63"/>
        <v>0</v>
      </c>
      <c r="R89" s="153">
        <f t="shared" si="64"/>
        <v>0</v>
      </c>
      <c r="S89" s="153">
        <f t="shared" si="65"/>
        <v>0</v>
      </c>
      <c r="T89" s="153">
        <f t="shared" si="66"/>
        <v>0</v>
      </c>
      <c r="U89" s="153">
        <f t="shared" si="69"/>
        <v>0</v>
      </c>
      <c r="V89" s="156">
        <f t="shared" si="68"/>
        <v>0</v>
      </c>
    </row>
    <row r="90" spans="1:22" s="29" customFormat="1">
      <c r="A90" s="42"/>
      <c r="B90" s="55" t="s">
        <v>2983</v>
      </c>
      <c r="C90" s="60"/>
      <c r="D90" s="177"/>
      <c r="E90" s="60"/>
      <c r="F90" s="63"/>
      <c r="G90" s="149">
        <f t="shared" si="57"/>
        <v>0</v>
      </c>
      <c r="H90" s="64"/>
      <c r="I90" s="149">
        <f t="shared" si="58"/>
        <v>0</v>
      </c>
      <c r="J90" s="64"/>
      <c r="K90" s="64"/>
      <c r="L90" s="64"/>
      <c r="M90" s="146">
        <f t="shared" si="59"/>
        <v>0</v>
      </c>
      <c r="N90" s="157">
        <f t="shared" si="60"/>
        <v>0</v>
      </c>
      <c r="O90" s="153">
        <f t="shared" si="61"/>
        <v>0</v>
      </c>
      <c r="P90" s="157">
        <f t="shared" si="62"/>
        <v>0</v>
      </c>
      <c r="Q90" s="153">
        <f t="shared" si="63"/>
        <v>0</v>
      </c>
      <c r="R90" s="153">
        <f t="shared" si="64"/>
        <v>0</v>
      </c>
      <c r="S90" s="153">
        <f t="shared" si="65"/>
        <v>0</v>
      </c>
      <c r="T90" s="153">
        <f t="shared" si="66"/>
        <v>0</v>
      </c>
      <c r="U90" s="153">
        <f t="shared" si="69"/>
        <v>0</v>
      </c>
      <c r="V90" s="157">
        <f t="shared" si="68"/>
        <v>0</v>
      </c>
    </row>
    <row r="91" spans="1:22" s="29" customFormat="1">
      <c r="A91" s="42"/>
      <c r="B91" s="55" t="s">
        <v>2984</v>
      </c>
      <c r="C91" s="60"/>
      <c r="D91" s="177"/>
      <c r="E91" s="60"/>
      <c r="F91" s="63"/>
      <c r="G91" s="149">
        <f t="shared" si="57"/>
        <v>0</v>
      </c>
      <c r="H91" s="64"/>
      <c r="I91" s="149">
        <f t="shared" si="58"/>
        <v>0</v>
      </c>
      <c r="J91" s="64"/>
      <c r="K91" s="64"/>
      <c r="L91" s="64"/>
      <c r="M91" s="146">
        <f t="shared" si="59"/>
        <v>0</v>
      </c>
      <c r="N91" s="157">
        <f t="shared" si="60"/>
        <v>0</v>
      </c>
      <c r="O91" s="153">
        <f t="shared" si="61"/>
        <v>0</v>
      </c>
      <c r="P91" s="157">
        <f t="shared" si="62"/>
        <v>0</v>
      </c>
      <c r="Q91" s="153">
        <f t="shared" si="63"/>
        <v>0</v>
      </c>
      <c r="R91" s="153">
        <f t="shared" si="64"/>
        <v>0</v>
      </c>
      <c r="S91" s="153">
        <f t="shared" si="65"/>
        <v>0</v>
      </c>
      <c r="T91" s="153">
        <f t="shared" si="66"/>
        <v>0</v>
      </c>
      <c r="U91" s="153">
        <f t="shared" si="69"/>
        <v>0</v>
      </c>
      <c r="V91" s="157">
        <f t="shared" si="68"/>
        <v>0</v>
      </c>
    </row>
    <row r="92" spans="1:22" s="29" customFormat="1">
      <c r="A92" s="42"/>
      <c r="B92" s="55" t="s">
        <v>2985</v>
      </c>
      <c r="C92" s="60"/>
      <c r="D92" s="177"/>
      <c r="E92" s="60"/>
      <c r="F92" s="63"/>
      <c r="G92" s="149">
        <f t="shared" si="57"/>
        <v>0</v>
      </c>
      <c r="H92" s="64"/>
      <c r="I92" s="149">
        <f t="shared" si="58"/>
        <v>0</v>
      </c>
      <c r="J92" s="64"/>
      <c r="K92" s="64"/>
      <c r="L92" s="64"/>
      <c r="M92" s="146">
        <f t="shared" si="59"/>
        <v>0</v>
      </c>
      <c r="N92" s="157">
        <f t="shared" si="60"/>
        <v>0</v>
      </c>
      <c r="O92" s="153">
        <f t="shared" si="61"/>
        <v>0</v>
      </c>
      <c r="P92" s="157">
        <f t="shared" si="62"/>
        <v>0</v>
      </c>
      <c r="Q92" s="153">
        <f t="shared" si="63"/>
        <v>0</v>
      </c>
      <c r="R92" s="153">
        <f t="shared" si="64"/>
        <v>0</v>
      </c>
      <c r="S92" s="153">
        <f t="shared" si="65"/>
        <v>0</v>
      </c>
      <c r="T92" s="153">
        <f t="shared" si="66"/>
        <v>0</v>
      </c>
      <c r="U92" s="153">
        <f t="shared" si="69"/>
        <v>0</v>
      </c>
      <c r="V92" s="157">
        <f t="shared" si="68"/>
        <v>0</v>
      </c>
    </row>
    <row r="93" spans="1:22" s="29" customFormat="1">
      <c r="A93" s="42"/>
      <c r="B93" s="55" t="s">
        <v>2986</v>
      </c>
      <c r="C93" s="60"/>
      <c r="D93" s="177"/>
      <c r="E93" s="60"/>
      <c r="F93" s="63"/>
      <c r="G93" s="149">
        <f t="shared" si="57"/>
        <v>0</v>
      </c>
      <c r="H93" s="64"/>
      <c r="I93" s="149">
        <f t="shared" si="58"/>
        <v>0</v>
      </c>
      <c r="J93" s="64"/>
      <c r="K93" s="64"/>
      <c r="L93" s="64"/>
      <c r="M93" s="146">
        <f t="shared" si="59"/>
        <v>0</v>
      </c>
      <c r="N93" s="157">
        <f t="shared" si="60"/>
        <v>0</v>
      </c>
      <c r="O93" s="153">
        <f t="shared" si="61"/>
        <v>0</v>
      </c>
      <c r="P93" s="157">
        <f t="shared" si="62"/>
        <v>0</v>
      </c>
      <c r="Q93" s="153">
        <f t="shared" si="63"/>
        <v>0</v>
      </c>
      <c r="R93" s="153">
        <f t="shared" si="64"/>
        <v>0</v>
      </c>
      <c r="S93" s="153">
        <f t="shared" si="65"/>
        <v>0</v>
      </c>
      <c r="T93" s="153">
        <f t="shared" si="66"/>
        <v>0</v>
      </c>
      <c r="U93" s="153">
        <f t="shared" si="69"/>
        <v>0</v>
      </c>
      <c r="V93" s="157">
        <f t="shared" si="68"/>
        <v>0</v>
      </c>
    </row>
    <row r="94" spans="1:22" s="65" customFormat="1">
      <c r="A94" s="42"/>
      <c r="B94" s="55" t="s">
        <v>2987</v>
      </c>
      <c r="C94" s="60"/>
      <c r="D94" s="177"/>
      <c r="E94" s="60"/>
      <c r="F94" s="63"/>
      <c r="G94" s="149">
        <f t="shared" si="57"/>
        <v>0</v>
      </c>
      <c r="H94" s="64"/>
      <c r="I94" s="149">
        <f t="shared" si="58"/>
        <v>0</v>
      </c>
      <c r="J94" s="64"/>
      <c r="K94" s="64"/>
      <c r="L94" s="64"/>
      <c r="M94" s="146">
        <f t="shared" si="59"/>
        <v>0</v>
      </c>
      <c r="N94" s="157">
        <f t="shared" si="60"/>
        <v>0</v>
      </c>
      <c r="O94" s="153">
        <f t="shared" si="61"/>
        <v>0</v>
      </c>
      <c r="P94" s="157">
        <f t="shared" si="62"/>
        <v>0</v>
      </c>
      <c r="Q94" s="153">
        <f t="shared" si="63"/>
        <v>0</v>
      </c>
      <c r="R94" s="153">
        <f t="shared" si="64"/>
        <v>0</v>
      </c>
      <c r="S94" s="153">
        <f t="shared" si="65"/>
        <v>0</v>
      </c>
      <c r="T94" s="153">
        <f t="shared" si="66"/>
        <v>0</v>
      </c>
      <c r="U94" s="153">
        <f t="shared" si="69"/>
        <v>0</v>
      </c>
      <c r="V94" s="157">
        <f t="shared" si="68"/>
        <v>0</v>
      </c>
    </row>
    <row r="95" spans="1:22" s="65" customFormat="1">
      <c r="A95" s="42"/>
      <c r="B95" s="55" t="s">
        <v>2988</v>
      </c>
      <c r="C95" s="60"/>
      <c r="D95" s="177"/>
      <c r="E95" s="60"/>
      <c r="F95" s="63"/>
      <c r="G95" s="149">
        <f t="shared" si="57"/>
        <v>0</v>
      </c>
      <c r="H95" s="64"/>
      <c r="I95" s="149">
        <f t="shared" si="58"/>
        <v>0</v>
      </c>
      <c r="J95" s="64"/>
      <c r="K95" s="64"/>
      <c r="L95" s="64"/>
      <c r="M95" s="146">
        <f t="shared" si="59"/>
        <v>0</v>
      </c>
      <c r="N95" s="157">
        <f t="shared" si="60"/>
        <v>0</v>
      </c>
      <c r="O95" s="153">
        <f t="shared" si="61"/>
        <v>0</v>
      </c>
      <c r="P95" s="157">
        <f t="shared" si="62"/>
        <v>0</v>
      </c>
      <c r="Q95" s="153">
        <f t="shared" si="63"/>
        <v>0</v>
      </c>
      <c r="R95" s="153">
        <f t="shared" si="64"/>
        <v>0</v>
      </c>
      <c r="S95" s="153">
        <f t="shared" si="65"/>
        <v>0</v>
      </c>
      <c r="T95" s="153">
        <f t="shared" si="66"/>
        <v>0</v>
      </c>
      <c r="U95" s="153">
        <f t="shared" si="69"/>
        <v>0</v>
      </c>
      <c r="V95" s="157">
        <f t="shared" si="68"/>
        <v>0</v>
      </c>
    </row>
    <row r="96" spans="1:22" s="29" customFormat="1" ht="25.5">
      <c r="A96" s="42"/>
      <c r="B96" s="55" t="s">
        <v>2989</v>
      </c>
      <c r="C96" s="60"/>
      <c r="D96" s="177"/>
      <c r="E96" s="60"/>
      <c r="F96" s="63"/>
      <c r="G96" s="149">
        <f>H96+I96+M96</f>
        <v>0</v>
      </c>
      <c r="H96" s="64"/>
      <c r="I96" s="149">
        <f t="shared" si="58"/>
        <v>0</v>
      </c>
      <c r="J96" s="64"/>
      <c r="K96" s="64"/>
      <c r="L96" s="64"/>
      <c r="M96" s="146">
        <f t="shared" si="59"/>
        <v>0</v>
      </c>
      <c r="N96" s="157">
        <f t="shared" si="60"/>
        <v>0</v>
      </c>
      <c r="O96" s="153">
        <f t="shared" si="61"/>
        <v>0</v>
      </c>
      <c r="P96" s="157">
        <f t="shared" si="62"/>
        <v>0</v>
      </c>
      <c r="Q96" s="153">
        <f t="shared" si="63"/>
        <v>0</v>
      </c>
      <c r="R96" s="153">
        <f t="shared" si="64"/>
        <v>0</v>
      </c>
      <c r="S96" s="153">
        <f t="shared" si="65"/>
        <v>0</v>
      </c>
      <c r="T96" s="153">
        <f t="shared" si="66"/>
        <v>0</v>
      </c>
      <c r="U96" s="153">
        <f t="shared" si="69"/>
        <v>0</v>
      </c>
      <c r="V96" s="157">
        <f t="shared" si="68"/>
        <v>0</v>
      </c>
    </row>
    <row r="97" spans="1:22" s="29" customFormat="1">
      <c r="A97" s="42"/>
      <c r="B97" s="55" t="s">
        <v>2990</v>
      </c>
      <c r="C97" s="60"/>
      <c r="D97" s="177"/>
      <c r="E97" s="60"/>
      <c r="F97" s="63"/>
      <c r="G97" s="149">
        <f>H97+I97+M97</f>
        <v>0</v>
      </c>
      <c r="H97" s="64"/>
      <c r="I97" s="149">
        <f t="shared" si="58"/>
        <v>0</v>
      </c>
      <c r="J97" s="64"/>
      <c r="K97" s="64"/>
      <c r="L97" s="64"/>
      <c r="M97" s="146">
        <f t="shared" si="59"/>
        <v>0</v>
      </c>
      <c r="N97" s="157">
        <f t="shared" si="60"/>
        <v>0</v>
      </c>
      <c r="O97" s="153">
        <f t="shared" si="61"/>
        <v>0</v>
      </c>
      <c r="P97" s="157">
        <f t="shared" si="62"/>
        <v>0</v>
      </c>
      <c r="Q97" s="153">
        <f t="shared" si="63"/>
        <v>0</v>
      </c>
      <c r="R97" s="153">
        <f t="shared" si="64"/>
        <v>0</v>
      </c>
      <c r="S97" s="153">
        <f t="shared" si="65"/>
        <v>0</v>
      </c>
      <c r="T97" s="153">
        <f t="shared" si="66"/>
        <v>0</v>
      </c>
      <c r="U97" s="153">
        <f t="shared" si="69"/>
        <v>0</v>
      </c>
      <c r="V97" s="157">
        <f t="shared" si="68"/>
        <v>0</v>
      </c>
    </row>
    <row r="98" spans="1:22" s="29" customFormat="1">
      <c r="A98" s="34" t="s">
        <v>7</v>
      </c>
      <c r="B98" s="35" t="s">
        <v>2991</v>
      </c>
      <c r="C98" s="36">
        <f>C99+C100+C101</f>
        <v>0</v>
      </c>
      <c r="D98" s="173">
        <f t="shared" ref="D98:V98" si="70">D99+D100+D101</f>
        <v>0</v>
      </c>
      <c r="E98" s="36">
        <f t="shared" si="70"/>
        <v>0</v>
      </c>
      <c r="F98" s="36">
        <f t="shared" si="70"/>
        <v>0</v>
      </c>
      <c r="G98" s="144">
        <f t="shared" si="70"/>
        <v>0</v>
      </c>
      <c r="H98" s="37">
        <f t="shared" si="70"/>
        <v>0</v>
      </c>
      <c r="I98" s="144">
        <f t="shared" si="70"/>
        <v>0</v>
      </c>
      <c r="J98" s="37">
        <f t="shared" si="70"/>
        <v>0</v>
      </c>
      <c r="K98" s="37">
        <f t="shared" si="70"/>
        <v>0</v>
      </c>
      <c r="L98" s="37">
        <f t="shared" si="70"/>
        <v>0</v>
      </c>
      <c r="M98" s="144">
        <f t="shared" si="70"/>
        <v>0</v>
      </c>
      <c r="N98" s="155">
        <f t="shared" si="70"/>
        <v>0</v>
      </c>
      <c r="O98" s="155">
        <f t="shared" si="70"/>
        <v>0</v>
      </c>
      <c r="P98" s="155">
        <f t="shared" si="70"/>
        <v>0</v>
      </c>
      <c r="Q98" s="155">
        <f t="shared" si="70"/>
        <v>0</v>
      </c>
      <c r="R98" s="155">
        <f t="shared" si="70"/>
        <v>0</v>
      </c>
      <c r="S98" s="155">
        <f t="shared" si="70"/>
        <v>0</v>
      </c>
      <c r="T98" s="155">
        <f t="shared" si="70"/>
        <v>0</v>
      </c>
      <c r="U98" s="155">
        <f t="shared" si="70"/>
        <v>0</v>
      </c>
      <c r="V98" s="155">
        <f t="shared" si="70"/>
        <v>0</v>
      </c>
    </row>
    <row r="99" spans="1:22" s="29" customFormat="1">
      <c r="A99" s="42"/>
      <c r="B99" s="55" t="s">
        <v>2992</v>
      </c>
      <c r="C99" s="60"/>
      <c r="D99" s="177"/>
      <c r="E99" s="60"/>
      <c r="F99" s="66"/>
      <c r="G99" s="148">
        <f>H99+I99+M99</f>
        <v>0</v>
      </c>
      <c r="H99" s="62"/>
      <c r="I99" s="148">
        <f>SUM(J99:L99)</f>
        <v>0</v>
      </c>
      <c r="J99" s="62"/>
      <c r="K99" s="62"/>
      <c r="L99" s="62"/>
      <c r="M99" s="149">
        <f>(H99+J99+K99)*1%</f>
        <v>0</v>
      </c>
      <c r="N99" s="156">
        <f>O99+P99+T99</f>
        <v>0</v>
      </c>
      <c r="O99" s="153">
        <f t="shared" si="61"/>
        <v>0</v>
      </c>
      <c r="P99" s="156">
        <f>SUM(Q99:S99)</f>
        <v>0</v>
      </c>
      <c r="Q99" s="153">
        <f t="shared" ref="Q99:Q100" si="71">(J99/1.39)*1.49</f>
        <v>0</v>
      </c>
      <c r="R99" s="153">
        <f t="shared" ref="R99:R100" si="72">(K99/1.39)*1.49</f>
        <v>0</v>
      </c>
      <c r="S99" s="153">
        <f t="shared" ref="S99:S100" si="73">(L99/1.39)*1.49</f>
        <v>0</v>
      </c>
      <c r="T99" s="153">
        <f>(O99+P99)*1%</f>
        <v>0</v>
      </c>
      <c r="U99" s="153">
        <f t="shared" si="69"/>
        <v>0</v>
      </c>
      <c r="V99" s="156">
        <f>U99*6</f>
        <v>0</v>
      </c>
    </row>
    <row r="100" spans="1:22" s="29" customFormat="1">
      <c r="A100" s="42"/>
      <c r="B100" s="55" t="s">
        <v>2643</v>
      </c>
      <c r="C100" s="60"/>
      <c r="D100" s="177"/>
      <c r="E100" s="60"/>
      <c r="F100" s="60"/>
      <c r="G100" s="147">
        <f t="shared" ref="G100" si="74">H100+I100+M100</f>
        <v>0</v>
      </c>
      <c r="H100" s="53"/>
      <c r="I100" s="147">
        <f t="shared" ref="I100" si="75">SUM(J100:L100)</f>
        <v>0</v>
      </c>
      <c r="J100" s="53"/>
      <c r="K100" s="53"/>
      <c r="L100" s="53"/>
      <c r="M100" s="147"/>
      <c r="N100" s="154">
        <f t="shared" ref="N100" si="76">O100+P100+T100</f>
        <v>0</v>
      </c>
      <c r="O100" s="153">
        <f t="shared" si="61"/>
        <v>0</v>
      </c>
      <c r="P100" s="154">
        <f t="shared" ref="P100" si="77">SUM(Q100:S100)</f>
        <v>0</v>
      </c>
      <c r="Q100" s="153">
        <f t="shared" si="71"/>
        <v>0</v>
      </c>
      <c r="R100" s="153">
        <f t="shared" si="72"/>
        <v>0</v>
      </c>
      <c r="S100" s="153">
        <f t="shared" si="73"/>
        <v>0</v>
      </c>
      <c r="T100" s="153">
        <f>(O100+P100)*1%</f>
        <v>0</v>
      </c>
      <c r="U100" s="154">
        <f t="shared" ref="U100" si="78">N100-G100</f>
        <v>0</v>
      </c>
      <c r="V100" s="154">
        <f t="shared" ref="V100" si="79">U100*6</f>
        <v>0</v>
      </c>
    </row>
    <row r="101" spans="1:22" s="29" customFormat="1">
      <c r="A101" s="40"/>
      <c r="B101" s="41" t="s">
        <v>2993</v>
      </c>
      <c r="C101" s="38">
        <f>C102+C105+C111+C112+C113+C114+C115</f>
        <v>0</v>
      </c>
      <c r="D101" s="174">
        <f t="shared" ref="D101:V101" si="80">D102+D105+D111+D112+D113+D114+D115</f>
        <v>0</v>
      </c>
      <c r="E101" s="38">
        <f t="shared" si="80"/>
        <v>0</v>
      </c>
      <c r="F101" s="38">
        <f t="shared" si="80"/>
        <v>0</v>
      </c>
      <c r="G101" s="145">
        <f t="shared" si="80"/>
        <v>0</v>
      </c>
      <c r="H101" s="39">
        <f t="shared" si="80"/>
        <v>0</v>
      </c>
      <c r="I101" s="145">
        <f t="shared" si="80"/>
        <v>0</v>
      </c>
      <c r="J101" s="39">
        <f t="shared" si="80"/>
        <v>0</v>
      </c>
      <c r="K101" s="39">
        <f t="shared" si="80"/>
        <v>0</v>
      </c>
      <c r="L101" s="39">
        <f t="shared" si="80"/>
        <v>0</v>
      </c>
      <c r="M101" s="145">
        <f t="shared" si="80"/>
        <v>0</v>
      </c>
      <c r="N101" s="158">
        <f t="shared" si="80"/>
        <v>0</v>
      </c>
      <c r="O101" s="158">
        <f t="shared" si="80"/>
        <v>0</v>
      </c>
      <c r="P101" s="158">
        <f t="shared" si="80"/>
        <v>0</v>
      </c>
      <c r="Q101" s="158">
        <f t="shared" si="80"/>
        <v>0</v>
      </c>
      <c r="R101" s="158">
        <f t="shared" si="80"/>
        <v>0</v>
      </c>
      <c r="S101" s="158">
        <f t="shared" si="80"/>
        <v>0</v>
      </c>
      <c r="T101" s="158">
        <f t="shared" si="80"/>
        <v>0</v>
      </c>
      <c r="U101" s="158">
        <f t="shared" si="80"/>
        <v>0</v>
      </c>
      <c r="V101" s="158">
        <f t="shared" si="80"/>
        <v>0</v>
      </c>
    </row>
    <row r="102" spans="1:22" s="29" customFormat="1">
      <c r="A102" s="40"/>
      <c r="B102" s="41" t="s">
        <v>2619</v>
      </c>
      <c r="C102" s="38">
        <f>C103+C104</f>
        <v>0</v>
      </c>
      <c r="D102" s="174">
        <f t="shared" ref="D102:V102" si="81">D103+D104</f>
        <v>0</v>
      </c>
      <c r="E102" s="38">
        <f t="shared" si="81"/>
        <v>0</v>
      </c>
      <c r="F102" s="38">
        <f t="shared" si="81"/>
        <v>0</v>
      </c>
      <c r="G102" s="145">
        <f t="shared" si="81"/>
        <v>0</v>
      </c>
      <c r="H102" s="39">
        <f t="shared" si="81"/>
        <v>0</v>
      </c>
      <c r="I102" s="145">
        <f t="shared" si="81"/>
        <v>0</v>
      </c>
      <c r="J102" s="39">
        <f t="shared" si="81"/>
        <v>0</v>
      </c>
      <c r="K102" s="39">
        <f t="shared" si="81"/>
        <v>0</v>
      </c>
      <c r="L102" s="39">
        <f t="shared" si="81"/>
        <v>0</v>
      </c>
      <c r="M102" s="145">
        <f t="shared" si="81"/>
        <v>0</v>
      </c>
      <c r="N102" s="158">
        <f t="shared" si="81"/>
        <v>0</v>
      </c>
      <c r="O102" s="158">
        <f t="shared" si="81"/>
        <v>0</v>
      </c>
      <c r="P102" s="158">
        <f t="shared" si="81"/>
        <v>0</v>
      </c>
      <c r="Q102" s="158">
        <f t="shared" si="81"/>
        <v>0</v>
      </c>
      <c r="R102" s="158">
        <f t="shared" si="81"/>
        <v>0</v>
      </c>
      <c r="S102" s="158">
        <f t="shared" si="81"/>
        <v>0</v>
      </c>
      <c r="T102" s="158">
        <f t="shared" si="81"/>
        <v>0</v>
      </c>
      <c r="U102" s="158">
        <f t="shared" si="81"/>
        <v>0</v>
      </c>
      <c r="V102" s="158">
        <f t="shared" si="81"/>
        <v>0</v>
      </c>
    </row>
    <row r="103" spans="1:22" s="29" customFormat="1">
      <c r="A103" s="42"/>
      <c r="B103" s="55" t="s">
        <v>2620</v>
      </c>
      <c r="C103" s="60"/>
      <c r="D103" s="177"/>
      <c r="E103" s="60"/>
      <c r="F103" s="66"/>
      <c r="G103" s="149">
        <f>H103+I103+M103</f>
        <v>0</v>
      </c>
      <c r="H103" s="64"/>
      <c r="I103" s="149">
        <f>SUM(J103:L103)</f>
        <v>0</v>
      </c>
      <c r="J103" s="64"/>
      <c r="K103" s="64"/>
      <c r="L103" s="64"/>
      <c r="M103" s="146">
        <f t="shared" ref="M103:M104" si="82">(H103+I103)*1%</f>
        <v>0</v>
      </c>
      <c r="N103" s="157">
        <f>O103+P103+T103</f>
        <v>0</v>
      </c>
      <c r="O103" s="153">
        <f t="shared" ref="O103:O115" si="83">(H103/1.39)*1.49</f>
        <v>0</v>
      </c>
      <c r="P103" s="157">
        <f>SUM(Q103:S103)</f>
        <v>0</v>
      </c>
      <c r="Q103" s="153">
        <f t="shared" ref="Q103:Q104" si="84">(J103/1.39)*1.49</f>
        <v>0</v>
      </c>
      <c r="R103" s="153">
        <f t="shared" ref="R103:R104" si="85">(K103/1.39)*1.49</f>
        <v>0</v>
      </c>
      <c r="S103" s="153">
        <f t="shared" ref="S103:S104" si="86">(L103/1.39)*1.49</f>
        <v>0</v>
      </c>
      <c r="T103" s="153">
        <f t="shared" ref="T103:T104" si="87">(O103+P103)*1%</f>
        <v>0</v>
      </c>
      <c r="U103" s="153">
        <f t="shared" ref="U103:U104" si="88">T103-M103</f>
        <v>0</v>
      </c>
      <c r="V103" s="157">
        <f>U103*6</f>
        <v>0</v>
      </c>
    </row>
    <row r="104" spans="1:22" s="29" customFormat="1">
      <c r="A104" s="42"/>
      <c r="B104" s="55" t="s">
        <v>2621</v>
      </c>
      <c r="C104" s="60"/>
      <c r="D104" s="177"/>
      <c r="E104" s="60"/>
      <c r="F104" s="66"/>
      <c r="G104" s="149">
        <f>H104+I104+M104</f>
        <v>0</v>
      </c>
      <c r="H104" s="64"/>
      <c r="I104" s="149">
        <f>SUM(J104:L104)</f>
        <v>0</v>
      </c>
      <c r="J104" s="64"/>
      <c r="K104" s="64"/>
      <c r="L104" s="64"/>
      <c r="M104" s="146">
        <f t="shared" si="82"/>
        <v>0</v>
      </c>
      <c r="N104" s="157">
        <f>O104+P104+T104</f>
        <v>0</v>
      </c>
      <c r="O104" s="153">
        <f t="shared" si="83"/>
        <v>0</v>
      </c>
      <c r="P104" s="157">
        <f>SUM(Q104:S104)</f>
        <v>0</v>
      </c>
      <c r="Q104" s="153">
        <f t="shared" si="84"/>
        <v>0</v>
      </c>
      <c r="R104" s="153">
        <f t="shared" si="85"/>
        <v>0</v>
      </c>
      <c r="S104" s="153">
        <f t="shared" si="86"/>
        <v>0</v>
      </c>
      <c r="T104" s="153">
        <f t="shared" si="87"/>
        <v>0</v>
      </c>
      <c r="U104" s="153">
        <f t="shared" si="88"/>
        <v>0</v>
      </c>
      <c r="V104" s="157">
        <f>U104*6</f>
        <v>0</v>
      </c>
    </row>
    <row r="105" spans="1:22" s="29" customFormat="1">
      <c r="A105" s="40"/>
      <c r="B105" s="41" t="s">
        <v>2622</v>
      </c>
      <c r="C105" s="38">
        <f>C106+C107+C108+C109+C110</f>
        <v>0</v>
      </c>
      <c r="D105" s="174">
        <f t="shared" ref="D105:V105" si="89">D106+D107+D108+D109+D110</f>
        <v>0</v>
      </c>
      <c r="E105" s="38">
        <f t="shared" si="89"/>
        <v>0</v>
      </c>
      <c r="F105" s="38">
        <f t="shared" si="89"/>
        <v>0</v>
      </c>
      <c r="G105" s="145">
        <f t="shared" si="89"/>
        <v>0</v>
      </c>
      <c r="H105" s="39">
        <f t="shared" si="89"/>
        <v>0</v>
      </c>
      <c r="I105" s="145">
        <f t="shared" si="89"/>
        <v>0</v>
      </c>
      <c r="J105" s="39">
        <f t="shared" si="89"/>
        <v>0</v>
      </c>
      <c r="K105" s="39">
        <f t="shared" si="89"/>
        <v>0</v>
      </c>
      <c r="L105" s="39">
        <f t="shared" si="89"/>
        <v>0</v>
      </c>
      <c r="M105" s="145">
        <f t="shared" si="89"/>
        <v>0</v>
      </c>
      <c r="N105" s="158">
        <f t="shared" si="89"/>
        <v>0</v>
      </c>
      <c r="O105" s="158">
        <f t="shared" si="89"/>
        <v>0</v>
      </c>
      <c r="P105" s="158">
        <f t="shared" si="89"/>
        <v>0</v>
      </c>
      <c r="Q105" s="158">
        <f t="shared" si="89"/>
        <v>0</v>
      </c>
      <c r="R105" s="158">
        <f t="shared" si="89"/>
        <v>0</v>
      </c>
      <c r="S105" s="158">
        <f t="shared" si="89"/>
        <v>0</v>
      </c>
      <c r="T105" s="158">
        <f t="shared" si="89"/>
        <v>0</v>
      </c>
      <c r="U105" s="158">
        <f t="shared" si="89"/>
        <v>0</v>
      </c>
      <c r="V105" s="158">
        <f t="shared" si="89"/>
        <v>0</v>
      </c>
    </row>
    <row r="106" spans="1:22" s="29" customFormat="1">
      <c r="A106" s="42"/>
      <c r="B106" s="55" t="s">
        <v>2899</v>
      </c>
      <c r="C106" s="60"/>
      <c r="D106" s="177"/>
      <c r="E106" s="60"/>
      <c r="F106" s="66"/>
      <c r="G106" s="149">
        <f t="shared" ref="G106:G115" si="90">H106+I106+M106</f>
        <v>0</v>
      </c>
      <c r="H106" s="64"/>
      <c r="I106" s="149">
        <f t="shared" ref="I106:I115" si="91">SUM(J106:L106)</f>
        <v>0</v>
      </c>
      <c r="J106" s="64"/>
      <c r="K106" s="64"/>
      <c r="L106" s="64"/>
      <c r="M106" s="146">
        <f t="shared" ref="M106:M115" si="92">(H106+I106)*1%</f>
        <v>0</v>
      </c>
      <c r="N106" s="157">
        <f t="shared" ref="N106:N115" si="93">O106+P106+T106</f>
        <v>0</v>
      </c>
      <c r="O106" s="153">
        <f t="shared" si="83"/>
        <v>0</v>
      </c>
      <c r="P106" s="157">
        <f>SUM(Q106:S106)</f>
        <v>0</v>
      </c>
      <c r="Q106" s="153">
        <f t="shared" ref="Q106:Q115" si="94">(J106/1.39)*1.49</f>
        <v>0</v>
      </c>
      <c r="R106" s="153">
        <f t="shared" ref="R106:R115" si="95">(K106/1.39)*1.49</f>
        <v>0</v>
      </c>
      <c r="S106" s="153">
        <f t="shared" ref="S106:S115" si="96">(L106/1.39)*1.49</f>
        <v>0</v>
      </c>
      <c r="T106" s="153">
        <f t="shared" ref="T106:T115" si="97">(O106+P106)*1%</f>
        <v>0</v>
      </c>
      <c r="U106" s="153">
        <f t="shared" ref="U106:U115" si="98">T106-M106</f>
        <v>0</v>
      </c>
      <c r="V106" s="157">
        <f t="shared" ref="V106:V115" si="99">U106*6</f>
        <v>0</v>
      </c>
    </row>
    <row r="107" spans="1:22" s="29" customFormat="1">
      <c r="A107" s="42"/>
      <c r="B107" s="55" t="s">
        <v>2900</v>
      </c>
      <c r="C107" s="60"/>
      <c r="D107" s="177"/>
      <c r="E107" s="60"/>
      <c r="F107" s="66"/>
      <c r="G107" s="149">
        <f t="shared" si="90"/>
        <v>0</v>
      </c>
      <c r="H107" s="64"/>
      <c r="I107" s="149">
        <f t="shared" si="91"/>
        <v>0</v>
      </c>
      <c r="J107" s="64"/>
      <c r="K107" s="64"/>
      <c r="L107" s="64"/>
      <c r="M107" s="146">
        <f t="shared" si="92"/>
        <v>0</v>
      </c>
      <c r="N107" s="157">
        <f t="shared" si="93"/>
        <v>0</v>
      </c>
      <c r="O107" s="153">
        <f t="shared" si="83"/>
        <v>0</v>
      </c>
      <c r="P107" s="157">
        <f>SUM(Q107:S107)</f>
        <v>0</v>
      </c>
      <c r="Q107" s="153">
        <f t="shared" si="94"/>
        <v>0</v>
      </c>
      <c r="R107" s="153">
        <f t="shared" si="95"/>
        <v>0</v>
      </c>
      <c r="S107" s="153">
        <f t="shared" si="96"/>
        <v>0</v>
      </c>
      <c r="T107" s="153">
        <f t="shared" si="97"/>
        <v>0</v>
      </c>
      <c r="U107" s="153">
        <f t="shared" si="98"/>
        <v>0</v>
      </c>
      <c r="V107" s="157">
        <f t="shared" si="99"/>
        <v>0</v>
      </c>
    </row>
    <row r="108" spans="1:22" s="29" customFormat="1">
      <c r="A108" s="42"/>
      <c r="B108" s="55" t="s">
        <v>2901</v>
      </c>
      <c r="C108" s="60"/>
      <c r="D108" s="177"/>
      <c r="E108" s="60"/>
      <c r="F108" s="66"/>
      <c r="G108" s="149">
        <f t="shared" si="90"/>
        <v>0</v>
      </c>
      <c r="H108" s="64"/>
      <c r="I108" s="149">
        <f t="shared" si="91"/>
        <v>0</v>
      </c>
      <c r="J108" s="64"/>
      <c r="K108" s="64"/>
      <c r="L108" s="64"/>
      <c r="M108" s="146">
        <f t="shared" si="92"/>
        <v>0</v>
      </c>
      <c r="N108" s="157">
        <f t="shared" si="93"/>
        <v>0</v>
      </c>
      <c r="O108" s="153">
        <f t="shared" si="83"/>
        <v>0</v>
      </c>
      <c r="P108" s="157">
        <f t="shared" ref="P108:P115" si="100">SUM(Q108:S108)</f>
        <v>0</v>
      </c>
      <c r="Q108" s="153">
        <f t="shared" si="94"/>
        <v>0</v>
      </c>
      <c r="R108" s="153">
        <f t="shared" si="95"/>
        <v>0</v>
      </c>
      <c r="S108" s="153">
        <f t="shared" si="96"/>
        <v>0</v>
      </c>
      <c r="T108" s="153">
        <f t="shared" si="97"/>
        <v>0</v>
      </c>
      <c r="U108" s="153">
        <f t="shared" si="98"/>
        <v>0</v>
      </c>
      <c r="V108" s="157">
        <f t="shared" si="99"/>
        <v>0</v>
      </c>
    </row>
    <row r="109" spans="1:22" s="29" customFormat="1">
      <c r="A109" s="42"/>
      <c r="B109" s="55" t="s">
        <v>2902</v>
      </c>
      <c r="C109" s="60"/>
      <c r="D109" s="177"/>
      <c r="E109" s="60"/>
      <c r="F109" s="66"/>
      <c r="G109" s="149">
        <f t="shared" si="90"/>
        <v>0</v>
      </c>
      <c r="H109" s="64"/>
      <c r="I109" s="149">
        <f t="shared" si="91"/>
        <v>0</v>
      </c>
      <c r="J109" s="64"/>
      <c r="K109" s="64"/>
      <c r="L109" s="64"/>
      <c r="M109" s="146">
        <f t="shared" si="92"/>
        <v>0</v>
      </c>
      <c r="N109" s="157">
        <f t="shared" si="93"/>
        <v>0</v>
      </c>
      <c r="O109" s="153">
        <f t="shared" si="83"/>
        <v>0</v>
      </c>
      <c r="P109" s="157">
        <f t="shared" si="100"/>
        <v>0</v>
      </c>
      <c r="Q109" s="153">
        <f t="shared" si="94"/>
        <v>0</v>
      </c>
      <c r="R109" s="153">
        <f t="shared" si="95"/>
        <v>0</v>
      </c>
      <c r="S109" s="153">
        <f t="shared" si="96"/>
        <v>0</v>
      </c>
      <c r="T109" s="153">
        <f t="shared" si="97"/>
        <v>0</v>
      </c>
      <c r="U109" s="153">
        <f t="shared" si="98"/>
        <v>0</v>
      </c>
      <c r="V109" s="157">
        <f t="shared" si="99"/>
        <v>0</v>
      </c>
    </row>
    <row r="110" spans="1:22" s="29" customFormat="1">
      <c r="A110" s="42"/>
      <c r="B110" s="55" t="s">
        <v>2903</v>
      </c>
      <c r="C110" s="60"/>
      <c r="D110" s="177"/>
      <c r="E110" s="60"/>
      <c r="F110" s="66"/>
      <c r="G110" s="149">
        <f t="shared" si="90"/>
        <v>0</v>
      </c>
      <c r="H110" s="64"/>
      <c r="I110" s="149">
        <f t="shared" si="91"/>
        <v>0</v>
      </c>
      <c r="J110" s="64"/>
      <c r="K110" s="64"/>
      <c r="L110" s="64"/>
      <c r="M110" s="146">
        <f t="shared" si="92"/>
        <v>0</v>
      </c>
      <c r="N110" s="157">
        <f t="shared" si="93"/>
        <v>0</v>
      </c>
      <c r="O110" s="153">
        <f t="shared" si="83"/>
        <v>0</v>
      </c>
      <c r="P110" s="157">
        <f t="shared" si="100"/>
        <v>0</v>
      </c>
      <c r="Q110" s="153">
        <f t="shared" si="94"/>
        <v>0</v>
      </c>
      <c r="R110" s="153">
        <f t="shared" si="95"/>
        <v>0</v>
      </c>
      <c r="S110" s="153">
        <f t="shared" si="96"/>
        <v>0</v>
      </c>
      <c r="T110" s="153">
        <f t="shared" si="97"/>
        <v>0</v>
      </c>
      <c r="U110" s="153">
        <f t="shared" si="98"/>
        <v>0</v>
      </c>
      <c r="V110" s="157">
        <f t="shared" si="99"/>
        <v>0</v>
      </c>
    </row>
    <row r="111" spans="1:22" s="29" customFormat="1">
      <c r="A111" s="42"/>
      <c r="B111" s="55" t="s">
        <v>2628</v>
      </c>
      <c r="C111" s="60"/>
      <c r="D111" s="177"/>
      <c r="E111" s="60"/>
      <c r="F111" s="66"/>
      <c r="G111" s="149">
        <f t="shared" si="90"/>
        <v>0</v>
      </c>
      <c r="H111" s="64"/>
      <c r="I111" s="149">
        <f t="shared" si="91"/>
        <v>0</v>
      </c>
      <c r="J111" s="64"/>
      <c r="K111" s="64"/>
      <c r="L111" s="64"/>
      <c r="M111" s="146">
        <f t="shared" si="92"/>
        <v>0</v>
      </c>
      <c r="N111" s="157">
        <f t="shared" si="93"/>
        <v>0</v>
      </c>
      <c r="O111" s="153">
        <f t="shared" si="83"/>
        <v>0</v>
      </c>
      <c r="P111" s="157">
        <f t="shared" si="100"/>
        <v>0</v>
      </c>
      <c r="Q111" s="153">
        <f t="shared" si="94"/>
        <v>0</v>
      </c>
      <c r="R111" s="153">
        <f t="shared" si="95"/>
        <v>0</v>
      </c>
      <c r="S111" s="153">
        <f t="shared" si="96"/>
        <v>0</v>
      </c>
      <c r="T111" s="153">
        <f t="shared" si="97"/>
        <v>0</v>
      </c>
      <c r="U111" s="153">
        <f t="shared" si="98"/>
        <v>0</v>
      </c>
      <c r="V111" s="157">
        <f t="shared" si="99"/>
        <v>0</v>
      </c>
    </row>
    <row r="112" spans="1:22" s="29" customFormat="1">
      <c r="A112" s="42"/>
      <c r="B112" s="55" t="s">
        <v>2629</v>
      </c>
      <c r="C112" s="60"/>
      <c r="D112" s="177"/>
      <c r="E112" s="60"/>
      <c r="F112" s="66"/>
      <c r="G112" s="149">
        <f t="shared" si="90"/>
        <v>0</v>
      </c>
      <c r="H112" s="64"/>
      <c r="I112" s="149">
        <f t="shared" si="91"/>
        <v>0</v>
      </c>
      <c r="J112" s="64"/>
      <c r="K112" s="64"/>
      <c r="L112" s="64"/>
      <c r="M112" s="146">
        <f t="shared" si="92"/>
        <v>0</v>
      </c>
      <c r="N112" s="157">
        <f t="shared" si="93"/>
        <v>0</v>
      </c>
      <c r="O112" s="153">
        <f t="shared" si="83"/>
        <v>0</v>
      </c>
      <c r="P112" s="157">
        <f t="shared" si="100"/>
        <v>0</v>
      </c>
      <c r="Q112" s="153">
        <f t="shared" si="94"/>
        <v>0</v>
      </c>
      <c r="R112" s="153">
        <f t="shared" si="95"/>
        <v>0</v>
      </c>
      <c r="S112" s="153">
        <f t="shared" si="96"/>
        <v>0</v>
      </c>
      <c r="T112" s="153">
        <f t="shared" si="97"/>
        <v>0</v>
      </c>
      <c r="U112" s="153">
        <f t="shared" si="98"/>
        <v>0</v>
      </c>
      <c r="V112" s="157">
        <f t="shared" si="99"/>
        <v>0</v>
      </c>
    </row>
    <row r="113" spans="1:25" s="29" customFormat="1">
      <c r="A113" s="42"/>
      <c r="B113" s="55" t="s">
        <v>2630</v>
      </c>
      <c r="C113" s="60"/>
      <c r="D113" s="177"/>
      <c r="E113" s="60"/>
      <c r="F113" s="66"/>
      <c r="G113" s="149">
        <f t="shared" si="90"/>
        <v>0</v>
      </c>
      <c r="H113" s="64"/>
      <c r="I113" s="149">
        <f t="shared" si="91"/>
        <v>0</v>
      </c>
      <c r="J113" s="64"/>
      <c r="K113" s="64"/>
      <c r="L113" s="64"/>
      <c r="M113" s="146">
        <f t="shared" si="92"/>
        <v>0</v>
      </c>
      <c r="N113" s="157">
        <f t="shared" si="93"/>
        <v>0</v>
      </c>
      <c r="O113" s="153">
        <f t="shared" si="83"/>
        <v>0</v>
      </c>
      <c r="P113" s="157">
        <f t="shared" si="100"/>
        <v>0</v>
      </c>
      <c r="Q113" s="153">
        <f t="shared" si="94"/>
        <v>0</v>
      </c>
      <c r="R113" s="153">
        <f t="shared" si="95"/>
        <v>0</v>
      </c>
      <c r="S113" s="153">
        <f t="shared" si="96"/>
        <v>0</v>
      </c>
      <c r="T113" s="153">
        <f t="shared" si="97"/>
        <v>0</v>
      </c>
      <c r="U113" s="153">
        <f t="shared" si="98"/>
        <v>0</v>
      </c>
      <c r="V113" s="157">
        <f t="shared" si="99"/>
        <v>0</v>
      </c>
    </row>
    <row r="114" spans="1:25" s="29" customFormat="1">
      <c r="A114" s="42"/>
      <c r="B114" s="55" t="s">
        <v>2631</v>
      </c>
      <c r="C114" s="60"/>
      <c r="D114" s="177"/>
      <c r="E114" s="60"/>
      <c r="F114" s="66"/>
      <c r="G114" s="149">
        <f t="shared" si="90"/>
        <v>0</v>
      </c>
      <c r="H114" s="64"/>
      <c r="I114" s="149">
        <f t="shared" si="91"/>
        <v>0</v>
      </c>
      <c r="J114" s="64"/>
      <c r="K114" s="64"/>
      <c r="L114" s="64"/>
      <c r="M114" s="146">
        <f t="shared" si="92"/>
        <v>0</v>
      </c>
      <c r="N114" s="157">
        <f t="shared" si="93"/>
        <v>0</v>
      </c>
      <c r="O114" s="153">
        <f t="shared" si="83"/>
        <v>0</v>
      </c>
      <c r="P114" s="157">
        <f t="shared" si="100"/>
        <v>0</v>
      </c>
      <c r="Q114" s="153">
        <f t="shared" si="94"/>
        <v>0</v>
      </c>
      <c r="R114" s="153">
        <f t="shared" si="95"/>
        <v>0</v>
      </c>
      <c r="S114" s="153">
        <f t="shared" si="96"/>
        <v>0</v>
      </c>
      <c r="T114" s="153">
        <f t="shared" si="97"/>
        <v>0</v>
      </c>
      <c r="U114" s="153">
        <f t="shared" si="98"/>
        <v>0</v>
      </c>
      <c r="V114" s="157">
        <f t="shared" si="99"/>
        <v>0</v>
      </c>
    </row>
    <row r="115" spans="1:25" s="29" customFormat="1">
      <c r="A115" s="42"/>
      <c r="B115" s="68" t="s">
        <v>2904</v>
      </c>
      <c r="C115" s="60"/>
      <c r="D115" s="177"/>
      <c r="E115" s="60"/>
      <c r="F115" s="66"/>
      <c r="G115" s="149">
        <f t="shared" si="90"/>
        <v>0</v>
      </c>
      <c r="H115" s="64"/>
      <c r="I115" s="149">
        <f t="shared" si="91"/>
        <v>0</v>
      </c>
      <c r="J115" s="64"/>
      <c r="K115" s="64"/>
      <c r="L115" s="64"/>
      <c r="M115" s="146">
        <f t="shared" si="92"/>
        <v>0</v>
      </c>
      <c r="N115" s="157">
        <f t="shared" si="93"/>
        <v>0</v>
      </c>
      <c r="O115" s="153">
        <f t="shared" si="83"/>
        <v>0</v>
      </c>
      <c r="P115" s="157">
        <f t="shared" si="100"/>
        <v>0</v>
      </c>
      <c r="Q115" s="153">
        <f t="shared" si="94"/>
        <v>0</v>
      </c>
      <c r="R115" s="153">
        <f t="shared" si="95"/>
        <v>0</v>
      </c>
      <c r="S115" s="153">
        <f t="shared" si="96"/>
        <v>0</v>
      </c>
      <c r="T115" s="153">
        <f t="shared" si="97"/>
        <v>0</v>
      </c>
      <c r="U115" s="153">
        <f t="shared" si="98"/>
        <v>0</v>
      </c>
      <c r="V115" s="157">
        <f t="shared" si="99"/>
        <v>0</v>
      </c>
    </row>
    <row r="116" spans="1:25">
      <c r="A116" s="34">
        <v>3</v>
      </c>
      <c r="B116" s="35" t="s">
        <v>2994</v>
      </c>
      <c r="C116" s="69">
        <f>C117</f>
        <v>0</v>
      </c>
      <c r="D116" s="173">
        <f t="shared" ref="D116:V116" si="101">D117</f>
        <v>0</v>
      </c>
      <c r="E116" s="69">
        <f t="shared" si="101"/>
        <v>0</v>
      </c>
      <c r="F116" s="69">
        <f t="shared" si="101"/>
        <v>0</v>
      </c>
      <c r="G116" s="147">
        <f t="shared" si="101"/>
        <v>0</v>
      </c>
      <c r="H116" s="52">
        <f t="shared" si="101"/>
        <v>0</v>
      </c>
      <c r="I116" s="147">
        <f t="shared" si="101"/>
        <v>0</v>
      </c>
      <c r="J116" s="52">
        <f t="shared" si="101"/>
        <v>0</v>
      </c>
      <c r="K116" s="52">
        <f t="shared" si="101"/>
        <v>0</v>
      </c>
      <c r="L116" s="52">
        <f t="shared" si="101"/>
        <v>0</v>
      </c>
      <c r="M116" s="147">
        <f t="shared" si="101"/>
        <v>0</v>
      </c>
      <c r="N116" s="154">
        <f t="shared" si="101"/>
        <v>0</v>
      </c>
      <c r="O116" s="154">
        <f t="shared" si="101"/>
        <v>0</v>
      </c>
      <c r="P116" s="154">
        <f t="shared" si="101"/>
        <v>0</v>
      </c>
      <c r="Q116" s="154">
        <f t="shared" si="101"/>
        <v>0</v>
      </c>
      <c r="R116" s="154">
        <f t="shared" si="101"/>
        <v>0</v>
      </c>
      <c r="S116" s="154">
        <f t="shared" si="101"/>
        <v>0</v>
      </c>
      <c r="T116" s="154">
        <f t="shared" si="101"/>
        <v>0</v>
      </c>
      <c r="U116" s="154">
        <f t="shared" si="101"/>
        <v>0</v>
      </c>
      <c r="V116" s="154">
        <f t="shared" si="101"/>
        <v>0</v>
      </c>
    </row>
    <row r="117" spans="1:25">
      <c r="A117" s="40"/>
      <c r="B117" s="41" t="s">
        <v>2995</v>
      </c>
      <c r="C117" s="69">
        <f>SUM(C118:C123)</f>
        <v>0</v>
      </c>
      <c r="D117" s="173">
        <f t="shared" ref="D117:V117" si="102">SUM(D118:D123)</f>
        <v>0</v>
      </c>
      <c r="E117" s="69">
        <f t="shared" si="102"/>
        <v>0</v>
      </c>
      <c r="F117" s="69">
        <f t="shared" si="102"/>
        <v>0</v>
      </c>
      <c r="G117" s="147">
        <f t="shared" si="102"/>
        <v>0</v>
      </c>
      <c r="H117" s="52">
        <f t="shared" si="102"/>
        <v>0</v>
      </c>
      <c r="I117" s="147">
        <f t="shared" si="102"/>
        <v>0</v>
      </c>
      <c r="J117" s="52">
        <f t="shared" si="102"/>
        <v>0</v>
      </c>
      <c r="K117" s="52">
        <f t="shared" si="102"/>
        <v>0</v>
      </c>
      <c r="L117" s="52">
        <f t="shared" si="102"/>
        <v>0</v>
      </c>
      <c r="M117" s="147">
        <f t="shared" si="102"/>
        <v>0</v>
      </c>
      <c r="N117" s="154">
        <f t="shared" si="102"/>
        <v>0</v>
      </c>
      <c r="O117" s="154">
        <f t="shared" si="102"/>
        <v>0</v>
      </c>
      <c r="P117" s="154">
        <f t="shared" si="102"/>
        <v>0</v>
      </c>
      <c r="Q117" s="154">
        <f t="shared" si="102"/>
        <v>0</v>
      </c>
      <c r="R117" s="154">
        <f t="shared" si="102"/>
        <v>0</v>
      </c>
      <c r="S117" s="154">
        <f t="shared" si="102"/>
        <v>0</v>
      </c>
      <c r="T117" s="154">
        <f t="shared" si="102"/>
        <v>0</v>
      </c>
      <c r="U117" s="154">
        <f t="shared" si="102"/>
        <v>0</v>
      </c>
      <c r="V117" s="154">
        <f t="shared" si="102"/>
        <v>0</v>
      </c>
    </row>
    <row r="118" spans="1:25">
      <c r="A118" s="42"/>
      <c r="B118" s="55" t="s">
        <v>2996</v>
      </c>
      <c r="C118" s="60"/>
      <c r="D118" s="177"/>
      <c r="E118" s="60"/>
      <c r="F118" s="60"/>
      <c r="G118" s="147">
        <f t="shared" ref="G118:G123" si="103">H118+I118+M118</f>
        <v>0</v>
      </c>
      <c r="H118" s="53"/>
      <c r="I118" s="147">
        <f t="shared" ref="I118:I123" si="104">SUM(J118:L118)</f>
        <v>0</v>
      </c>
      <c r="J118" s="53"/>
      <c r="K118" s="53"/>
      <c r="L118" s="53"/>
      <c r="M118" s="146">
        <f t="shared" ref="M118:M123" si="105">(H118+I118)*1%</f>
        <v>0</v>
      </c>
      <c r="N118" s="154">
        <f t="shared" ref="N118:N123" si="106">O118+P118+T118</f>
        <v>0</v>
      </c>
      <c r="O118" s="153">
        <f t="shared" ref="O118:O123" si="107">(H118/1.39)*1.49</f>
        <v>0</v>
      </c>
      <c r="P118" s="154">
        <f t="shared" ref="P118:P123" si="108">SUM(Q118:S118)</f>
        <v>0</v>
      </c>
      <c r="Q118" s="153">
        <f t="shared" ref="Q118:Q123" si="109">(J118/1.39)*1.49</f>
        <v>0</v>
      </c>
      <c r="R118" s="153">
        <f t="shared" ref="R118:R123" si="110">(K118/1.39)*1.49</f>
        <v>0</v>
      </c>
      <c r="S118" s="153">
        <f t="shared" ref="S118:S123" si="111">(L118/1.39)*1.49</f>
        <v>0</v>
      </c>
      <c r="T118" s="153">
        <f t="shared" ref="T118:T123" si="112">(O118+P118)*1%</f>
        <v>0</v>
      </c>
      <c r="U118" s="154">
        <f t="shared" ref="U118:U119" si="113">N118-G118</f>
        <v>0</v>
      </c>
      <c r="V118" s="154">
        <f t="shared" ref="V118:V123" si="114">U118*6</f>
        <v>0</v>
      </c>
      <c r="W118" s="1171"/>
      <c r="X118" s="1171"/>
      <c r="Y118" s="1171"/>
    </row>
    <row r="119" spans="1:25">
      <c r="A119" s="42"/>
      <c r="B119" s="55" t="s">
        <v>2645</v>
      </c>
      <c r="C119" s="60"/>
      <c r="D119" s="177"/>
      <c r="E119" s="60"/>
      <c r="F119" s="60"/>
      <c r="G119" s="147">
        <f t="shared" si="103"/>
        <v>0</v>
      </c>
      <c r="H119" s="53"/>
      <c r="I119" s="147">
        <f t="shared" si="104"/>
        <v>0</v>
      </c>
      <c r="J119" s="53"/>
      <c r="K119" s="53"/>
      <c r="L119" s="53"/>
      <c r="M119" s="146">
        <f t="shared" si="105"/>
        <v>0</v>
      </c>
      <c r="N119" s="154">
        <f t="shared" si="106"/>
        <v>0</v>
      </c>
      <c r="O119" s="153">
        <f t="shared" si="107"/>
        <v>0</v>
      </c>
      <c r="P119" s="154">
        <f t="shared" si="108"/>
        <v>0</v>
      </c>
      <c r="Q119" s="153">
        <f t="shared" si="109"/>
        <v>0</v>
      </c>
      <c r="R119" s="153">
        <f t="shared" si="110"/>
        <v>0</v>
      </c>
      <c r="S119" s="153">
        <f t="shared" si="111"/>
        <v>0</v>
      </c>
      <c r="T119" s="153">
        <f t="shared" si="112"/>
        <v>0</v>
      </c>
      <c r="U119" s="154">
        <f t="shared" si="113"/>
        <v>0</v>
      </c>
      <c r="V119" s="154">
        <f t="shared" si="114"/>
        <v>0</v>
      </c>
      <c r="W119" s="1171"/>
      <c r="X119" s="1171"/>
      <c r="Y119" s="1171"/>
    </row>
    <row r="120" spans="1:25" ht="25.5">
      <c r="A120" s="42"/>
      <c r="B120" s="55" t="s">
        <v>2997</v>
      </c>
      <c r="C120" s="44"/>
      <c r="D120" s="175"/>
      <c r="E120" s="44"/>
      <c r="F120" s="44"/>
      <c r="G120" s="146">
        <f t="shared" si="103"/>
        <v>0</v>
      </c>
      <c r="H120" s="46"/>
      <c r="I120" s="146">
        <f t="shared" si="104"/>
        <v>0</v>
      </c>
      <c r="J120" s="46"/>
      <c r="K120" s="46"/>
      <c r="L120" s="46"/>
      <c r="M120" s="146">
        <f t="shared" si="105"/>
        <v>0</v>
      </c>
      <c r="N120" s="153">
        <f t="shared" si="106"/>
        <v>0</v>
      </c>
      <c r="O120" s="153">
        <f t="shared" si="107"/>
        <v>0</v>
      </c>
      <c r="P120" s="153">
        <f t="shared" si="108"/>
        <v>0</v>
      </c>
      <c r="Q120" s="153">
        <f t="shared" si="109"/>
        <v>0</v>
      </c>
      <c r="R120" s="153">
        <f t="shared" si="110"/>
        <v>0</v>
      </c>
      <c r="S120" s="153">
        <f t="shared" si="111"/>
        <v>0</v>
      </c>
      <c r="T120" s="153">
        <f t="shared" si="112"/>
        <v>0</v>
      </c>
      <c r="U120" s="153">
        <f>T120-M120</f>
        <v>0</v>
      </c>
      <c r="V120" s="153">
        <f t="shared" si="114"/>
        <v>0</v>
      </c>
      <c r="W120" s="1171"/>
      <c r="X120" s="1171"/>
      <c r="Y120" s="1171"/>
    </row>
    <row r="121" spans="1:25">
      <c r="A121" s="42"/>
      <c r="B121" s="55" t="s">
        <v>2649</v>
      </c>
      <c r="C121" s="44"/>
      <c r="D121" s="175"/>
      <c r="E121" s="44"/>
      <c r="F121" s="44"/>
      <c r="G121" s="146">
        <f t="shared" si="103"/>
        <v>0</v>
      </c>
      <c r="H121" s="46"/>
      <c r="I121" s="146">
        <f t="shared" si="104"/>
        <v>0</v>
      </c>
      <c r="J121" s="46"/>
      <c r="K121" s="46"/>
      <c r="L121" s="46"/>
      <c r="M121" s="146">
        <f t="shared" si="105"/>
        <v>0</v>
      </c>
      <c r="N121" s="153">
        <f t="shared" si="106"/>
        <v>0</v>
      </c>
      <c r="O121" s="153">
        <f t="shared" si="107"/>
        <v>0</v>
      </c>
      <c r="P121" s="153">
        <f t="shared" si="108"/>
        <v>0</v>
      </c>
      <c r="Q121" s="153">
        <f t="shared" si="109"/>
        <v>0</v>
      </c>
      <c r="R121" s="153">
        <f t="shared" si="110"/>
        <v>0</v>
      </c>
      <c r="S121" s="153">
        <f t="shared" si="111"/>
        <v>0</v>
      </c>
      <c r="T121" s="153">
        <f t="shared" si="112"/>
        <v>0</v>
      </c>
      <c r="U121" s="153">
        <f t="shared" ref="U121:U123" si="115">T121-M121</f>
        <v>0</v>
      </c>
      <c r="V121" s="153">
        <f t="shared" si="114"/>
        <v>0</v>
      </c>
      <c r="W121" s="1171"/>
      <c r="X121" s="1171"/>
      <c r="Y121" s="1171"/>
    </row>
    <row r="122" spans="1:25">
      <c r="A122" s="42"/>
      <c r="B122" s="55" t="s">
        <v>2998</v>
      </c>
      <c r="C122" s="44"/>
      <c r="D122" s="175"/>
      <c r="E122" s="44"/>
      <c r="F122" s="44"/>
      <c r="G122" s="146">
        <f t="shared" si="103"/>
        <v>0</v>
      </c>
      <c r="H122" s="46"/>
      <c r="I122" s="146">
        <f t="shared" si="104"/>
        <v>0</v>
      </c>
      <c r="J122" s="46"/>
      <c r="K122" s="46"/>
      <c r="L122" s="46"/>
      <c r="M122" s="146">
        <f t="shared" si="105"/>
        <v>0</v>
      </c>
      <c r="N122" s="153">
        <f t="shared" si="106"/>
        <v>0</v>
      </c>
      <c r="O122" s="153">
        <f t="shared" si="107"/>
        <v>0</v>
      </c>
      <c r="P122" s="153">
        <f t="shared" si="108"/>
        <v>0</v>
      </c>
      <c r="Q122" s="153">
        <f t="shared" si="109"/>
        <v>0</v>
      </c>
      <c r="R122" s="153">
        <f t="shared" si="110"/>
        <v>0</v>
      </c>
      <c r="S122" s="153">
        <f t="shared" si="111"/>
        <v>0</v>
      </c>
      <c r="T122" s="153">
        <f t="shared" si="112"/>
        <v>0</v>
      </c>
      <c r="U122" s="153">
        <f t="shared" si="115"/>
        <v>0</v>
      </c>
      <c r="V122" s="153">
        <f t="shared" si="114"/>
        <v>0</v>
      </c>
      <c r="W122" s="1171"/>
      <c r="X122" s="1171"/>
      <c r="Y122" s="1171"/>
    </row>
    <row r="123" spans="1:25" ht="25.5">
      <c r="A123" s="42"/>
      <c r="B123" s="55" t="s">
        <v>2999</v>
      </c>
      <c r="C123" s="44"/>
      <c r="D123" s="175"/>
      <c r="E123" s="44"/>
      <c r="F123" s="44"/>
      <c r="G123" s="146">
        <f t="shared" si="103"/>
        <v>0</v>
      </c>
      <c r="H123" s="46"/>
      <c r="I123" s="146">
        <f t="shared" si="104"/>
        <v>0</v>
      </c>
      <c r="J123" s="46"/>
      <c r="K123" s="46"/>
      <c r="L123" s="46"/>
      <c r="M123" s="146">
        <f t="shared" si="105"/>
        <v>0</v>
      </c>
      <c r="N123" s="153">
        <f t="shared" si="106"/>
        <v>0</v>
      </c>
      <c r="O123" s="153">
        <f t="shared" si="107"/>
        <v>0</v>
      </c>
      <c r="P123" s="153">
        <f t="shared" si="108"/>
        <v>0</v>
      </c>
      <c r="Q123" s="153">
        <f t="shared" si="109"/>
        <v>0</v>
      </c>
      <c r="R123" s="153">
        <f t="shared" si="110"/>
        <v>0</v>
      </c>
      <c r="S123" s="153">
        <f t="shared" si="111"/>
        <v>0</v>
      </c>
      <c r="T123" s="153">
        <f t="shared" si="112"/>
        <v>0</v>
      </c>
      <c r="U123" s="153">
        <f t="shared" si="115"/>
        <v>0</v>
      </c>
      <c r="V123" s="153">
        <f t="shared" si="114"/>
        <v>0</v>
      </c>
      <c r="W123" s="1171"/>
      <c r="X123" s="1171"/>
      <c r="Y123" s="1171"/>
    </row>
    <row r="124" spans="1:25" s="29" customFormat="1">
      <c r="A124" s="34">
        <v>4</v>
      </c>
      <c r="B124" s="35" t="s">
        <v>3000</v>
      </c>
      <c r="C124" s="38">
        <f>C125+C132</f>
        <v>0</v>
      </c>
      <c r="D124" s="174">
        <f t="shared" ref="D124:V124" si="116">D125+D132</f>
        <v>0</v>
      </c>
      <c r="E124" s="38">
        <f>E125+E132</f>
        <v>0</v>
      </c>
      <c r="F124" s="38">
        <f t="shared" si="116"/>
        <v>0</v>
      </c>
      <c r="G124" s="145">
        <f t="shared" si="116"/>
        <v>0</v>
      </c>
      <c r="H124" s="39">
        <f t="shared" si="116"/>
        <v>0</v>
      </c>
      <c r="I124" s="145">
        <f t="shared" si="116"/>
        <v>0</v>
      </c>
      <c r="J124" s="39">
        <f t="shared" si="116"/>
        <v>0</v>
      </c>
      <c r="K124" s="39">
        <f t="shared" si="116"/>
        <v>0</v>
      </c>
      <c r="L124" s="39">
        <f t="shared" si="116"/>
        <v>0</v>
      </c>
      <c r="M124" s="145">
        <f t="shared" si="116"/>
        <v>0</v>
      </c>
      <c r="N124" s="158">
        <f t="shared" si="116"/>
        <v>0</v>
      </c>
      <c r="O124" s="158">
        <f t="shared" si="116"/>
        <v>0</v>
      </c>
      <c r="P124" s="158">
        <f t="shared" si="116"/>
        <v>0</v>
      </c>
      <c r="Q124" s="158">
        <f t="shared" si="116"/>
        <v>0</v>
      </c>
      <c r="R124" s="158">
        <f t="shared" si="116"/>
        <v>0</v>
      </c>
      <c r="S124" s="158">
        <f t="shared" si="116"/>
        <v>0</v>
      </c>
      <c r="T124" s="158">
        <f t="shared" si="116"/>
        <v>0</v>
      </c>
      <c r="U124" s="158">
        <f t="shared" si="116"/>
        <v>0</v>
      </c>
      <c r="V124" s="158">
        <f t="shared" si="116"/>
        <v>0</v>
      </c>
    </row>
    <row r="125" spans="1:25" s="29" customFormat="1">
      <c r="A125" s="34" t="s">
        <v>6</v>
      </c>
      <c r="B125" s="35" t="s">
        <v>3001</v>
      </c>
      <c r="C125" s="38">
        <f>C126</f>
        <v>0</v>
      </c>
      <c r="D125" s="174">
        <f t="shared" ref="D125:V125" si="117">D126</f>
        <v>0</v>
      </c>
      <c r="E125" s="38">
        <f t="shared" si="117"/>
        <v>0</v>
      </c>
      <c r="F125" s="38">
        <f t="shared" si="117"/>
        <v>0</v>
      </c>
      <c r="G125" s="145">
        <f t="shared" si="117"/>
        <v>0</v>
      </c>
      <c r="H125" s="39">
        <f t="shared" si="117"/>
        <v>0</v>
      </c>
      <c r="I125" s="145">
        <f t="shared" si="117"/>
        <v>0</v>
      </c>
      <c r="J125" s="39">
        <f t="shared" si="117"/>
        <v>0</v>
      </c>
      <c r="K125" s="39">
        <f t="shared" si="117"/>
        <v>0</v>
      </c>
      <c r="L125" s="39">
        <f t="shared" si="117"/>
        <v>0</v>
      </c>
      <c r="M125" s="145">
        <f t="shared" si="117"/>
        <v>0</v>
      </c>
      <c r="N125" s="158">
        <f t="shared" si="117"/>
        <v>0</v>
      </c>
      <c r="O125" s="158">
        <f t="shared" si="117"/>
        <v>0</v>
      </c>
      <c r="P125" s="158">
        <f t="shared" si="117"/>
        <v>0</v>
      </c>
      <c r="Q125" s="158">
        <f t="shared" si="117"/>
        <v>0</v>
      </c>
      <c r="R125" s="158">
        <f t="shared" si="117"/>
        <v>0</v>
      </c>
      <c r="S125" s="158">
        <f t="shared" si="117"/>
        <v>0</v>
      </c>
      <c r="T125" s="158">
        <f t="shared" si="117"/>
        <v>0</v>
      </c>
      <c r="U125" s="158">
        <f t="shared" si="117"/>
        <v>0</v>
      </c>
      <c r="V125" s="158">
        <f t="shared" si="117"/>
        <v>0</v>
      </c>
    </row>
    <row r="126" spans="1:25" s="29" customFormat="1" ht="25.5">
      <c r="A126" s="40"/>
      <c r="B126" s="41" t="s">
        <v>3002</v>
      </c>
      <c r="C126" s="38">
        <f>SUM(C127:C131)</f>
        <v>0</v>
      </c>
      <c r="D126" s="174">
        <f t="shared" ref="D126:F126" si="118">SUM(D127:D131)</f>
        <v>0</v>
      </c>
      <c r="E126" s="38">
        <f t="shared" si="118"/>
        <v>0</v>
      </c>
      <c r="F126" s="38">
        <f t="shared" si="118"/>
        <v>0</v>
      </c>
      <c r="G126" s="145">
        <f>SUM(G127:G131)</f>
        <v>0</v>
      </c>
      <c r="H126" s="39">
        <f t="shared" ref="H126:V126" si="119">SUM(H127:H131)</f>
        <v>0</v>
      </c>
      <c r="I126" s="145">
        <f t="shared" si="119"/>
        <v>0</v>
      </c>
      <c r="J126" s="39">
        <f t="shared" si="119"/>
        <v>0</v>
      </c>
      <c r="K126" s="39">
        <f t="shared" si="119"/>
        <v>0</v>
      </c>
      <c r="L126" s="39">
        <f t="shared" si="119"/>
        <v>0</v>
      </c>
      <c r="M126" s="145">
        <f t="shared" si="119"/>
        <v>0</v>
      </c>
      <c r="N126" s="158">
        <f t="shared" si="119"/>
        <v>0</v>
      </c>
      <c r="O126" s="158">
        <f t="shared" si="119"/>
        <v>0</v>
      </c>
      <c r="P126" s="158">
        <f t="shared" si="119"/>
        <v>0</v>
      </c>
      <c r="Q126" s="158">
        <f t="shared" si="119"/>
        <v>0</v>
      </c>
      <c r="R126" s="158">
        <f t="shared" si="119"/>
        <v>0</v>
      </c>
      <c r="S126" s="158">
        <f t="shared" si="119"/>
        <v>0</v>
      </c>
      <c r="T126" s="158">
        <f t="shared" si="119"/>
        <v>0</v>
      </c>
      <c r="U126" s="158">
        <f t="shared" si="119"/>
        <v>0</v>
      </c>
      <c r="V126" s="158">
        <f t="shared" si="119"/>
        <v>0</v>
      </c>
    </row>
    <row r="127" spans="1:25" s="29" customFormat="1">
      <c r="A127" s="42"/>
      <c r="B127" s="55" t="s">
        <v>2653</v>
      </c>
      <c r="C127" s="44"/>
      <c r="D127" s="175"/>
      <c r="E127" s="44"/>
      <c r="F127" s="44"/>
      <c r="G127" s="146">
        <f t="shared" ref="G127:G131" si="120">H127+I127+M127</f>
        <v>0</v>
      </c>
      <c r="H127" s="46"/>
      <c r="I127" s="146">
        <f t="shared" ref="I127:I131" si="121">SUM(J127:L127)</f>
        <v>0</v>
      </c>
      <c r="J127" s="46"/>
      <c r="K127" s="46"/>
      <c r="L127" s="46"/>
      <c r="M127" s="146">
        <f t="shared" ref="M127:M131" si="122">(H127+I127)*1%</f>
        <v>0</v>
      </c>
      <c r="N127" s="153">
        <f t="shared" ref="N127:N131" si="123">O127+P127+T127</f>
        <v>0</v>
      </c>
      <c r="O127" s="153">
        <f t="shared" ref="O127:O131" si="124">(H127/1.39)*1.49</f>
        <v>0</v>
      </c>
      <c r="P127" s="153">
        <f t="shared" ref="P127" si="125">SUM(Q127:S127)</f>
        <v>0</v>
      </c>
      <c r="Q127" s="153">
        <f t="shared" ref="Q127:Q131" si="126">(J127/1.39)*1.49</f>
        <v>0</v>
      </c>
      <c r="R127" s="153">
        <f t="shared" ref="R127:R131" si="127">(K127/1.39)*1.49</f>
        <v>0</v>
      </c>
      <c r="S127" s="153">
        <f t="shared" ref="S127:S131" si="128">(L127/1.39)*1.49</f>
        <v>0</v>
      </c>
      <c r="T127" s="153">
        <f t="shared" ref="T127:T131" si="129">(O127+P127)*1%</f>
        <v>0</v>
      </c>
      <c r="U127" s="153">
        <f t="shared" ref="U127:U131" si="130">T127-M127</f>
        <v>0</v>
      </c>
      <c r="V127" s="153">
        <f t="shared" ref="V127:V131" si="131">U127*6</f>
        <v>0</v>
      </c>
    </row>
    <row r="128" spans="1:25" s="29" customFormat="1">
      <c r="A128" s="42"/>
      <c r="B128" s="55" t="s">
        <v>2654</v>
      </c>
      <c r="C128" s="44"/>
      <c r="D128" s="175"/>
      <c r="E128" s="44"/>
      <c r="F128" s="44"/>
      <c r="G128" s="146">
        <f t="shared" si="120"/>
        <v>0</v>
      </c>
      <c r="H128" s="46"/>
      <c r="I128" s="146">
        <f t="shared" si="121"/>
        <v>0</v>
      </c>
      <c r="J128" s="46"/>
      <c r="K128" s="46"/>
      <c r="L128" s="46"/>
      <c r="M128" s="146">
        <f t="shared" si="122"/>
        <v>0</v>
      </c>
      <c r="N128" s="153">
        <f t="shared" si="123"/>
        <v>0</v>
      </c>
      <c r="O128" s="153">
        <f t="shared" si="124"/>
        <v>0</v>
      </c>
      <c r="P128" s="153">
        <f t="shared" ref="P128:P131" si="132">SUM(Q128:S128)</f>
        <v>0</v>
      </c>
      <c r="Q128" s="153">
        <f t="shared" si="126"/>
        <v>0</v>
      </c>
      <c r="R128" s="153">
        <f t="shared" si="127"/>
        <v>0</v>
      </c>
      <c r="S128" s="153">
        <f t="shared" si="128"/>
        <v>0</v>
      </c>
      <c r="T128" s="153">
        <f t="shared" si="129"/>
        <v>0</v>
      </c>
      <c r="U128" s="153">
        <f t="shared" si="130"/>
        <v>0</v>
      </c>
      <c r="V128" s="153">
        <f t="shared" si="131"/>
        <v>0</v>
      </c>
    </row>
    <row r="129" spans="1:25" s="73" customFormat="1">
      <c r="A129" s="42"/>
      <c r="B129" s="55" t="s">
        <v>2655</v>
      </c>
      <c r="C129" s="44"/>
      <c r="D129" s="175"/>
      <c r="E129" s="44"/>
      <c r="F129" s="44"/>
      <c r="G129" s="146">
        <f t="shared" si="120"/>
        <v>0</v>
      </c>
      <c r="H129" s="46"/>
      <c r="I129" s="146">
        <f t="shared" si="121"/>
        <v>0</v>
      </c>
      <c r="J129" s="46"/>
      <c r="K129" s="46"/>
      <c r="L129" s="46"/>
      <c r="M129" s="146">
        <f t="shared" si="122"/>
        <v>0</v>
      </c>
      <c r="N129" s="153">
        <f t="shared" si="123"/>
        <v>0</v>
      </c>
      <c r="O129" s="153">
        <f t="shared" si="124"/>
        <v>0</v>
      </c>
      <c r="P129" s="153">
        <f t="shared" si="132"/>
        <v>0</v>
      </c>
      <c r="Q129" s="153">
        <f t="shared" si="126"/>
        <v>0</v>
      </c>
      <c r="R129" s="153">
        <f t="shared" si="127"/>
        <v>0</v>
      </c>
      <c r="S129" s="153">
        <f t="shared" si="128"/>
        <v>0</v>
      </c>
      <c r="T129" s="153">
        <f t="shared" si="129"/>
        <v>0</v>
      </c>
      <c r="U129" s="153">
        <f t="shared" si="130"/>
        <v>0</v>
      </c>
      <c r="V129" s="153">
        <f t="shared" si="131"/>
        <v>0</v>
      </c>
      <c r="W129" s="72"/>
      <c r="X129" s="72"/>
      <c r="Y129" s="72"/>
    </row>
    <row r="130" spans="1:25" s="73" customFormat="1">
      <c r="A130" s="42"/>
      <c r="B130" s="55" t="s">
        <v>3003</v>
      </c>
      <c r="C130" s="44"/>
      <c r="D130" s="175"/>
      <c r="E130" s="44"/>
      <c r="F130" s="44"/>
      <c r="G130" s="146">
        <f t="shared" si="120"/>
        <v>0</v>
      </c>
      <c r="H130" s="46"/>
      <c r="I130" s="146">
        <f t="shared" si="121"/>
        <v>0</v>
      </c>
      <c r="J130" s="46"/>
      <c r="K130" s="46"/>
      <c r="L130" s="46"/>
      <c r="M130" s="146">
        <f t="shared" si="122"/>
        <v>0</v>
      </c>
      <c r="N130" s="153">
        <f t="shared" si="123"/>
        <v>0</v>
      </c>
      <c r="O130" s="153">
        <f t="shared" si="124"/>
        <v>0</v>
      </c>
      <c r="P130" s="153">
        <f t="shared" si="132"/>
        <v>0</v>
      </c>
      <c r="Q130" s="153">
        <f t="shared" si="126"/>
        <v>0</v>
      </c>
      <c r="R130" s="153">
        <f t="shared" si="127"/>
        <v>0</v>
      </c>
      <c r="S130" s="153">
        <f t="shared" si="128"/>
        <v>0</v>
      </c>
      <c r="T130" s="153">
        <f t="shared" si="129"/>
        <v>0</v>
      </c>
      <c r="U130" s="153">
        <f t="shared" si="130"/>
        <v>0</v>
      </c>
      <c r="V130" s="153">
        <f t="shared" si="131"/>
        <v>0</v>
      </c>
      <c r="W130" s="72"/>
      <c r="X130" s="72"/>
      <c r="Y130" s="72"/>
    </row>
    <row r="131" spans="1:25" s="73" customFormat="1">
      <c r="A131" s="42"/>
      <c r="B131" s="55" t="s">
        <v>2658</v>
      </c>
      <c r="C131" s="44"/>
      <c r="D131" s="175"/>
      <c r="E131" s="44"/>
      <c r="F131" s="44"/>
      <c r="G131" s="146">
        <f t="shared" si="120"/>
        <v>0</v>
      </c>
      <c r="H131" s="46"/>
      <c r="I131" s="146">
        <f t="shared" si="121"/>
        <v>0</v>
      </c>
      <c r="J131" s="46"/>
      <c r="K131" s="46"/>
      <c r="L131" s="46"/>
      <c r="M131" s="146">
        <f t="shared" si="122"/>
        <v>0</v>
      </c>
      <c r="N131" s="153">
        <f t="shared" si="123"/>
        <v>0</v>
      </c>
      <c r="O131" s="153">
        <f t="shared" si="124"/>
        <v>0</v>
      </c>
      <c r="P131" s="153">
        <f t="shared" si="132"/>
        <v>0</v>
      </c>
      <c r="Q131" s="153">
        <f t="shared" si="126"/>
        <v>0</v>
      </c>
      <c r="R131" s="153">
        <f t="shared" si="127"/>
        <v>0</v>
      </c>
      <c r="S131" s="153">
        <f t="shared" si="128"/>
        <v>0</v>
      </c>
      <c r="T131" s="153">
        <f t="shared" si="129"/>
        <v>0</v>
      </c>
      <c r="U131" s="153">
        <f t="shared" si="130"/>
        <v>0</v>
      </c>
      <c r="V131" s="153">
        <f t="shared" si="131"/>
        <v>0</v>
      </c>
      <c r="W131" s="72"/>
      <c r="X131" s="72"/>
      <c r="Y131" s="72"/>
    </row>
    <row r="132" spans="1:25" s="11" customFormat="1">
      <c r="A132" s="34" t="s">
        <v>7</v>
      </c>
      <c r="B132" s="35" t="s">
        <v>3004</v>
      </c>
      <c r="C132" s="38">
        <f>C133</f>
        <v>0</v>
      </c>
      <c r="D132" s="174">
        <f t="shared" ref="D132:V133" si="133">D133</f>
        <v>0</v>
      </c>
      <c r="E132" s="38">
        <f t="shared" si="133"/>
        <v>0</v>
      </c>
      <c r="F132" s="38">
        <f t="shared" si="133"/>
        <v>0</v>
      </c>
      <c r="G132" s="145">
        <f t="shared" si="133"/>
        <v>0</v>
      </c>
      <c r="H132" s="39">
        <f t="shared" si="133"/>
        <v>0</v>
      </c>
      <c r="I132" s="145">
        <f t="shared" si="133"/>
        <v>0</v>
      </c>
      <c r="J132" s="39">
        <f t="shared" si="133"/>
        <v>0</v>
      </c>
      <c r="K132" s="39">
        <f t="shared" si="133"/>
        <v>0</v>
      </c>
      <c r="L132" s="39">
        <f t="shared" si="133"/>
        <v>0</v>
      </c>
      <c r="M132" s="145">
        <f t="shared" si="133"/>
        <v>0</v>
      </c>
      <c r="N132" s="158">
        <f t="shared" si="133"/>
        <v>0</v>
      </c>
      <c r="O132" s="158">
        <f t="shared" si="133"/>
        <v>0</v>
      </c>
      <c r="P132" s="158">
        <f t="shared" si="133"/>
        <v>0</v>
      </c>
      <c r="Q132" s="158">
        <f t="shared" si="133"/>
        <v>0</v>
      </c>
      <c r="R132" s="158">
        <f t="shared" si="133"/>
        <v>0</v>
      </c>
      <c r="S132" s="158">
        <f t="shared" si="133"/>
        <v>0</v>
      </c>
      <c r="T132" s="158">
        <f t="shared" si="133"/>
        <v>0</v>
      </c>
      <c r="U132" s="158">
        <f t="shared" si="133"/>
        <v>0</v>
      </c>
      <c r="V132" s="158">
        <f t="shared" si="133"/>
        <v>0</v>
      </c>
      <c r="W132" s="6"/>
      <c r="X132" s="6"/>
      <c r="Y132" s="6"/>
    </row>
    <row r="133" spans="1:25" s="11" customFormat="1" ht="25.5">
      <c r="A133" s="40"/>
      <c r="B133" s="41" t="s">
        <v>3005</v>
      </c>
      <c r="C133" s="38">
        <f>C134</f>
        <v>0</v>
      </c>
      <c r="D133" s="174">
        <f>D134</f>
        <v>0</v>
      </c>
      <c r="E133" s="38">
        <f>E134</f>
        <v>0</v>
      </c>
      <c r="F133" s="38">
        <f t="shared" si="133"/>
        <v>0</v>
      </c>
      <c r="G133" s="145">
        <f t="shared" si="133"/>
        <v>0</v>
      </c>
      <c r="H133" s="39">
        <f t="shared" si="133"/>
        <v>0</v>
      </c>
      <c r="I133" s="145">
        <f t="shared" si="133"/>
        <v>0</v>
      </c>
      <c r="J133" s="39">
        <f t="shared" si="133"/>
        <v>0</v>
      </c>
      <c r="K133" s="39">
        <f t="shared" si="133"/>
        <v>0</v>
      </c>
      <c r="L133" s="39">
        <f t="shared" si="133"/>
        <v>0</v>
      </c>
      <c r="M133" s="145">
        <f t="shared" si="133"/>
        <v>0</v>
      </c>
      <c r="N133" s="158">
        <f t="shared" si="133"/>
        <v>0</v>
      </c>
      <c r="O133" s="158">
        <f t="shared" si="133"/>
        <v>0</v>
      </c>
      <c r="P133" s="158">
        <f t="shared" si="133"/>
        <v>0</v>
      </c>
      <c r="Q133" s="158">
        <f t="shared" si="133"/>
        <v>0</v>
      </c>
      <c r="R133" s="158">
        <f t="shared" si="133"/>
        <v>0</v>
      </c>
      <c r="S133" s="158">
        <f t="shared" si="133"/>
        <v>0</v>
      </c>
      <c r="T133" s="158">
        <f t="shared" si="133"/>
        <v>0</v>
      </c>
      <c r="U133" s="158">
        <f t="shared" si="133"/>
        <v>0</v>
      </c>
      <c r="V133" s="158">
        <f t="shared" si="133"/>
        <v>0</v>
      </c>
      <c r="W133" s="6"/>
      <c r="X133" s="6"/>
      <c r="Y133" s="6"/>
    </row>
    <row r="134" spans="1:25">
      <c r="A134" s="42"/>
      <c r="B134" s="55" t="s">
        <v>3006</v>
      </c>
      <c r="C134" s="44"/>
      <c r="D134" s="175"/>
      <c r="E134" s="44"/>
      <c r="F134" s="44"/>
      <c r="G134" s="146">
        <f t="shared" ref="G134" si="134">H134+I134+M134</f>
        <v>0</v>
      </c>
      <c r="H134" s="46"/>
      <c r="I134" s="146">
        <f t="shared" ref="I134" si="135">SUM(J134:L134)</f>
        <v>0</v>
      </c>
      <c r="J134" s="46"/>
      <c r="K134" s="46"/>
      <c r="L134" s="46"/>
      <c r="M134" s="146">
        <f t="shared" ref="M134" si="136">(H134+I134)*1%</f>
        <v>0</v>
      </c>
      <c r="N134" s="153">
        <f t="shared" ref="N134" si="137">O134+P134+T134</f>
        <v>0</v>
      </c>
      <c r="O134" s="153">
        <f t="shared" ref="O134:O136" si="138">(H134/1.39)*1.49</f>
        <v>0</v>
      </c>
      <c r="P134" s="153">
        <f t="shared" ref="P134" si="139">SUM(Q134:S134)</f>
        <v>0</v>
      </c>
      <c r="Q134" s="153">
        <f>(J134/1.39)*1.49</f>
        <v>0</v>
      </c>
      <c r="R134" s="153">
        <f t="shared" ref="R134" si="140">(K134/1.39)*1.49</f>
        <v>0</v>
      </c>
      <c r="S134" s="153">
        <f t="shared" ref="S134" si="141">(L134/1.39)*1.49</f>
        <v>0</v>
      </c>
      <c r="T134" s="153">
        <f t="shared" ref="T134" si="142">(O134+P134)*1%</f>
        <v>0</v>
      </c>
      <c r="U134" s="153">
        <f>T134-M134</f>
        <v>0</v>
      </c>
      <c r="V134" s="153">
        <f>U134*6</f>
        <v>0</v>
      </c>
    </row>
    <row r="135" spans="1:25">
      <c r="A135" s="34">
        <v>5</v>
      </c>
      <c r="B135" s="35" t="s">
        <v>3007</v>
      </c>
      <c r="C135" s="69">
        <f>C136</f>
        <v>0</v>
      </c>
      <c r="D135" s="173">
        <f t="shared" ref="D135:V135" si="143">D136</f>
        <v>0</v>
      </c>
      <c r="E135" s="69">
        <f t="shared" si="143"/>
        <v>0</v>
      </c>
      <c r="F135" s="69">
        <f t="shared" si="143"/>
        <v>0</v>
      </c>
      <c r="G135" s="147">
        <f t="shared" si="143"/>
        <v>0</v>
      </c>
      <c r="H135" s="52">
        <f t="shared" si="143"/>
        <v>0</v>
      </c>
      <c r="I135" s="147">
        <f t="shared" si="143"/>
        <v>0</v>
      </c>
      <c r="J135" s="52">
        <f t="shared" si="143"/>
        <v>0</v>
      </c>
      <c r="K135" s="52">
        <f t="shared" si="143"/>
        <v>0</v>
      </c>
      <c r="L135" s="52">
        <f t="shared" si="143"/>
        <v>0</v>
      </c>
      <c r="M135" s="147">
        <f t="shared" si="143"/>
        <v>0</v>
      </c>
      <c r="N135" s="154">
        <f t="shared" si="143"/>
        <v>0</v>
      </c>
      <c r="O135" s="154">
        <f t="shared" si="143"/>
        <v>0</v>
      </c>
      <c r="P135" s="154">
        <f t="shared" si="143"/>
        <v>0</v>
      </c>
      <c r="Q135" s="154">
        <f t="shared" si="143"/>
        <v>0</v>
      </c>
      <c r="R135" s="154">
        <f t="shared" si="143"/>
        <v>0</v>
      </c>
      <c r="S135" s="154">
        <f t="shared" si="143"/>
        <v>0</v>
      </c>
      <c r="T135" s="154">
        <f t="shared" si="143"/>
        <v>0</v>
      </c>
      <c r="U135" s="154">
        <f t="shared" si="143"/>
        <v>0</v>
      </c>
      <c r="V135" s="154">
        <f t="shared" si="143"/>
        <v>0</v>
      </c>
    </row>
    <row r="136" spans="1:25">
      <c r="A136" s="42">
        <v>31</v>
      </c>
      <c r="B136" s="55" t="s">
        <v>2294</v>
      </c>
      <c r="C136" s="60"/>
      <c r="D136" s="177"/>
      <c r="E136" s="60"/>
      <c r="F136" s="60"/>
      <c r="G136" s="147">
        <f>H136+I136+M136</f>
        <v>0</v>
      </c>
      <c r="H136" s="53"/>
      <c r="I136" s="147">
        <f>SUM(J136:L136)</f>
        <v>0</v>
      </c>
      <c r="J136" s="53"/>
      <c r="K136" s="53"/>
      <c r="L136" s="53"/>
      <c r="M136" s="147"/>
      <c r="N136" s="154">
        <f>O136+P136+T136</f>
        <v>0</v>
      </c>
      <c r="O136" s="153">
        <f t="shared" si="138"/>
        <v>0</v>
      </c>
      <c r="P136" s="154">
        <f>SUM(Q136:S136)</f>
        <v>0</v>
      </c>
      <c r="Q136" s="153">
        <f>(J136/1.39)*1.49</f>
        <v>0</v>
      </c>
      <c r="R136" s="153">
        <f t="shared" ref="R136" si="144">(K136/1.39)*1.49</f>
        <v>0</v>
      </c>
      <c r="S136" s="153">
        <f t="shared" ref="S136" si="145">(L136/1.39)*1.49</f>
        <v>0</v>
      </c>
      <c r="T136" s="154"/>
      <c r="U136" s="154">
        <f>N136-G136</f>
        <v>0</v>
      </c>
      <c r="V136" s="154">
        <f>U136*6</f>
        <v>0</v>
      </c>
    </row>
    <row r="137" spans="1:25">
      <c r="A137" s="34">
        <v>6</v>
      </c>
      <c r="B137" s="35" t="s">
        <v>3008</v>
      </c>
      <c r="C137" s="69">
        <f>C138</f>
        <v>0</v>
      </c>
      <c r="D137" s="173">
        <f t="shared" ref="D137:V137" si="146">D138</f>
        <v>0</v>
      </c>
      <c r="E137" s="69">
        <f t="shared" si="146"/>
        <v>0</v>
      </c>
      <c r="F137" s="69">
        <f t="shared" si="146"/>
        <v>0</v>
      </c>
      <c r="G137" s="147">
        <f t="shared" si="146"/>
        <v>0</v>
      </c>
      <c r="H137" s="52">
        <f t="shared" si="146"/>
        <v>0</v>
      </c>
      <c r="I137" s="147">
        <f t="shared" si="146"/>
        <v>0</v>
      </c>
      <c r="J137" s="52">
        <f t="shared" si="146"/>
        <v>0</v>
      </c>
      <c r="K137" s="52">
        <f t="shared" si="146"/>
        <v>0</v>
      </c>
      <c r="L137" s="52">
        <f t="shared" si="146"/>
        <v>0</v>
      </c>
      <c r="M137" s="147">
        <f t="shared" si="146"/>
        <v>0</v>
      </c>
      <c r="N137" s="154">
        <f t="shared" si="146"/>
        <v>0</v>
      </c>
      <c r="O137" s="154">
        <f t="shared" si="146"/>
        <v>0</v>
      </c>
      <c r="P137" s="154">
        <f t="shared" si="146"/>
        <v>0</v>
      </c>
      <c r="Q137" s="154">
        <f t="shared" si="146"/>
        <v>0</v>
      </c>
      <c r="R137" s="154">
        <f t="shared" si="146"/>
        <v>0</v>
      </c>
      <c r="S137" s="154">
        <f t="shared" si="146"/>
        <v>0</v>
      </c>
      <c r="T137" s="154">
        <f t="shared" si="146"/>
        <v>0</v>
      </c>
      <c r="U137" s="154">
        <f t="shared" si="146"/>
        <v>0</v>
      </c>
      <c r="V137" s="154">
        <f t="shared" si="146"/>
        <v>0</v>
      </c>
      <c r="W137" s="1174"/>
      <c r="X137" s="1174"/>
      <c r="Y137" s="1174"/>
    </row>
    <row r="138" spans="1:25">
      <c r="A138" s="40"/>
      <c r="B138" s="41" t="s">
        <v>3009</v>
      </c>
      <c r="C138" s="74">
        <f>SUM(C139:C144)</f>
        <v>0</v>
      </c>
      <c r="D138" s="174">
        <f t="shared" ref="D138:F138" si="147">SUM(D139:D144)</f>
        <v>0</v>
      </c>
      <c r="E138" s="74">
        <f t="shared" si="147"/>
        <v>0</v>
      </c>
      <c r="F138" s="74">
        <f t="shared" si="147"/>
        <v>0</v>
      </c>
      <c r="G138" s="146">
        <f>SUM(G139:G144)</f>
        <v>0</v>
      </c>
      <c r="H138" s="45">
        <f t="shared" ref="H138:V138" si="148">SUM(H139:H144)</f>
        <v>0</v>
      </c>
      <c r="I138" s="146">
        <f t="shared" si="148"/>
        <v>0</v>
      </c>
      <c r="J138" s="45">
        <f t="shared" si="148"/>
        <v>0</v>
      </c>
      <c r="K138" s="45">
        <f t="shared" si="148"/>
        <v>0</v>
      </c>
      <c r="L138" s="45">
        <f t="shared" si="148"/>
        <v>0</v>
      </c>
      <c r="M138" s="146">
        <f t="shared" si="148"/>
        <v>0</v>
      </c>
      <c r="N138" s="153">
        <f t="shared" si="148"/>
        <v>0</v>
      </c>
      <c r="O138" s="153">
        <f t="shared" si="148"/>
        <v>0</v>
      </c>
      <c r="P138" s="153">
        <f t="shared" si="148"/>
        <v>0</v>
      </c>
      <c r="Q138" s="153">
        <f t="shared" si="148"/>
        <v>0</v>
      </c>
      <c r="R138" s="153">
        <f t="shared" si="148"/>
        <v>0</v>
      </c>
      <c r="S138" s="153">
        <f t="shared" si="148"/>
        <v>0</v>
      </c>
      <c r="T138" s="153">
        <f t="shared" si="148"/>
        <v>0</v>
      </c>
      <c r="U138" s="153">
        <f t="shared" si="148"/>
        <v>0</v>
      </c>
      <c r="V138" s="153">
        <f t="shared" si="148"/>
        <v>0</v>
      </c>
      <c r="W138" s="1174"/>
      <c r="X138" s="1174"/>
      <c r="Y138" s="1174"/>
    </row>
    <row r="139" spans="1:25">
      <c r="A139" s="42"/>
      <c r="B139" s="55" t="s">
        <v>2661</v>
      </c>
      <c r="C139" s="44"/>
      <c r="D139" s="175"/>
      <c r="E139" s="44"/>
      <c r="F139" s="44"/>
      <c r="G139" s="146">
        <f t="shared" ref="G139:G144" si="149">H139+I139+M139</f>
        <v>0</v>
      </c>
      <c r="H139" s="46"/>
      <c r="I139" s="146">
        <f t="shared" ref="I139:I144" si="150">SUM(J139:L139)</f>
        <v>0</v>
      </c>
      <c r="J139" s="46"/>
      <c r="K139" s="46"/>
      <c r="L139" s="46"/>
      <c r="M139" s="146">
        <f t="shared" ref="M139:M144" si="151">(H139+I139)*1%</f>
        <v>0</v>
      </c>
      <c r="N139" s="153">
        <f t="shared" ref="N139:N144" si="152">O139+P139+T139</f>
        <v>0</v>
      </c>
      <c r="O139" s="153">
        <f t="shared" ref="O139:O144" si="153">(H139/1.39)*1.49</f>
        <v>0</v>
      </c>
      <c r="P139" s="153">
        <f t="shared" ref="P139" si="154">SUM(Q139:S139)</f>
        <v>0</v>
      </c>
      <c r="Q139" s="153">
        <f t="shared" ref="Q139:Q144" si="155">(J139/1.39)*1.49</f>
        <v>0</v>
      </c>
      <c r="R139" s="153">
        <f t="shared" ref="R139:R144" si="156">(K139/1.39)*1.49</f>
        <v>0</v>
      </c>
      <c r="S139" s="153">
        <f t="shared" ref="S139:S144" si="157">(L139/1.39)*1.49</f>
        <v>0</v>
      </c>
      <c r="T139" s="153">
        <f t="shared" ref="T139:T144" si="158">(O139+P139)*1%</f>
        <v>0</v>
      </c>
      <c r="U139" s="153">
        <f t="shared" ref="U139:U144" si="159">T139-M139</f>
        <v>0</v>
      </c>
      <c r="V139" s="153">
        <f t="shared" ref="V139:V144" si="160">U139*6</f>
        <v>0</v>
      </c>
    </row>
    <row r="140" spans="1:25">
      <c r="A140" s="42"/>
      <c r="B140" s="55" t="s">
        <v>2662</v>
      </c>
      <c r="C140" s="44"/>
      <c r="D140" s="175"/>
      <c r="E140" s="44"/>
      <c r="F140" s="44"/>
      <c r="G140" s="146">
        <f t="shared" si="149"/>
        <v>0</v>
      </c>
      <c r="H140" s="46"/>
      <c r="I140" s="146">
        <f t="shared" si="150"/>
        <v>0</v>
      </c>
      <c r="J140" s="46"/>
      <c r="K140" s="46"/>
      <c r="L140" s="46"/>
      <c r="M140" s="146">
        <f t="shared" si="151"/>
        <v>0</v>
      </c>
      <c r="N140" s="153">
        <f t="shared" si="152"/>
        <v>0</v>
      </c>
      <c r="O140" s="153">
        <f t="shared" si="153"/>
        <v>0</v>
      </c>
      <c r="P140" s="153">
        <f t="shared" ref="P140:P144" si="161">SUM(Q140:S140)</f>
        <v>0</v>
      </c>
      <c r="Q140" s="153">
        <f t="shared" si="155"/>
        <v>0</v>
      </c>
      <c r="R140" s="153">
        <f t="shared" si="156"/>
        <v>0</v>
      </c>
      <c r="S140" s="153">
        <f t="shared" si="157"/>
        <v>0</v>
      </c>
      <c r="T140" s="153">
        <f t="shared" si="158"/>
        <v>0</v>
      </c>
      <c r="U140" s="153">
        <f t="shared" si="159"/>
        <v>0</v>
      </c>
      <c r="V140" s="153">
        <f t="shared" si="160"/>
        <v>0</v>
      </c>
    </row>
    <row r="141" spans="1:25">
      <c r="A141" s="42"/>
      <c r="B141" s="55" t="s">
        <v>2663</v>
      </c>
      <c r="C141" s="44"/>
      <c r="D141" s="175"/>
      <c r="E141" s="44"/>
      <c r="F141" s="44"/>
      <c r="G141" s="146">
        <f t="shared" si="149"/>
        <v>0</v>
      </c>
      <c r="H141" s="46"/>
      <c r="I141" s="146">
        <f t="shared" si="150"/>
        <v>0</v>
      </c>
      <c r="J141" s="46"/>
      <c r="K141" s="46"/>
      <c r="L141" s="46"/>
      <c r="M141" s="146">
        <f t="shared" si="151"/>
        <v>0</v>
      </c>
      <c r="N141" s="153">
        <f t="shared" si="152"/>
        <v>0</v>
      </c>
      <c r="O141" s="153">
        <f t="shared" si="153"/>
        <v>0</v>
      </c>
      <c r="P141" s="153">
        <f t="shared" si="161"/>
        <v>0</v>
      </c>
      <c r="Q141" s="153">
        <f t="shared" si="155"/>
        <v>0</v>
      </c>
      <c r="R141" s="153">
        <f t="shared" si="156"/>
        <v>0</v>
      </c>
      <c r="S141" s="153">
        <f t="shared" si="157"/>
        <v>0</v>
      </c>
      <c r="T141" s="153">
        <f t="shared" si="158"/>
        <v>0</v>
      </c>
      <c r="U141" s="153">
        <f t="shared" si="159"/>
        <v>0</v>
      </c>
      <c r="V141" s="153">
        <f t="shared" si="160"/>
        <v>0</v>
      </c>
    </row>
    <row r="142" spans="1:25">
      <c r="A142" s="42"/>
      <c r="B142" s="55" t="s">
        <v>2664</v>
      </c>
      <c r="C142" s="44"/>
      <c r="D142" s="175"/>
      <c r="E142" s="44"/>
      <c r="F142" s="44"/>
      <c r="G142" s="146">
        <f t="shared" si="149"/>
        <v>0</v>
      </c>
      <c r="H142" s="46"/>
      <c r="I142" s="146">
        <f t="shared" si="150"/>
        <v>0</v>
      </c>
      <c r="J142" s="46"/>
      <c r="K142" s="46"/>
      <c r="L142" s="46"/>
      <c r="M142" s="146">
        <f t="shared" si="151"/>
        <v>0</v>
      </c>
      <c r="N142" s="153">
        <f t="shared" si="152"/>
        <v>0</v>
      </c>
      <c r="O142" s="153">
        <f t="shared" si="153"/>
        <v>0</v>
      </c>
      <c r="P142" s="153">
        <f t="shared" si="161"/>
        <v>0</v>
      </c>
      <c r="Q142" s="153">
        <f t="shared" si="155"/>
        <v>0</v>
      </c>
      <c r="R142" s="153">
        <f t="shared" si="156"/>
        <v>0</v>
      </c>
      <c r="S142" s="153">
        <f t="shared" si="157"/>
        <v>0</v>
      </c>
      <c r="T142" s="153">
        <f t="shared" si="158"/>
        <v>0</v>
      </c>
      <c r="U142" s="153">
        <f t="shared" si="159"/>
        <v>0</v>
      </c>
      <c r="V142" s="153">
        <f t="shared" si="160"/>
        <v>0</v>
      </c>
    </row>
    <row r="143" spans="1:25">
      <c r="A143" s="42"/>
      <c r="B143" s="55" t="s">
        <v>3010</v>
      </c>
      <c r="C143" s="44"/>
      <c r="D143" s="175"/>
      <c r="E143" s="44"/>
      <c r="F143" s="44"/>
      <c r="G143" s="146">
        <f t="shared" si="149"/>
        <v>0</v>
      </c>
      <c r="H143" s="46"/>
      <c r="I143" s="146">
        <f t="shared" si="150"/>
        <v>0</v>
      </c>
      <c r="J143" s="46"/>
      <c r="K143" s="46"/>
      <c r="L143" s="46"/>
      <c r="M143" s="146">
        <f t="shared" si="151"/>
        <v>0</v>
      </c>
      <c r="N143" s="153">
        <f t="shared" si="152"/>
        <v>0</v>
      </c>
      <c r="O143" s="153">
        <f t="shared" si="153"/>
        <v>0</v>
      </c>
      <c r="P143" s="153">
        <f t="shared" si="161"/>
        <v>0</v>
      </c>
      <c r="Q143" s="153">
        <f t="shared" si="155"/>
        <v>0</v>
      </c>
      <c r="R143" s="153">
        <f t="shared" si="156"/>
        <v>0</v>
      </c>
      <c r="S143" s="153">
        <f t="shared" si="157"/>
        <v>0</v>
      </c>
      <c r="T143" s="153">
        <f t="shared" si="158"/>
        <v>0</v>
      </c>
      <c r="U143" s="153">
        <f t="shared" si="159"/>
        <v>0</v>
      </c>
      <c r="V143" s="153">
        <f t="shared" si="160"/>
        <v>0</v>
      </c>
    </row>
    <row r="144" spans="1:25">
      <c r="A144" s="42"/>
      <c r="B144" s="55" t="s">
        <v>2665</v>
      </c>
      <c r="C144" s="44"/>
      <c r="D144" s="175"/>
      <c r="E144" s="44"/>
      <c r="F144" s="44"/>
      <c r="G144" s="146">
        <f t="shared" si="149"/>
        <v>0</v>
      </c>
      <c r="H144" s="46"/>
      <c r="I144" s="146">
        <f t="shared" si="150"/>
        <v>0</v>
      </c>
      <c r="J144" s="46"/>
      <c r="K144" s="46"/>
      <c r="L144" s="46"/>
      <c r="M144" s="146">
        <f t="shared" si="151"/>
        <v>0</v>
      </c>
      <c r="N144" s="153">
        <f t="shared" si="152"/>
        <v>0</v>
      </c>
      <c r="O144" s="153">
        <f t="shared" si="153"/>
        <v>0</v>
      </c>
      <c r="P144" s="153">
        <f t="shared" si="161"/>
        <v>0</v>
      </c>
      <c r="Q144" s="153">
        <f t="shared" si="155"/>
        <v>0</v>
      </c>
      <c r="R144" s="153">
        <f t="shared" si="156"/>
        <v>0</v>
      </c>
      <c r="S144" s="153">
        <f t="shared" si="157"/>
        <v>0</v>
      </c>
      <c r="T144" s="153">
        <f t="shared" si="158"/>
        <v>0</v>
      </c>
      <c r="U144" s="153">
        <f t="shared" si="159"/>
        <v>0</v>
      </c>
      <c r="V144" s="153">
        <f t="shared" si="160"/>
        <v>0</v>
      </c>
    </row>
    <row r="145" spans="1:45" s="11" customFormat="1">
      <c r="A145" s="34">
        <v>7</v>
      </c>
      <c r="B145" s="35" t="s">
        <v>3011</v>
      </c>
      <c r="C145" s="69">
        <f>C146+C163+C166</f>
        <v>0</v>
      </c>
      <c r="D145" s="173">
        <f t="shared" ref="D145:U145" si="162">D146+D163+D166</f>
        <v>0</v>
      </c>
      <c r="E145" s="69">
        <f t="shared" si="162"/>
        <v>0</v>
      </c>
      <c r="F145" s="69">
        <f t="shared" si="162"/>
        <v>0</v>
      </c>
      <c r="G145" s="147">
        <f t="shared" si="162"/>
        <v>0</v>
      </c>
      <c r="H145" s="52">
        <f t="shared" si="162"/>
        <v>0</v>
      </c>
      <c r="I145" s="147">
        <f t="shared" si="162"/>
        <v>0</v>
      </c>
      <c r="J145" s="52">
        <f t="shared" si="162"/>
        <v>0</v>
      </c>
      <c r="K145" s="52">
        <f t="shared" si="162"/>
        <v>0</v>
      </c>
      <c r="L145" s="52">
        <f t="shared" si="162"/>
        <v>0</v>
      </c>
      <c r="M145" s="147">
        <f t="shared" si="162"/>
        <v>0</v>
      </c>
      <c r="N145" s="154">
        <f t="shared" si="162"/>
        <v>0</v>
      </c>
      <c r="O145" s="154">
        <f t="shared" si="162"/>
        <v>0</v>
      </c>
      <c r="P145" s="154">
        <f t="shared" si="162"/>
        <v>0</v>
      </c>
      <c r="Q145" s="154">
        <f t="shared" si="162"/>
        <v>0</v>
      </c>
      <c r="R145" s="154">
        <f t="shared" si="162"/>
        <v>0</v>
      </c>
      <c r="S145" s="154">
        <f t="shared" si="162"/>
        <v>0</v>
      </c>
      <c r="T145" s="154">
        <f t="shared" si="162"/>
        <v>0</v>
      </c>
      <c r="U145" s="154">
        <f t="shared" si="162"/>
        <v>0</v>
      </c>
      <c r="V145" s="154">
        <f>V146+V163+V166</f>
        <v>0</v>
      </c>
      <c r="W145" s="25"/>
      <c r="X145" s="25"/>
      <c r="Y145" s="25"/>
      <c r="Z145" s="25"/>
      <c r="AA145" s="25"/>
      <c r="AB145" s="25"/>
      <c r="AC145" s="25"/>
      <c r="AD145" s="25"/>
      <c r="AE145" s="25"/>
      <c r="AF145" s="25"/>
      <c r="AG145" s="25"/>
      <c r="AH145" s="25"/>
      <c r="AI145" s="25"/>
      <c r="AJ145" s="25"/>
      <c r="AK145" s="25"/>
      <c r="AL145" s="25"/>
      <c r="AM145" s="25"/>
      <c r="AN145" s="25"/>
      <c r="AO145" s="25"/>
      <c r="AP145" s="25"/>
      <c r="AQ145" s="25"/>
      <c r="AR145" s="25"/>
      <c r="AS145" s="25"/>
    </row>
    <row r="146" spans="1:45" s="11" customFormat="1">
      <c r="A146" s="34" t="s">
        <v>6</v>
      </c>
      <c r="B146" s="35" t="s">
        <v>3012</v>
      </c>
      <c r="C146" s="69">
        <f>C147</f>
        <v>0</v>
      </c>
      <c r="D146" s="173">
        <f t="shared" ref="D146:V146" si="163">D147</f>
        <v>0</v>
      </c>
      <c r="E146" s="69">
        <f t="shared" si="163"/>
        <v>0</v>
      </c>
      <c r="F146" s="69">
        <f t="shared" si="163"/>
        <v>0</v>
      </c>
      <c r="G146" s="147">
        <f t="shared" si="163"/>
        <v>0</v>
      </c>
      <c r="H146" s="52">
        <f t="shared" si="163"/>
        <v>0</v>
      </c>
      <c r="I146" s="147">
        <f t="shared" si="163"/>
        <v>0</v>
      </c>
      <c r="J146" s="52">
        <f t="shared" si="163"/>
        <v>0</v>
      </c>
      <c r="K146" s="52">
        <f t="shared" si="163"/>
        <v>0</v>
      </c>
      <c r="L146" s="52">
        <f t="shared" si="163"/>
        <v>0</v>
      </c>
      <c r="M146" s="147">
        <f t="shared" si="163"/>
        <v>0</v>
      </c>
      <c r="N146" s="154">
        <f t="shared" si="163"/>
        <v>0</v>
      </c>
      <c r="O146" s="154">
        <f t="shared" si="163"/>
        <v>0</v>
      </c>
      <c r="P146" s="154">
        <f t="shared" si="163"/>
        <v>0</v>
      </c>
      <c r="Q146" s="154">
        <f t="shared" si="163"/>
        <v>0</v>
      </c>
      <c r="R146" s="154">
        <f t="shared" si="163"/>
        <v>0</v>
      </c>
      <c r="S146" s="154">
        <f t="shared" si="163"/>
        <v>0</v>
      </c>
      <c r="T146" s="154">
        <f t="shared" si="163"/>
        <v>0</v>
      </c>
      <c r="U146" s="154">
        <f t="shared" si="163"/>
        <v>0</v>
      </c>
      <c r="V146" s="154">
        <f t="shared" si="163"/>
        <v>0</v>
      </c>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row>
    <row r="147" spans="1:45" s="11" customFormat="1">
      <c r="A147" s="40"/>
      <c r="B147" s="41" t="s">
        <v>2666</v>
      </c>
      <c r="C147" s="69">
        <f>C148+C149+C150+C151+C152+C153+C156+C157+C158+C159+C160+C161+C162</f>
        <v>0</v>
      </c>
      <c r="D147" s="173">
        <f>D148+D149+D150+D151+D152+D153+D156+D157+D158+D159+D160+D161+D162</f>
        <v>0</v>
      </c>
      <c r="E147" s="69">
        <f>E148+E149+E150+E151+E152+E153+E156+E157+E158+E159+E160+E161+E162</f>
        <v>0</v>
      </c>
      <c r="F147" s="69">
        <f t="shared" ref="F147:V147" si="164">F148+F149+F150+F151+F152+F153+F156+F157+F158+F159+F160+F161+F162</f>
        <v>0</v>
      </c>
      <c r="G147" s="147">
        <f t="shared" si="164"/>
        <v>0</v>
      </c>
      <c r="H147" s="52">
        <f t="shared" si="164"/>
        <v>0</v>
      </c>
      <c r="I147" s="147">
        <f t="shared" si="164"/>
        <v>0</v>
      </c>
      <c r="J147" s="52">
        <f t="shared" si="164"/>
        <v>0</v>
      </c>
      <c r="K147" s="52">
        <f t="shared" si="164"/>
        <v>0</v>
      </c>
      <c r="L147" s="52">
        <f t="shared" si="164"/>
        <v>0</v>
      </c>
      <c r="M147" s="147">
        <f t="shared" si="164"/>
        <v>0</v>
      </c>
      <c r="N147" s="154">
        <f t="shared" si="164"/>
        <v>0</v>
      </c>
      <c r="O147" s="154">
        <f t="shared" si="164"/>
        <v>0</v>
      </c>
      <c r="P147" s="154">
        <f t="shared" si="164"/>
        <v>0</v>
      </c>
      <c r="Q147" s="154">
        <f t="shared" si="164"/>
        <v>0</v>
      </c>
      <c r="R147" s="154">
        <f t="shared" si="164"/>
        <v>0</v>
      </c>
      <c r="S147" s="154">
        <f t="shared" si="164"/>
        <v>0</v>
      </c>
      <c r="T147" s="154">
        <f t="shared" si="164"/>
        <v>0</v>
      </c>
      <c r="U147" s="154">
        <f t="shared" si="164"/>
        <v>0</v>
      </c>
      <c r="V147" s="154">
        <f t="shared" si="164"/>
        <v>0</v>
      </c>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row>
    <row r="148" spans="1:45" s="11" customFormat="1" ht="20.25" customHeight="1">
      <c r="A148" s="42"/>
      <c r="B148" s="75" t="s">
        <v>3013</v>
      </c>
      <c r="C148" s="76"/>
      <c r="D148" s="177"/>
      <c r="E148" s="60"/>
      <c r="F148" s="77"/>
      <c r="G148" s="146">
        <f t="shared" ref="G148:G161" si="165">H148+I148+M148</f>
        <v>0</v>
      </c>
      <c r="H148" s="78"/>
      <c r="I148" s="146">
        <f t="shared" ref="I148:I152" si="166">SUM(J148:L148)</f>
        <v>0</v>
      </c>
      <c r="J148" s="79"/>
      <c r="K148" s="79"/>
      <c r="L148" s="79"/>
      <c r="M148" s="146">
        <f t="shared" ref="M148:M176" si="167">(H148+I148)*1%</f>
        <v>0</v>
      </c>
      <c r="N148" s="153">
        <f t="shared" ref="N148:N152" si="168">O148+P148+T148</f>
        <v>0</v>
      </c>
      <c r="O148" s="153">
        <f t="shared" ref="O148:O176" si="169">(H148/1.39)*1.49</f>
        <v>0</v>
      </c>
      <c r="P148" s="158">
        <f>Q148+R148</f>
        <v>0</v>
      </c>
      <c r="Q148" s="153">
        <f t="shared" ref="Q148:Q152" si="170">(J148/1.39)*1.49</f>
        <v>0</v>
      </c>
      <c r="R148" s="153">
        <f t="shared" ref="R148:R152" si="171">(K148/1.39)*1.49</f>
        <v>0</v>
      </c>
      <c r="S148" s="153">
        <f t="shared" ref="S148:S152" si="172">(L148/1.39)*1.49</f>
        <v>0</v>
      </c>
      <c r="T148" s="153">
        <f t="shared" ref="T148:T165" si="173">(O148+P148)*1%</f>
        <v>0</v>
      </c>
      <c r="U148" s="159">
        <f>T148-M148</f>
        <v>0</v>
      </c>
      <c r="V148" s="159">
        <f>U148*6</f>
        <v>0</v>
      </c>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row>
    <row r="149" spans="1:45" s="11" customFormat="1">
      <c r="A149" s="42"/>
      <c r="B149" s="68" t="s">
        <v>2668</v>
      </c>
      <c r="C149" s="76"/>
      <c r="D149" s="177"/>
      <c r="E149" s="60"/>
      <c r="F149" s="60"/>
      <c r="G149" s="146">
        <f t="shared" si="165"/>
        <v>0</v>
      </c>
      <c r="H149" s="78"/>
      <c r="I149" s="146">
        <f t="shared" si="166"/>
        <v>0</v>
      </c>
      <c r="J149" s="79"/>
      <c r="K149" s="79"/>
      <c r="L149" s="79"/>
      <c r="M149" s="146">
        <f t="shared" si="167"/>
        <v>0</v>
      </c>
      <c r="N149" s="153">
        <f t="shared" si="168"/>
        <v>0</v>
      </c>
      <c r="O149" s="153">
        <f t="shared" si="169"/>
        <v>0</v>
      </c>
      <c r="P149" s="158">
        <f>Q149+R149</f>
        <v>0</v>
      </c>
      <c r="Q149" s="153">
        <f t="shared" si="170"/>
        <v>0</v>
      </c>
      <c r="R149" s="153">
        <f t="shared" si="171"/>
        <v>0</v>
      </c>
      <c r="S149" s="153">
        <f t="shared" si="172"/>
        <v>0</v>
      </c>
      <c r="T149" s="153">
        <f t="shared" si="173"/>
        <v>0</v>
      </c>
      <c r="U149" s="159">
        <f>T149-M149</f>
        <v>0</v>
      </c>
      <c r="V149" s="159">
        <f>U149*6</f>
        <v>0</v>
      </c>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row>
    <row r="150" spans="1:45" s="11" customFormat="1">
      <c r="A150" s="42"/>
      <c r="B150" s="68" t="s">
        <v>3014</v>
      </c>
      <c r="C150" s="76"/>
      <c r="D150" s="177"/>
      <c r="E150" s="60"/>
      <c r="F150" s="77"/>
      <c r="G150" s="146">
        <f t="shared" si="165"/>
        <v>0</v>
      </c>
      <c r="H150" s="78"/>
      <c r="I150" s="146">
        <f t="shared" si="166"/>
        <v>0</v>
      </c>
      <c r="J150" s="79"/>
      <c r="K150" s="79"/>
      <c r="L150" s="79"/>
      <c r="M150" s="146">
        <f t="shared" si="167"/>
        <v>0</v>
      </c>
      <c r="N150" s="153">
        <f t="shared" si="168"/>
        <v>0</v>
      </c>
      <c r="O150" s="153">
        <f t="shared" si="169"/>
        <v>0</v>
      </c>
      <c r="P150" s="158">
        <f>Q150+R150</f>
        <v>0</v>
      </c>
      <c r="Q150" s="153">
        <f t="shared" si="170"/>
        <v>0</v>
      </c>
      <c r="R150" s="153">
        <f t="shared" si="171"/>
        <v>0</v>
      </c>
      <c r="S150" s="153">
        <f t="shared" si="172"/>
        <v>0</v>
      </c>
      <c r="T150" s="153">
        <f t="shared" si="173"/>
        <v>0</v>
      </c>
      <c r="U150" s="159">
        <f>T150-M150</f>
        <v>0</v>
      </c>
      <c r="V150" s="159">
        <f>U150*6</f>
        <v>0</v>
      </c>
      <c r="W150" s="25"/>
      <c r="X150" s="25"/>
      <c r="Y150" s="25"/>
      <c r="Z150" s="25"/>
      <c r="AA150" s="25"/>
      <c r="AB150" s="25"/>
      <c r="AC150" s="25"/>
      <c r="AD150" s="25"/>
      <c r="AE150" s="25"/>
      <c r="AF150" s="25"/>
      <c r="AG150" s="25"/>
      <c r="AH150" s="25"/>
      <c r="AI150" s="25"/>
      <c r="AJ150" s="25"/>
      <c r="AK150" s="25"/>
      <c r="AL150" s="25"/>
      <c r="AM150" s="25"/>
      <c r="AN150" s="25"/>
      <c r="AO150" s="25"/>
      <c r="AP150" s="25"/>
      <c r="AQ150" s="25"/>
      <c r="AR150" s="25"/>
      <c r="AS150" s="25"/>
    </row>
    <row r="151" spans="1:45" s="11" customFormat="1">
      <c r="A151" s="42"/>
      <c r="B151" s="68" t="s">
        <v>2672</v>
      </c>
      <c r="C151" s="76"/>
      <c r="D151" s="177"/>
      <c r="E151" s="60"/>
      <c r="F151" s="77"/>
      <c r="G151" s="146">
        <f t="shared" si="165"/>
        <v>0</v>
      </c>
      <c r="H151" s="78"/>
      <c r="I151" s="146">
        <f t="shared" si="166"/>
        <v>0</v>
      </c>
      <c r="J151" s="80"/>
      <c r="K151" s="81"/>
      <c r="L151" s="81"/>
      <c r="M151" s="146">
        <f t="shared" si="167"/>
        <v>0</v>
      </c>
      <c r="N151" s="153">
        <f t="shared" si="168"/>
        <v>0</v>
      </c>
      <c r="O151" s="153">
        <f t="shared" si="169"/>
        <v>0</v>
      </c>
      <c r="P151" s="158">
        <f>Q151+R151</f>
        <v>0</v>
      </c>
      <c r="Q151" s="153">
        <f t="shared" si="170"/>
        <v>0</v>
      </c>
      <c r="R151" s="153">
        <f t="shared" si="171"/>
        <v>0</v>
      </c>
      <c r="S151" s="153">
        <f t="shared" si="172"/>
        <v>0</v>
      </c>
      <c r="T151" s="153">
        <f t="shared" si="173"/>
        <v>0</v>
      </c>
      <c r="U151" s="154">
        <f>T151-M151</f>
        <v>0</v>
      </c>
      <c r="V151" s="154">
        <f t="shared" ref="V151" si="174">U151*6</f>
        <v>0</v>
      </c>
      <c r="W151" s="25"/>
      <c r="X151" s="25"/>
      <c r="Y151" s="25"/>
      <c r="Z151" s="25"/>
      <c r="AA151" s="25"/>
      <c r="AB151" s="25"/>
      <c r="AC151" s="25"/>
      <c r="AD151" s="25"/>
      <c r="AE151" s="25"/>
      <c r="AF151" s="25"/>
      <c r="AG151" s="25"/>
      <c r="AH151" s="25"/>
      <c r="AI151" s="25"/>
      <c r="AJ151" s="25"/>
      <c r="AK151" s="25"/>
      <c r="AL151" s="25"/>
      <c r="AM151" s="25"/>
      <c r="AN151" s="25"/>
      <c r="AO151" s="25"/>
      <c r="AP151" s="25"/>
      <c r="AQ151" s="25"/>
      <c r="AR151" s="25"/>
      <c r="AS151" s="25"/>
    </row>
    <row r="152" spans="1:45" s="11" customFormat="1">
      <c r="A152" s="42"/>
      <c r="B152" s="68" t="s">
        <v>3015</v>
      </c>
      <c r="C152" s="76"/>
      <c r="D152" s="177"/>
      <c r="E152" s="60"/>
      <c r="F152" s="77"/>
      <c r="G152" s="146">
        <f t="shared" si="165"/>
        <v>0</v>
      </c>
      <c r="H152" s="78"/>
      <c r="I152" s="146">
        <f t="shared" si="166"/>
        <v>0</v>
      </c>
      <c r="J152" s="78"/>
      <c r="K152" s="79"/>
      <c r="L152" s="79"/>
      <c r="M152" s="146">
        <f t="shared" si="167"/>
        <v>0</v>
      </c>
      <c r="N152" s="153">
        <f t="shared" si="168"/>
        <v>0</v>
      </c>
      <c r="O152" s="153">
        <f t="shared" si="169"/>
        <v>0</v>
      </c>
      <c r="P152" s="158">
        <f>+Q152+R152</f>
        <v>0</v>
      </c>
      <c r="Q152" s="153">
        <f t="shared" si="170"/>
        <v>0</v>
      </c>
      <c r="R152" s="153">
        <f t="shared" si="171"/>
        <v>0</v>
      </c>
      <c r="S152" s="153">
        <f t="shared" si="172"/>
        <v>0</v>
      </c>
      <c r="T152" s="153">
        <f t="shared" si="173"/>
        <v>0</v>
      </c>
      <c r="U152" s="159">
        <f>T152-M152</f>
        <v>0</v>
      </c>
      <c r="V152" s="159">
        <f>U152*6</f>
        <v>0</v>
      </c>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row>
    <row r="153" spans="1:45" s="11" customFormat="1">
      <c r="A153" s="40"/>
      <c r="B153" s="82" t="s">
        <v>2675</v>
      </c>
      <c r="C153" s="69">
        <f>C154+C155</f>
        <v>0</v>
      </c>
      <c r="D153" s="173">
        <f>D154+D155</f>
        <v>0</v>
      </c>
      <c r="E153" s="69">
        <f>E154+E155</f>
        <v>0</v>
      </c>
      <c r="F153" s="69">
        <f>F154+F155</f>
        <v>0</v>
      </c>
      <c r="G153" s="147">
        <f>G154+G155</f>
        <v>0</v>
      </c>
      <c r="H153" s="52">
        <f t="shared" ref="H153:V153" si="175">H154+H155</f>
        <v>0</v>
      </c>
      <c r="I153" s="147">
        <f t="shared" si="175"/>
        <v>0</v>
      </c>
      <c r="J153" s="52">
        <f t="shared" si="175"/>
        <v>0</v>
      </c>
      <c r="K153" s="52">
        <f t="shared" si="175"/>
        <v>0</v>
      </c>
      <c r="L153" s="52">
        <f t="shared" si="175"/>
        <v>0</v>
      </c>
      <c r="M153" s="147">
        <f t="shared" si="175"/>
        <v>0</v>
      </c>
      <c r="N153" s="154">
        <f t="shared" si="175"/>
        <v>0</v>
      </c>
      <c r="O153" s="154">
        <f t="shared" si="175"/>
        <v>0</v>
      </c>
      <c r="P153" s="154">
        <f t="shared" si="175"/>
        <v>0</v>
      </c>
      <c r="Q153" s="154">
        <f t="shared" si="175"/>
        <v>0</v>
      </c>
      <c r="R153" s="154">
        <f t="shared" si="175"/>
        <v>0</v>
      </c>
      <c r="S153" s="154">
        <f t="shared" si="175"/>
        <v>0</v>
      </c>
      <c r="T153" s="154">
        <f t="shared" si="175"/>
        <v>0</v>
      </c>
      <c r="U153" s="154">
        <f t="shared" si="175"/>
        <v>0</v>
      </c>
      <c r="V153" s="154">
        <f t="shared" si="175"/>
        <v>0</v>
      </c>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row>
    <row r="154" spans="1:45" s="11" customFormat="1">
      <c r="A154" s="42"/>
      <c r="B154" s="68" t="s">
        <v>3016</v>
      </c>
      <c r="C154" s="76"/>
      <c r="D154" s="177"/>
      <c r="E154" s="60"/>
      <c r="F154" s="60"/>
      <c r="G154" s="146">
        <f t="shared" si="165"/>
        <v>0</v>
      </c>
      <c r="H154" s="53"/>
      <c r="I154" s="146">
        <f t="shared" ref="I154:I165" si="176">SUM(J154:L154)</f>
        <v>0</v>
      </c>
      <c r="J154" s="53"/>
      <c r="K154" s="53"/>
      <c r="L154" s="53"/>
      <c r="M154" s="146">
        <f t="shared" si="167"/>
        <v>0</v>
      </c>
      <c r="N154" s="153">
        <f t="shared" ref="N154:N176" si="177">O154+P154+T154</f>
        <v>0</v>
      </c>
      <c r="O154" s="153">
        <f t="shared" si="169"/>
        <v>0</v>
      </c>
      <c r="P154" s="154">
        <f t="shared" ref="P154:P165" si="178">SUM(Q154:S154)</f>
        <v>0</v>
      </c>
      <c r="Q154" s="153">
        <f t="shared" ref="Q154:Q155" si="179">(J154/1.39)*1.49</f>
        <v>0</v>
      </c>
      <c r="R154" s="153">
        <f t="shared" ref="R154:R155" si="180">(K154/1.39)*1.49</f>
        <v>0</v>
      </c>
      <c r="S154" s="153">
        <f t="shared" ref="S154:S155" si="181">(L154/1.39)*1.49</f>
        <v>0</v>
      </c>
      <c r="T154" s="153">
        <f t="shared" si="173"/>
        <v>0</v>
      </c>
      <c r="U154" s="154">
        <f t="shared" ref="U154:U158" si="182">N154-G154</f>
        <v>0</v>
      </c>
      <c r="V154" s="154">
        <f t="shared" ref="V154:V158" si="183">U154*6</f>
        <v>0</v>
      </c>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row>
    <row r="155" spans="1:45" s="11" customFormat="1">
      <c r="A155" s="42"/>
      <c r="B155" s="68" t="s">
        <v>2677</v>
      </c>
      <c r="C155" s="71"/>
      <c r="D155" s="175"/>
      <c r="E155" s="83"/>
      <c r="F155" s="83"/>
      <c r="G155" s="146">
        <f t="shared" si="165"/>
        <v>0</v>
      </c>
      <c r="H155" s="78"/>
      <c r="I155" s="146">
        <f t="shared" si="176"/>
        <v>0</v>
      </c>
      <c r="J155" s="79"/>
      <c r="K155" s="79"/>
      <c r="L155" s="79"/>
      <c r="M155" s="146">
        <f t="shared" si="167"/>
        <v>0</v>
      </c>
      <c r="N155" s="153">
        <f t="shared" si="177"/>
        <v>0</v>
      </c>
      <c r="O155" s="153">
        <f t="shared" si="169"/>
        <v>0</v>
      </c>
      <c r="P155" s="158">
        <f>Q155+R155</f>
        <v>0</v>
      </c>
      <c r="Q155" s="153">
        <f t="shared" si="179"/>
        <v>0</v>
      </c>
      <c r="R155" s="153">
        <f t="shared" si="180"/>
        <v>0</v>
      </c>
      <c r="S155" s="153">
        <f t="shared" si="181"/>
        <v>0</v>
      </c>
      <c r="T155" s="153">
        <f t="shared" si="173"/>
        <v>0</v>
      </c>
      <c r="U155" s="159">
        <f>T155-M155</f>
        <v>0</v>
      </c>
      <c r="V155" s="159">
        <f>U155*6</f>
        <v>0</v>
      </c>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row>
    <row r="156" spans="1:45" s="11" customFormat="1" ht="25.5">
      <c r="A156" s="42"/>
      <c r="B156" s="68" t="s">
        <v>3017</v>
      </c>
      <c r="C156" s="76"/>
      <c r="D156" s="177"/>
      <c r="E156" s="60"/>
      <c r="F156" s="77"/>
      <c r="G156" s="146">
        <f t="shared" si="165"/>
        <v>0</v>
      </c>
      <c r="H156" s="78"/>
      <c r="I156" s="146">
        <f t="shared" si="176"/>
        <v>0</v>
      </c>
      <c r="J156" s="78"/>
      <c r="K156" s="79"/>
      <c r="L156" s="79"/>
      <c r="M156" s="146">
        <f t="shared" si="167"/>
        <v>0</v>
      </c>
      <c r="N156" s="153">
        <f t="shared" si="177"/>
        <v>0</v>
      </c>
      <c r="O156" s="153">
        <f t="shared" si="169"/>
        <v>0</v>
      </c>
      <c r="P156" s="158">
        <f>+Q156+R156</f>
        <v>0</v>
      </c>
      <c r="Q156" s="153">
        <f t="shared" ref="Q156" si="184">(J156/1.39)*1.49</f>
        <v>0</v>
      </c>
      <c r="R156" s="153">
        <f t="shared" ref="R156" si="185">(K156/1.39)*1.49</f>
        <v>0</v>
      </c>
      <c r="S156" s="153">
        <f t="shared" ref="S156" si="186">(L156/1.39)*1.49</f>
        <v>0</v>
      </c>
      <c r="T156" s="153">
        <f t="shared" si="173"/>
        <v>0</v>
      </c>
      <c r="U156" s="159">
        <f>T156-M156</f>
        <v>0</v>
      </c>
      <c r="V156" s="159">
        <f>U156*6</f>
        <v>0</v>
      </c>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row>
    <row r="157" spans="1:45" s="11" customFormat="1">
      <c r="A157" s="42"/>
      <c r="B157" s="68" t="s">
        <v>3018</v>
      </c>
      <c r="C157" s="76"/>
      <c r="D157" s="177"/>
      <c r="E157" s="60"/>
      <c r="F157" s="77"/>
      <c r="G157" s="146">
        <f t="shared" si="165"/>
        <v>0</v>
      </c>
      <c r="H157" s="78"/>
      <c r="I157" s="146">
        <f t="shared" si="176"/>
        <v>0</v>
      </c>
      <c r="J157" s="79"/>
      <c r="K157" s="79"/>
      <c r="L157" s="79"/>
      <c r="M157" s="146">
        <f t="shared" si="167"/>
        <v>0</v>
      </c>
      <c r="N157" s="153">
        <f t="shared" si="177"/>
        <v>0</v>
      </c>
      <c r="O157" s="153">
        <f t="shared" si="169"/>
        <v>0</v>
      </c>
      <c r="P157" s="158">
        <f>Q157+R157</f>
        <v>0</v>
      </c>
      <c r="Q157" s="153">
        <f t="shared" ref="Q157:Q162" si="187">(J157/1.39)*1.49</f>
        <v>0</v>
      </c>
      <c r="R157" s="153">
        <f t="shared" ref="R157:R162" si="188">(K157/1.39)*1.49</f>
        <v>0</v>
      </c>
      <c r="S157" s="153">
        <f t="shared" ref="S157:S162" si="189">(L157/1.39)*1.49</f>
        <v>0</v>
      </c>
      <c r="T157" s="153">
        <f t="shared" si="173"/>
        <v>0</v>
      </c>
      <c r="U157" s="159">
        <f>T157-M157</f>
        <v>0</v>
      </c>
      <c r="V157" s="159">
        <f t="shared" si="183"/>
        <v>0</v>
      </c>
      <c r="W157" s="25"/>
      <c r="X157" s="25"/>
      <c r="Y157" s="25"/>
      <c r="Z157" s="25"/>
      <c r="AA157" s="25"/>
      <c r="AB157" s="25"/>
      <c r="AC157" s="25"/>
      <c r="AD157" s="25"/>
      <c r="AE157" s="25"/>
      <c r="AF157" s="25"/>
      <c r="AG157" s="25"/>
      <c r="AH157" s="25"/>
      <c r="AI157" s="25"/>
      <c r="AJ157" s="25"/>
      <c r="AK157" s="25"/>
      <c r="AL157" s="25"/>
      <c r="AM157" s="25"/>
      <c r="AN157" s="25"/>
      <c r="AO157" s="25"/>
      <c r="AP157" s="25"/>
      <c r="AQ157" s="25"/>
      <c r="AR157" s="25"/>
      <c r="AS157" s="25"/>
    </row>
    <row r="158" spans="1:45" s="11" customFormat="1">
      <c r="A158" s="42"/>
      <c r="B158" s="68" t="s">
        <v>3019</v>
      </c>
      <c r="C158" s="76"/>
      <c r="D158" s="177"/>
      <c r="E158" s="60"/>
      <c r="F158" s="60"/>
      <c r="G158" s="146">
        <f t="shared" si="165"/>
        <v>0</v>
      </c>
      <c r="H158" s="53"/>
      <c r="I158" s="146">
        <f t="shared" si="176"/>
        <v>0</v>
      </c>
      <c r="J158" s="53"/>
      <c r="K158" s="53"/>
      <c r="L158" s="53"/>
      <c r="M158" s="146">
        <f t="shared" si="167"/>
        <v>0</v>
      </c>
      <c r="N158" s="153">
        <f t="shared" si="177"/>
        <v>0</v>
      </c>
      <c r="O158" s="153">
        <f t="shared" si="169"/>
        <v>0</v>
      </c>
      <c r="P158" s="154">
        <f t="shared" si="178"/>
        <v>0</v>
      </c>
      <c r="Q158" s="153">
        <f t="shared" si="187"/>
        <v>0</v>
      </c>
      <c r="R158" s="153">
        <f t="shared" si="188"/>
        <v>0</v>
      </c>
      <c r="S158" s="153">
        <f t="shared" si="189"/>
        <v>0</v>
      </c>
      <c r="T158" s="153">
        <f t="shared" si="173"/>
        <v>0</v>
      </c>
      <c r="U158" s="154">
        <f t="shared" si="182"/>
        <v>0</v>
      </c>
      <c r="V158" s="154">
        <f t="shared" si="183"/>
        <v>0</v>
      </c>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row>
    <row r="159" spans="1:45" s="11" customFormat="1">
      <c r="A159" s="42"/>
      <c r="B159" s="68" t="s">
        <v>2685</v>
      </c>
      <c r="C159" s="76"/>
      <c r="D159" s="177"/>
      <c r="E159" s="60"/>
      <c r="F159" s="77"/>
      <c r="G159" s="146">
        <f t="shared" si="165"/>
        <v>0</v>
      </c>
      <c r="H159" s="78"/>
      <c r="I159" s="146">
        <f t="shared" si="176"/>
        <v>0</v>
      </c>
      <c r="J159" s="78"/>
      <c r="K159" s="79"/>
      <c r="L159" s="79"/>
      <c r="M159" s="146">
        <f t="shared" si="167"/>
        <v>0</v>
      </c>
      <c r="N159" s="153">
        <f t="shared" si="177"/>
        <v>0</v>
      </c>
      <c r="O159" s="153">
        <f t="shared" si="169"/>
        <v>0</v>
      </c>
      <c r="P159" s="153">
        <f t="shared" si="178"/>
        <v>0</v>
      </c>
      <c r="Q159" s="153">
        <f t="shared" si="187"/>
        <v>0</v>
      </c>
      <c r="R159" s="153">
        <f t="shared" si="188"/>
        <v>0</v>
      </c>
      <c r="S159" s="153">
        <f t="shared" si="189"/>
        <v>0</v>
      </c>
      <c r="T159" s="153">
        <f t="shared" si="173"/>
        <v>0</v>
      </c>
      <c r="U159" s="159">
        <f>T159-M159</f>
        <v>0</v>
      </c>
      <c r="V159" s="159">
        <f>U159*6</f>
        <v>0</v>
      </c>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row>
    <row r="160" spans="1:45" s="11" customFormat="1">
      <c r="A160" s="42"/>
      <c r="B160" s="68" t="s">
        <v>3020</v>
      </c>
      <c r="C160" s="76"/>
      <c r="D160" s="177"/>
      <c r="E160" s="60"/>
      <c r="F160" s="77"/>
      <c r="G160" s="146">
        <f t="shared" si="165"/>
        <v>0</v>
      </c>
      <c r="H160" s="78"/>
      <c r="I160" s="146">
        <f t="shared" si="176"/>
        <v>0</v>
      </c>
      <c r="J160" s="79"/>
      <c r="K160" s="79"/>
      <c r="L160" s="79"/>
      <c r="M160" s="146">
        <f t="shared" si="167"/>
        <v>0</v>
      </c>
      <c r="N160" s="153">
        <f t="shared" si="177"/>
        <v>0</v>
      </c>
      <c r="O160" s="153">
        <f t="shared" si="169"/>
        <v>0</v>
      </c>
      <c r="P160" s="153">
        <f t="shared" si="178"/>
        <v>0</v>
      </c>
      <c r="Q160" s="153">
        <f t="shared" si="187"/>
        <v>0</v>
      </c>
      <c r="R160" s="153">
        <f t="shared" si="188"/>
        <v>0</v>
      </c>
      <c r="S160" s="153">
        <f t="shared" si="189"/>
        <v>0</v>
      </c>
      <c r="T160" s="153">
        <f t="shared" si="173"/>
        <v>0</v>
      </c>
      <c r="U160" s="159">
        <f>T160-M160</f>
        <v>0</v>
      </c>
      <c r="V160" s="159">
        <f>U160*6</f>
        <v>0</v>
      </c>
      <c r="W160" s="25"/>
      <c r="X160" s="25"/>
      <c r="Y160" s="25"/>
      <c r="Z160" s="25"/>
      <c r="AA160" s="25"/>
      <c r="AB160" s="25"/>
      <c r="AC160" s="25"/>
      <c r="AD160" s="25"/>
      <c r="AE160" s="25"/>
      <c r="AF160" s="25"/>
      <c r="AG160" s="25"/>
      <c r="AH160" s="25"/>
      <c r="AI160" s="25"/>
      <c r="AJ160" s="25"/>
      <c r="AK160" s="25"/>
      <c r="AL160" s="25"/>
      <c r="AM160" s="25"/>
      <c r="AN160" s="25"/>
      <c r="AO160" s="25"/>
      <c r="AP160" s="25"/>
      <c r="AQ160" s="25"/>
      <c r="AR160" s="25"/>
      <c r="AS160" s="25"/>
    </row>
    <row r="161" spans="1:45" s="11" customFormat="1">
      <c r="A161" s="42"/>
      <c r="B161" s="68" t="s">
        <v>3021</v>
      </c>
      <c r="C161" s="76"/>
      <c r="D161" s="177"/>
      <c r="E161" s="60"/>
      <c r="F161" s="60"/>
      <c r="G161" s="146">
        <f t="shared" si="165"/>
        <v>0</v>
      </c>
      <c r="H161" s="78"/>
      <c r="I161" s="146">
        <f t="shared" si="176"/>
        <v>0</v>
      </c>
      <c r="J161" s="79"/>
      <c r="K161" s="79"/>
      <c r="L161" s="81"/>
      <c r="M161" s="146">
        <f t="shared" si="167"/>
        <v>0</v>
      </c>
      <c r="N161" s="153">
        <f t="shared" si="177"/>
        <v>0</v>
      </c>
      <c r="O161" s="153">
        <f t="shared" si="169"/>
        <v>0</v>
      </c>
      <c r="P161" s="153">
        <f t="shared" si="178"/>
        <v>0</v>
      </c>
      <c r="Q161" s="153">
        <f t="shared" si="187"/>
        <v>0</v>
      </c>
      <c r="R161" s="153">
        <f t="shared" si="188"/>
        <v>0</v>
      </c>
      <c r="S161" s="153">
        <f t="shared" si="189"/>
        <v>0</v>
      </c>
      <c r="T161" s="153">
        <f t="shared" si="173"/>
        <v>0</v>
      </c>
      <c r="U161" s="159">
        <f>T161-M161</f>
        <v>0</v>
      </c>
      <c r="V161" s="159">
        <f>U161*6</f>
        <v>0</v>
      </c>
      <c r="W161" s="25"/>
      <c r="X161" s="25"/>
      <c r="Y161" s="25"/>
      <c r="Z161" s="25"/>
      <c r="AA161" s="25"/>
      <c r="AB161" s="25"/>
      <c r="AC161" s="25"/>
      <c r="AD161" s="25"/>
      <c r="AE161" s="25"/>
      <c r="AF161" s="25"/>
      <c r="AG161" s="25"/>
      <c r="AH161" s="25"/>
      <c r="AI161" s="25"/>
      <c r="AJ161" s="25"/>
      <c r="AK161" s="25"/>
      <c r="AL161" s="25"/>
      <c r="AM161" s="25"/>
      <c r="AN161" s="25"/>
      <c r="AO161" s="25"/>
      <c r="AP161" s="25"/>
      <c r="AQ161" s="25"/>
      <c r="AR161" s="25"/>
      <c r="AS161" s="25"/>
    </row>
    <row r="162" spans="1:45" s="11" customFormat="1">
      <c r="A162" s="42"/>
      <c r="B162" s="68" t="s">
        <v>3022</v>
      </c>
      <c r="C162" s="76"/>
      <c r="D162" s="177"/>
      <c r="E162" s="77"/>
      <c r="F162" s="77"/>
      <c r="G162" s="145">
        <f>H162+I162</f>
        <v>0</v>
      </c>
      <c r="H162" s="78"/>
      <c r="I162" s="146">
        <f t="shared" si="176"/>
        <v>0</v>
      </c>
      <c r="J162" s="78"/>
      <c r="K162" s="79"/>
      <c r="L162" s="79"/>
      <c r="M162" s="146">
        <f t="shared" si="167"/>
        <v>0</v>
      </c>
      <c r="N162" s="153">
        <f t="shared" si="177"/>
        <v>0</v>
      </c>
      <c r="O162" s="153">
        <f t="shared" si="169"/>
        <v>0</v>
      </c>
      <c r="P162" s="153">
        <f t="shared" si="178"/>
        <v>0</v>
      </c>
      <c r="Q162" s="153">
        <f t="shared" si="187"/>
        <v>0</v>
      </c>
      <c r="R162" s="153">
        <f t="shared" si="188"/>
        <v>0</v>
      </c>
      <c r="S162" s="153">
        <f t="shared" si="189"/>
        <v>0</v>
      </c>
      <c r="T162" s="153">
        <f t="shared" si="173"/>
        <v>0</v>
      </c>
      <c r="U162" s="159">
        <f>T162-M162</f>
        <v>0</v>
      </c>
      <c r="V162" s="159">
        <f>U162*6</f>
        <v>0</v>
      </c>
      <c r="W162" s="25"/>
      <c r="X162" s="25"/>
      <c r="Y162" s="25"/>
      <c r="Z162" s="25"/>
      <c r="AA162" s="25"/>
      <c r="AB162" s="25"/>
      <c r="AC162" s="25"/>
      <c r="AD162" s="25"/>
      <c r="AE162" s="25"/>
      <c r="AF162" s="25"/>
      <c r="AG162" s="25"/>
      <c r="AH162" s="25"/>
      <c r="AI162" s="25"/>
      <c r="AJ162" s="25"/>
      <c r="AK162" s="25"/>
      <c r="AL162" s="25"/>
      <c r="AM162" s="25"/>
      <c r="AN162" s="25"/>
      <c r="AO162" s="25"/>
      <c r="AP162" s="25"/>
      <c r="AQ162" s="25"/>
      <c r="AR162" s="25"/>
      <c r="AS162" s="25"/>
    </row>
    <row r="163" spans="1:45" s="11" customFormat="1">
      <c r="A163" s="34" t="s">
        <v>7</v>
      </c>
      <c r="B163" s="35" t="s">
        <v>3023</v>
      </c>
      <c r="C163" s="69">
        <f>C164+C165</f>
        <v>0</v>
      </c>
      <c r="D163" s="173">
        <f t="shared" ref="D163:V163" si="190">D164+D165</f>
        <v>0</v>
      </c>
      <c r="E163" s="70">
        <f t="shared" si="190"/>
        <v>0</v>
      </c>
      <c r="F163" s="70">
        <f t="shared" si="190"/>
        <v>0</v>
      </c>
      <c r="G163" s="147">
        <f t="shared" si="190"/>
        <v>0</v>
      </c>
      <c r="H163" s="52">
        <f t="shared" si="190"/>
        <v>0</v>
      </c>
      <c r="I163" s="147">
        <f t="shared" si="190"/>
        <v>0</v>
      </c>
      <c r="J163" s="52">
        <f t="shared" si="190"/>
        <v>0</v>
      </c>
      <c r="K163" s="52">
        <f t="shared" si="190"/>
        <v>0</v>
      </c>
      <c r="L163" s="52">
        <f t="shared" si="190"/>
        <v>0</v>
      </c>
      <c r="M163" s="147">
        <f t="shared" si="190"/>
        <v>0</v>
      </c>
      <c r="N163" s="154">
        <f t="shared" si="190"/>
        <v>0</v>
      </c>
      <c r="O163" s="154">
        <f t="shared" si="190"/>
        <v>0</v>
      </c>
      <c r="P163" s="154">
        <f t="shared" si="190"/>
        <v>0</v>
      </c>
      <c r="Q163" s="154">
        <f t="shared" si="190"/>
        <v>0</v>
      </c>
      <c r="R163" s="154">
        <f t="shared" si="190"/>
        <v>0</v>
      </c>
      <c r="S163" s="154">
        <f t="shared" si="190"/>
        <v>0</v>
      </c>
      <c r="T163" s="154">
        <f t="shared" si="190"/>
        <v>0</v>
      </c>
      <c r="U163" s="154">
        <f t="shared" si="190"/>
        <v>0</v>
      </c>
      <c r="V163" s="154">
        <f t="shared" si="190"/>
        <v>0</v>
      </c>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row>
    <row r="164" spans="1:45" s="11" customFormat="1" ht="25.5">
      <c r="A164" s="42"/>
      <c r="B164" s="55" t="s">
        <v>2688</v>
      </c>
      <c r="C164" s="76"/>
      <c r="D164" s="177"/>
      <c r="E164" s="60"/>
      <c r="F164" s="60"/>
      <c r="G164" s="146">
        <f t="shared" ref="G164:G165" si="191">H164+I164+M164</f>
        <v>0</v>
      </c>
      <c r="H164" s="78"/>
      <c r="I164" s="146">
        <f t="shared" si="176"/>
        <v>0</v>
      </c>
      <c r="J164" s="78"/>
      <c r="K164" s="79"/>
      <c r="L164" s="79"/>
      <c r="M164" s="146">
        <f t="shared" si="167"/>
        <v>0</v>
      </c>
      <c r="N164" s="153">
        <f t="shared" si="177"/>
        <v>0</v>
      </c>
      <c r="O164" s="153">
        <f t="shared" si="169"/>
        <v>0</v>
      </c>
      <c r="P164" s="153">
        <f t="shared" si="178"/>
        <v>0</v>
      </c>
      <c r="Q164" s="153">
        <f t="shared" ref="Q164:Q165" si="192">(J164/1.39)*1.49</f>
        <v>0</v>
      </c>
      <c r="R164" s="153">
        <f t="shared" ref="R164:R165" si="193">(K164/1.39)*1.49</f>
        <v>0</v>
      </c>
      <c r="S164" s="153">
        <f t="shared" ref="S164:S165" si="194">(L164/1.39)*1.49</f>
        <v>0</v>
      </c>
      <c r="T164" s="153">
        <f t="shared" si="173"/>
        <v>0</v>
      </c>
      <c r="U164" s="154">
        <f>T164-M164</f>
        <v>0</v>
      </c>
      <c r="V164" s="154">
        <f>U164*6</f>
        <v>0</v>
      </c>
      <c r="W164" s="25"/>
      <c r="X164" s="25"/>
      <c r="Y164" s="25"/>
      <c r="Z164" s="25"/>
      <c r="AA164" s="25"/>
      <c r="AB164" s="25"/>
      <c r="AC164" s="25"/>
      <c r="AD164" s="25"/>
      <c r="AE164" s="25"/>
      <c r="AF164" s="25"/>
      <c r="AG164" s="25"/>
      <c r="AH164" s="25"/>
      <c r="AI164" s="25"/>
      <c r="AJ164" s="25"/>
      <c r="AK164" s="25"/>
      <c r="AL164" s="25"/>
      <c r="AM164" s="25"/>
      <c r="AN164" s="25"/>
      <c r="AO164" s="25"/>
      <c r="AP164" s="25"/>
      <c r="AQ164" s="25"/>
      <c r="AR164" s="25"/>
      <c r="AS164" s="25"/>
    </row>
    <row r="165" spans="1:45" s="11" customFormat="1">
      <c r="A165" s="42"/>
      <c r="B165" s="55" t="s">
        <v>2689</v>
      </c>
      <c r="C165" s="76"/>
      <c r="D165" s="177"/>
      <c r="E165" s="60"/>
      <c r="F165" s="60"/>
      <c r="G165" s="146">
        <f t="shared" si="191"/>
        <v>0</v>
      </c>
      <c r="H165" s="78"/>
      <c r="I165" s="146">
        <f t="shared" si="176"/>
        <v>0</v>
      </c>
      <c r="J165" s="78"/>
      <c r="K165" s="79"/>
      <c r="L165" s="79"/>
      <c r="M165" s="146">
        <f t="shared" si="167"/>
        <v>0</v>
      </c>
      <c r="N165" s="153">
        <f t="shared" si="177"/>
        <v>0</v>
      </c>
      <c r="O165" s="153">
        <f t="shared" si="169"/>
        <v>0</v>
      </c>
      <c r="P165" s="153">
        <f t="shared" si="178"/>
        <v>0</v>
      </c>
      <c r="Q165" s="153">
        <f t="shared" si="192"/>
        <v>0</v>
      </c>
      <c r="R165" s="153">
        <f t="shared" si="193"/>
        <v>0</v>
      </c>
      <c r="S165" s="153">
        <f t="shared" si="194"/>
        <v>0</v>
      </c>
      <c r="T165" s="153">
        <f t="shared" si="173"/>
        <v>0</v>
      </c>
      <c r="U165" s="154">
        <f>T165-M165</f>
        <v>0</v>
      </c>
      <c r="V165" s="154">
        <f>U165*6</f>
        <v>0</v>
      </c>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row>
    <row r="166" spans="1:45" s="11" customFormat="1">
      <c r="A166" s="84" t="s">
        <v>3024</v>
      </c>
      <c r="B166" s="85" t="s">
        <v>3025</v>
      </c>
      <c r="C166" s="60">
        <f>SUM(C167:C176)</f>
        <v>0</v>
      </c>
      <c r="D166" s="177">
        <f t="shared" ref="D166:V166" si="195">SUM(D167:D176)</f>
        <v>0</v>
      </c>
      <c r="E166" s="60">
        <f t="shared" si="195"/>
        <v>0</v>
      </c>
      <c r="F166" s="60">
        <f t="shared" si="195"/>
        <v>0</v>
      </c>
      <c r="G166" s="147">
        <f t="shared" si="195"/>
        <v>0</v>
      </c>
      <c r="H166" s="53">
        <f t="shared" si="195"/>
        <v>0</v>
      </c>
      <c r="I166" s="147">
        <f t="shared" si="195"/>
        <v>0</v>
      </c>
      <c r="J166" s="53">
        <f t="shared" si="195"/>
        <v>0</v>
      </c>
      <c r="K166" s="53">
        <f t="shared" si="195"/>
        <v>0</v>
      </c>
      <c r="L166" s="53">
        <f t="shared" si="195"/>
        <v>0</v>
      </c>
      <c r="M166" s="147">
        <f t="shared" si="195"/>
        <v>0</v>
      </c>
      <c r="N166" s="154">
        <f t="shared" si="195"/>
        <v>0</v>
      </c>
      <c r="O166" s="154">
        <f t="shared" si="195"/>
        <v>0</v>
      </c>
      <c r="P166" s="154">
        <f t="shared" si="195"/>
        <v>0</v>
      </c>
      <c r="Q166" s="154">
        <f t="shared" si="195"/>
        <v>0</v>
      </c>
      <c r="R166" s="154">
        <f t="shared" si="195"/>
        <v>0</v>
      </c>
      <c r="S166" s="154">
        <f t="shared" si="195"/>
        <v>0</v>
      </c>
      <c r="T166" s="154">
        <f t="shared" si="195"/>
        <v>0</v>
      </c>
      <c r="U166" s="154">
        <f t="shared" si="195"/>
        <v>0</v>
      </c>
      <c r="V166" s="154">
        <f t="shared" si="195"/>
        <v>0</v>
      </c>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row>
    <row r="167" spans="1:45" s="11" customFormat="1" ht="25.5">
      <c r="A167" s="42"/>
      <c r="B167" s="55" t="s">
        <v>2690</v>
      </c>
      <c r="C167" s="44"/>
      <c r="D167" s="175"/>
      <c r="E167" s="44"/>
      <c r="F167" s="44"/>
      <c r="G167" s="146">
        <f t="shared" ref="G167:G176" si="196">H167+I167+M167</f>
        <v>0</v>
      </c>
      <c r="H167" s="46"/>
      <c r="I167" s="146">
        <f t="shared" ref="I167:I176" si="197">SUM(J167:L167)</f>
        <v>0</v>
      </c>
      <c r="J167" s="46"/>
      <c r="K167" s="46"/>
      <c r="L167" s="46"/>
      <c r="M167" s="146">
        <f t="shared" si="167"/>
        <v>0</v>
      </c>
      <c r="N167" s="153">
        <f t="shared" si="177"/>
        <v>0</v>
      </c>
      <c r="O167" s="153">
        <f t="shared" si="169"/>
        <v>0</v>
      </c>
      <c r="P167" s="153">
        <f t="shared" ref="P167:P176" si="198">SUM(Q167:S167)</f>
        <v>0</v>
      </c>
      <c r="Q167" s="153">
        <f t="shared" ref="Q167:Q176" si="199">(J167/1.39)*1.49</f>
        <v>0</v>
      </c>
      <c r="R167" s="153">
        <f t="shared" ref="R167:R176" si="200">(K167/1.39)*1.49</f>
        <v>0</v>
      </c>
      <c r="S167" s="153">
        <f t="shared" ref="S167:S176" si="201">(L167/1.39)*1.49</f>
        <v>0</v>
      </c>
      <c r="T167" s="153">
        <f>(O167+P167)*1%</f>
        <v>0</v>
      </c>
      <c r="U167" s="153">
        <f t="shared" ref="U167:U173" si="202">T167-M167</f>
        <v>0</v>
      </c>
      <c r="V167" s="153">
        <f t="shared" ref="V167:V176" si="203">U167*6</f>
        <v>0</v>
      </c>
      <c r="W167" s="25"/>
      <c r="X167" s="25"/>
      <c r="Y167" s="25"/>
      <c r="Z167" s="25"/>
      <c r="AA167" s="25"/>
      <c r="AB167" s="25"/>
      <c r="AC167" s="25"/>
      <c r="AD167" s="25"/>
      <c r="AE167" s="25"/>
      <c r="AF167" s="25"/>
      <c r="AG167" s="25"/>
      <c r="AH167" s="25"/>
      <c r="AI167" s="25"/>
      <c r="AJ167" s="25"/>
      <c r="AK167" s="25"/>
      <c r="AL167" s="25"/>
      <c r="AM167" s="25"/>
      <c r="AN167" s="25"/>
      <c r="AO167" s="25"/>
      <c r="AP167" s="25"/>
      <c r="AQ167" s="25"/>
      <c r="AR167" s="25"/>
      <c r="AS167" s="25"/>
    </row>
    <row r="168" spans="1:45" s="11" customFormat="1" ht="25.5">
      <c r="A168" s="42"/>
      <c r="B168" s="55" t="s">
        <v>3026</v>
      </c>
      <c r="C168" s="76"/>
      <c r="D168" s="177"/>
      <c r="E168" s="60"/>
      <c r="F168" s="60"/>
      <c r="G168" s="146">
        <f t="shared" si="196"/>
        <v>0</v>
      </c>
      <c r="H168" s="78"/>
      <c r="I168" s="146">
        <f t="shared" si="197"/>
        <v>0</v>
      </c>
      <c r="J168" s="78"/>
      <c r="K168" s="79"/>
      <c r="L168" s="79"/>
      <c r="M168" s="146">
        <f t="shared" si="167"/>
        <v>0</v>
      </c>
      <c r="N168" s="153">
        <f t="shared" si="177"/>
        <v>0</v>
      </c>
      <c r="O168" s="153">
        <f t="shared" si="169"/>
        <v>0</v>
      </c>
      <c r="P168" s="153">
        <f t="shared" si="198"/>
        <v>0</v>
      </c>
      <c r="Q168" s="153">
        <f t="shared" si="199"/>
        <v>0</v>
      </c>
      <c r="R168" s="153">
        <f t="shared" si="200"/>
        <v>0</v>
      </c>
      <c r="S168" s="153">
        <f t="shared" si="201"/>
        <v>0</v>
      </c>
      <c r="T168" s="153">
        <f t="shared" ref="T168:T170" si="204">(O168+P168)*1%</f>
        <v>0</v>
      </c>
      <c r="U168" s="154">
        <f t="shared" si="202"/>
        <v>0</v>
      </c>
      <c r="V168" s="154">
        <f>U168*6</f>
        <v>0</v>
      </c>
      <c r="W168" s="25"/>
      <c r="X168" s="25"/>
      <c r="Y168" s="25"/>
      <c r="Z168" s="25"/>
      <c r="AA168" s="25"/>
      <c r="AB168" s="25"/>
      <c r="AC168" s="25"/>
      <c r="AD168" s="25"/>
      <c r="AE168" s="25"/>
      <c r="AF168" s="25"/>
      <c r="AG168" s="25"/>
      <c r="AH168" s="25"/>
      <c r="AI168" s="25"/>
      <c r="AJ168" s="25"/>
      <c r="AK168" s="25"/>
      <c r="AL168" s="25"/>
      <c r="AM168" s="25"/>
      <c r="AN168" s="25"/>
      <c r="AO168" s="25"/>
      <c r="AP168" s="25"/>
      <c r="AQ168" s="25"/>
      <c r="AR168" s="25"/>
      <c r="AS168" s="25"/>
    </row>
    <row r="169" spans="1:45" s="11" customFormat="1" ht="25.5">
      <c r="A169" s="42"/>
      <c r="B169" s="55" t="s">
        <v>2692</v>
      </c>
      <c r="C169" s="76"/>
      <c r="D169" s="177"/>
      <c r="E169" s="60"/>
      <c r="F169" s="60"/>
      <c r="G169" s="146">
        <f t="shared" si="196"/>
        <v>0</v>
      </c>
      <c r="H169" s="78"/>
      <c r="I169" s="146">
        <f t="shared" si="197"/>
        <v>0</v>
      </c>
      <c r="J169" s="78"/>
      <c r="K169" s="79"/>
      <c r="L169" s="79"/>
      <c r="M169" s="146">
        <f t="shared" si="167"/>
        <v>0</v>
      </c>
      <c r="N169" s="153">
        <f t="shared" si="177"/>
        <v>0</v>
      </c>
      <c r="O169" s="153">
        <f t="shared" si="169"/>
        <v>0</v>
      </c>
      <c r="P169" s="153">
        <f t="shared" si="198"/>
        <v>0</v>
      </c>
      <c r="Q169" s="153">
        <f t="shared" si="199"/>
        <v>0</v>
      </c>
      <c r="R169" s="153">
        <f t="shared" si="200"/>
        <v>0</v>
      </c>
      <c r="S169" s="153">
        <f t="shared" si="201"/>
        <v>0</v>
      </c>
      <c r="T169" s="153">
        <f t="shared" si="204"/>
        <v>0</v>
      </c>
      <c r="U169" s="154">
        <f t="shared" si="202"/>
        <v>0</v>
      </c>
      <c r="V169" s="154">
        <f>U169*6</f>
        <v>0</v>
      </c>
      <c r="W169" s="25"/>
      <c r="X169" s="25"/>
      <c r="Y169" s="25"/>
      <c r="Z169" s="25"/>
      <c r="AA169" s="25"/>
      <c r="AB169" s="25"/>
      <c r="AC169" s="25"/>
      <c r="AD169" s="25"/>
      <c r="AE169" s="25"/>
      <c r="AF169" s="25"/>
      <c r="AG169" s="25"/>
      <c r="AH169" s="25"/>
      <c r="AI169" s="25"/>
      <c r="AJ169" s="25"/>
      <c r="AK169" s="25"/>
      <c r="AL169" s="25"/>
      <c r="AM169" s="25"/>
      <c r="AN169" s="25"/>
      <c r="AO169" s="25"/>
      <c r="AP169" s="25"/>
      <c r="AQ169" s="25"/>
      <c r="AR169" s="25"/>
      <c r="AS169" s="25"/>
    </row>
    <row r="170" spans="1:45" s="27" customFormat="1" ht="38.25">
      <c r="A170" s="42"/>
      <c r="B170" s="55" t="s">
        <v>2693</v>
      </c>
      <c r="C170" s="44"/>
      <c r="D170" s="175"/>
      <c r="E170" s="44"/>
      <c r="F170" s="44"/>
      <c r="G170" s="146">
        <f t="shared" si="196"/>
        <v>0</v>
      </c>
      <c r="H170" s="46"/>
      <c r="I170" s="146">
        <f t="shared" si="197"/>
        <v>0</v>
      </c>
      <c r="J170" s="46"/>
      <c r="K170" s="46"/>
      <c r="L170" s="46"/>
      <c r="M170" s="146">
        <f t="shared" si="167"/>
        <v>0</v>
      </c>
      <c r="N170" s="153">
        <f t="shared" si="177"/>
        <v>0</v>
      </c>
      <c r="O170" s="153">
        <f t="shared" si="169"/>
        <v>0</v>
      </c>
      <c r="P170" s="153">
        <f t="shared" si="198"/>
        <v>0</v>
      </c>
      <c r="Q170" s="153">
        <f t="shared" si="199"/>
        <v>0</v>
      </c>
      <c r="R170" s="153">
        <f t="shared" si="200"/>
        <v>0</v>
      </c>
      <c r="S170" s="153">
        <f t="shared" si="201"/>
        <v>0</v>
      </c>
      <c r="T170" s="153">
        <f t="shared" si="204"/>
        <v>0</v>
      </c>
      <c r="U170" s="153">
        <f t="shared" si="202"/>
        <v>0</v>
      </c>
      <c r="V170" s="153">
        <f t="shared" si="203"/>
        <v>0</v>
      </c>
      <c r="W170" s="26"/>
      <c r="X170" s="26"/>
      <c r="Y170" s="26"/>
      <c r="Z170" s="26"/>
      <c r="AA170" s="26"/>
      <c r="AB170" s="26"/>
      <c r="AC170" s="26"/>
      <c r="AD170" s="26"/>
      <c r="AE170" s="26"/>
      <c r="AF170" s="26"/>
      <c r="AG170" s="26"/>
      <c r="AH170" s="26"/>
      <c r="AI170" s="26"/>
      <c r="AJ170" s="26"/>
      <c r="AK170" s="26"/>
      <c r="AL170" s="26"/>
      <c r="AM170" s="26"/>
      <c r="AN170" s="26"/>
      <c r="AO170" s="26"/>
      <c r="AP170" s="26"/>
      <c r="AQ170" s="26"/>
      <c r="AR170" s="26"/>
      <c r="AS170" s="26"/>
    </row>
    <row r="171" spans="1:45" s="27" customFormat="1">
      <c r="A171" s="42"/>
      <c r="B171" s="55" t="s">
        <v>2694</v>
      </c>
      <c r="C171" s="76"/>
      <c r="D171" s="177"/>
      <c r="E171" s="60"/>
      <c r="F171" s="60"/>
      <c r="G171" s="146">
        <f t="shared" si="196"/>
        <v>0</v>
      </c>
      <c r="H171" s="53"/>
      <c r="I171" s="146">
        <f t="shared" si="197"/>
        <v>0</v>
      </c>
      <c r="J171" s="53"/>
      <c r="K171" s="53"/>
      <c r="L171" s="53"/>
      <c r="M171" s="146">
        <f t="shared" si="167"/>
        <v>0</v>
      </c>
      <c r="N171" s="153">
        <f t="shared" si="177"/>
        <v>0</v>
      </c>
      <c r="O171" s="153">
        <f t="shared" si="169"/>
        <v>0</v>
      </c>
      <c r="P171" s="153">
        <f t="shared" si="198"/>
        <v>0</v>
      </c>
      <c r="Q171" s="153">
        <f t="shared" si="199"/>
        <v>0</v>
      </c>
      <c r="R171" s="153">
        <f t="shared" si="200"/>
        <v>0</v>
      </c>
      <c r="S171" s="153">
        <f t="shared" si="201"/>
        <v>0</v>
      </c>
      <c r="T171" s="154"/>
      <c r="U171" s="159">
        <f t="shared" si="202"/>
        <v>0</v>
      </c>
      <c r="V171" s="154">
        <f t="shared" si="203"/>
        <v>0</v>
      </c>
    </row>
    <row r="172" spans="1:45" s="28" customFormat="1" ht="25.5">
      <c r="A172" s="42"/>
      <c r="B172" s="55" t="s">
        <v>3027</v>
      </c>
      <c r="C172" s="76"/>
      <c r="D172" s="177"/>
      <c r="E172" s="60"/>
      <c r="F172" s="60"/>
      <c r="G172" s="146">
        <f t="shared" si="196"/>
        <v>0</v>
      </c>
      <c r="H172" s="78"/>
      <c r="I172" s="146">
        <f t="shared" si="197"/>
        <v>0</v>
      </c>
      <c r="J172" s="78"/>
      <c r="K172" s="79"/>
      <c r="L172" s="79"/>
      <c r="M172" s="146">
        <f t="shared" si="167"/>
        <v>0</v>
      </c>
      <c r="N172" s="153">
        <f t="shared" si="177"/>
        <v>0</v>
      </c>
      <c r="O172" s="153">
        <f t="shared" si="169"/>
        <v>0</v>
      </c>
      <c r="P172" s="153">
        <f t="shared" si="198"/>
        <v>0</v>
      </c>
      <c r="Q172" s="153">
        <f t="shared" si="199"/>
        <v>0</v>
      </c>
      <c r="R172" s="153">
        <f t="shared" si="200"/>
        <v>0</v>
      </c>
      <c r="S172" s="153">
        <f t="shared" si="201"/>
        <v>0</v>
      </c>
      <c r="T172" s="153">
        <f t="shared" ref="T172:T176" si="205">(O172+P172)*1%</f>
        <v>0</v>
      </c>
      <c r="U172" s="154">
        <f t="shared" si="202"/>
        <v>0</v>
      </c>
      <c r="V172" s="154">
        <f>U172*6</f>
        <v>0</v>
      </c>
    </row>
    <row r="173" spans="1:45" s="27" customFormat="1" ht="25.5">
      <c r="A173" s="42"/>
      <c r="B173" s="55" t="s">
        <v>2695</v>
      </c>
      <c r="C173" s="76"/>
      <c r="D173" s="177"/>
      <c r="E173" s="60"/>
      <c r="F173" s="60"/>
      <c r="G173" s="146">
        <f t="shared" si="196"/>
        <v>0</v>
      </c>
      <c r="H173" s="78"/>
      <c r="I173" s="146">
        <f t="shared" si="197"/>
        <v>0</v>
      </c>
      <c r="J173" s="78"/>
      <c r="K173" s="79"/>
      <c r="L173" s="79"/>
      <c r="M173" s="146">
        <f t="shared" si="167"/>
        <v>0</v>
      </c>
      <c r="N173" s="153">
        <f t="shared" si="177"/>
        <v>0</v>
      </c>
      <c r="O173" s="153">
        <f t="shared" si="169"/>
        <v>0</v>
      </c>
      <c r="P173" s="153">
        <f t="shared" si="198"/>
        <v>0</v>
      </c>
      <c r="Q173" s="153">
        <f t="shared" si="199"/>
        <v>0</v>
      </c>
      <c r="R173" s="153">
        <f t="shared" si="200"/>
        <v>0</v>
      </c>
      <c r="S173" s="153">
        <f t="shared" si="201"/>
        <v>0</v>
      </c>
      <c r="T173" s="153">
        <f t="shared" si="205"/>
        <v>0</v>
      </c>
      <c r="U173" s="154">
        <f t="shared" si="202"/>
        <v>0</v>
      </c>
      <c r="V173" s="154">
        <f>U173*6</f>
        <v>0</v>
      </c>
    </row>
    <row r="174" spans="1:45" s="27" customFormat="1">
      <c r="A174" s="42"/>
      <c r="B174" s="86" t="s">
        <v>3028</v>
      </c>
      <c r="C174" s="44"/>
      <c r="D174" s="175"/>
      <c r="E174" s="44"/>
      <c r="F174" s="44"/>
      <c r="G174" s="146">
        <f t="shared" si="196"/>
        <v>0</v>
      </c>
      <c r="H174" s="46"/>
      <c r="I174" s="146">
        <f t="shared" ref="I174" si="206">SUM(J174:L174)</f>
        <v>0</v>
      </c>
      <c r="J174" s="46"/>
      <c r="K174" s="46"/>
      <c r="L174" s="46"/>
      <c r="M174" s="146">
        <f t="shared" si="167"/>
        <v>0</v>
      </c>
      <c r="N174" s="153">
        <f t="shared" si="177"/>
        <v>0</v>
      </c>
      <c r="O174" s="153">
        <f t="shared" si="169"/>
        <v>0</v>
      </c>
      <c r="P174" s="153">
        <f t="shared" si="198"/>
        <v>0</v>
      </c>
      <c r="Q174" s="153">
        <f t="shared" si="199"/>
        <v>0</v>
      </c>
      <c r="R174" s="153">
        <f t="shared" si="200"/>
        <v>0</v>
      </c>
      <c r="S174" s="153">
        <f t="shared" si="201"/>
        <v>0</v>
      </c>
      <c r="T174" s="153">
        <f t="shared" si="205"/>
        <v>0</v>
      </c>
      <c r="U174" s="153">
        <f>T174-M174</f>
        <v>0</v>
      </c>
      <c r="V174" s="153">
        <f t="shared" ref="V174" si="207">U174*6</f>
        <v>0</v>
      </c>
    </row>
    <row r="175" spans="1:45" s="27" customFormat="1" ht="25.5">
      <c r="A175" s="42"/>
      <c r="B175" s="55" t="s">
        <v>3029</v>
      </c>
      <c r="C175" s="60"/>
      <c r="D175" s="177"/>
      <c r="E175" s="60"/>
      <c r="F175" s="60"/>
      <c r="G175" s="146">
        <f t="shared" si="196"/>
        <v>0</v>
      </c>
      <c r="H175" s="53"/>
      <c r="I175" s="147">
        <f t="shared" si="197"/>
        <v>0</v>
      </c>
      <c r="J175" s="53"/>
      <c r="K175" s="53"/>
      <c r="L175" s="53"/>
      <c r="M175" s="146">
        <f t="shared" si="167"/>
        <v>0</v>
      </c>
      <c r="N175" s="153">
        <f t="shared" si="177"/>
        <v>0</v>
      </c>
      <c r="O175" s="153">
        <f t="shared" si="169"/>
        <v>0</v>
      </c>
      <c r="P175" s="153">
        <f t="shared" si="198"/>
        <v>0</v>
      </c>
      <c r="Q175" s="153">
        <f t="shared" si="199"/>
        <v>0</v>
      </c>
      <c r="R175" s="153">
        <f t="shared" si="200"/>
        <v>0</v>
      </c>
      <c r="S175" s="153">
        <f t="shared" si="201"/>
        <v>0</v>
      </c>
      <c r="T175" s="153">
        <f t="shared" si="205"/>
        <v>0</v>
      </c>
      <c r="U175" s="154">
        <f t="shared" ref="U175:U176" si="208">N175-G175</f>
        <v>0</v>
      </c>
      <c r="V175" s="154">
        <f t="shared" si="203"/>
        <v>0</v>
      </c>
    </row>
    <row r="176" spans="1:45" s="27" customFormat="1" ht="25.5">
      <c r="A176" s="42"/>
      <c r="B176" s="55" t="s">
        <v>2698</v>
      </c>
      <c r="C176" s="60"/>
      <c r="D176" s="177"/>
      <c r="E176" s="60"/>
      <c r="F176" s="60"/>
      <c r="G176" s="146">
        <f t="shared" si="196"/>
        <v>0</v>
      </c>
      <c r="H176" s="53"/>
      <c r="I176" s="147">
        <f t="shared" si="197"/>
        <v>0</v>
      </c>
      <c r="J176" s="53"/>
      <c r="K176" s="53"/>
      <c r="L176" s="53"/>
      <c r="M176" s="146">
        <f t="shared" si="167"/>
        <v>0</v>
      </c>
      <c r="N176" s="153">
        <f t="shared" si="177"/>
        <v>0</v>
      </c>
      <c r="O176" s="153">
        <f t="shared" si="169"/>
        <v>0</v>
      </c>
      <c r="P176" s="153">
        <f t="shared" si="198"/>
        <v>0</v>
      </c>
      <c r="Q176" s="153">
        <f t="shared" si="199"/>
        <v>0</v>
      </c>
      <c r="R176" s="153">
        <f t="shared" si="200"/>
        <v>0</v>
      </c>
      <c r="S176" s="153">
        <f t="shared" si="201"/>
        <v>0</v>
      </c>
      <c r="T176" s="153">
        <f t="shared" si="205"/>
        <v>0</v>
      </c>
      <c r="U176" s="154">
        <f t="shared" si="208"/>
        <v>0</v>
      </c>
      <c r="V176" s="154">
        <f t="shared" si="203"/>
        <v>0</v>
      </c>
    </row>
    <row r="177" spans="1:22" s="29" customFormat="1">
      <c r="A177" s="56">
        <v>8</v>
      </c>
      <c r="B177" s="57" t="s">
        <v>3030</v>
      </c>
      <c r="C177" s="87">
        <f>C178+C214+C239+C222</f>
        <v>0</v>
      </c>
      <c r="D177" s="176">
        <f t="shared" ref="D177:V177" si="209">D178+D214+D239+D222</f>
        <v>0</v>
      </c>
      <c r="E177" s="87">
        <f t="shared" si="209"/>
        <v>0</v>
      </c>
      <c r="F177" s="87">
        <f t="shared" si="209"/>
        <v>0</v>
      </c>
      <c r="G177" s="147">
        <f t="shared" si="209"/>
        <v>0</v>
      </c>
      <c r="H177" s="54">
        <f t="shared" si="209"/>
        <v>0</v>
      </c>
      <c r="I177" s="147">
        <f t="shared" si="209"/>
        <v>0</v>
      </c>
      <c r="J177" s="54">
        <f t="shared" si="209"/>
        <v>0</v>
      </c>
      <c r="K177" s="54">
        <f t="shared" si="209"/>
        <v>0</v>
      </c>
      <c r="L177" s="54">
        <f t="shared" si="209"/>
        <v>0</v>
      </c>
      <c r="M177" s="147">
        <f t="shared" si="209"/>
        <v>0</v>
      </c>
      <c r="N177" s="154">
        <f t="shared" si="209"/>
        <v>0</v>
      </c>
      <c r="O177" s="154">
        <f t="shared" si="209"/>
        <v>0</v>
      </c>
      <c r="P177" s="154">
        <f t="shared" si="209"/>
        <v>0</v>
      </c>
      <c r="Q177" s="154">
        <f t="shared" si="209"/>
        <v>0</v>
      </c>
      <c r="R177" s="154">
        <f t="shared" si="209"/>
        <v>0</v>
      </c>
      <c r="S177" s="154">
        <f t="shared" si="209"/>
        <v>0</v>
      </c>
      <c r="T177" s="154">
        <f t="shared" si="209"/>
        <v>0</v>
      </c>
      <c r="U177" s="154">
        <f t="shared" si="209"/>
        <v>0</v>
      </c>
      <c r="V177" s="154">
        <f t="shared" si="209"/>
        <v>0</v>
      </c>
    </row>
    <row r="178" spans="1:22" s="7" customFormat="1">
      <c r="A178" s="56" t="s">
        <v>6</v>
      </c>
      <c r="B178" s="57" t="s">
        <v>3031</v>
      </c>
      <c r="C178" s="87">
        <f>C179+C182+C183+C184+C185+C192+C193+C194+C195+C198+C201+C202+C205+C206+C207+C208+C209+C210+C211+C212+C213</f>
        <v>0</v>
      </c>
      <c r="D178" s="176">
        <f t="shared" ref="D178:V178" si="210">D179+D182+D183+D184+D185+D192+D193+D194+D195+D198+D201+D202+D205+D206+D207+D208+D209+D210+D211+D212+D213</f>
        <v>0</v>
      </c>
      <c r="E178" s="87">
        <f t="shared" si="210"/>
        <v>0</v>
      </c>
      <c r="F178" s="87">
        <f t="shared" si="210"/>
        <v>0</v>
      </c>
      <c r="G178" s="147">
        <f t="shared" si="210"/>
        <v>0</v>
      </c>
      <c r="H178" s="54">
        <f t="shared" si="210"/>
        <v>0</v>
      </c>
      <c r="I178" s="147">
        <f t="shared" si="210"/>
        <v>0</v>
      </c>
      <c r="J178" s="54">
        <f t="shared" si="210"/>
        <v>0</v>
      </c>
      <c r="K178" s="54">
        <f t="shared" si="210"/>
        <v>0</v>
      </c>
      <c r="L178" s="54">
        <f t="shared" si="210"/>
        <v>0</v>
      </c>
      <c r="M178" s="147">
        <f t="shared" si="210"/>
        <v>0</v>
      </c>
      <c r="N178" s="154">
        <f t="shared" si="210"/>
        <v>0</v>
      </c>
      <c r="O178" s="154">
        <f t="shared" si="210"/>
        <v>0</v>
      </c>
      <c r="P178" s="154">
        <f t="shared" si="210"/>
        <v>0</v>
      </c>
      <c r="Q178" s="154">
        <f t="shared" si="210"/>
        <v>0</v>
      </c>
      <c r="R178" s="154">
        <f t="shared" si="210"/>
        <v>0</v>
      </c>
      <c r="S178" s="154">
        <f t="shared" si="210"/>
        <v>0</v>
      </c>
      <c r="T178" s="154">
        <f t="shared" si="210"/>
        <v>0</v>
      </c>
      <c r="U178" s="154">
        <f t="shared" si="210"/>
        <v>0</v>
      </c>
      <c r="V178" s="154">
        <f t="shared" si="210"/>
        <v>0</v>
      </c>
    </row>
    <row r="179" spans="1:22" s="7" customFormat="1">
      <c r="A179" s="88"/>
      <c r="B179" s="89" t="s">
        <v>2705</v>
      </c>
      <c r="C179" s="87">
        <f>C180+C181</f>
        <v>0</v>
      </c>
      <c r="D179" s="176">
        <f t="shared" ref="D179:V179" si="211">D180+D181</f>
        <v>0</v>
      </c>
      <c r="E179" s="87">
        <f t="shared" si="211"/>
        <v>0</v>
      </c>
      <c r="F179" s="87">
        <f t="shared" si="211"/>
        <v>0</v>
      </c>
      <c r="G179" s="147">
        <f t="shared" si="211"/>
        <v>0</v>
      </c>
      <c r="H179" s="54">
        <f t="shared" si="211"/>
        <v>0</v>
      </c>
      <c r="I179" s="147">
        <f t="shared" si="211"/>
        <v>0</v>
      </c>
      <c r="J179" s="54">
        <f t="shared" si="211"/>
        <v>0</v>
      </c>
      <c r="K179" s="54">
        <f t="shared" si="211"/>
        <v>0</v>
      </c>
      <c r="L179" s="54">
        <f t="shared" si="211"/>
        <v>0</v>
      </c>
      <c r="M179" s="147">
        <f t="shared" si="211"/>
        <v>0</v>
      </c>
      <c r="N179" s="154">
        <f t="shared" si="211"/>
        <v>0</v>
      </c>
      <c r="O179" s="154">
        <f t="shared" si="211"/>
        <v>0</v>
      </c>
      <c r="P179" s="154">
        <f t="shared" si="211"/>
        <v>0</v>
      </c>
      <c r="Q179" s="154">
        <f t="shared" si="211"/>
        <v>0</v>
      </c>
      <c r="R179" s="154">
        <f t="shared" si="211"/>
        <v>0</v>
      </c>
      <c r="S179" s="154">
        <f t="shared" si="211"/>
        <v>0</v>
      </c>
      <c r="T179" s="154">
        <f t="shared" si="211"/>
        <v>0</v>
      </c>
      <c r="U179" s="154">
        <f t="shared" si="211"/>
        <v>0</v>
      </c>
      <c r="V179" s="154">
        <f t="shared" si="211"/>
        <v>0</v>
      </c>
    </row>
    <row r="180" spans="1:22" s="7" customFormat="1">
      <c r="A180" s="42"/>
      <c r="B180" s="55" t="s">
        <v>2706</v>
      </c>
      <c r="C180" s="44"/>
      <c r="D180" s="175"/>
      <c r="E180" s="44"/>
      <c r="F180" s="44"/>
      <c r="G180" s="146">
        <f t="shared" ref="G180:G182" si="212">H180+I180+M180</f>
        <v>0</v>
      </c>
      <c r="H180" s="46"/>
      <c r="I180" s="146">
        <f t="shared" ref="I180:I182" si="213">SUM(J180:L180)</f>
        <v>0</v>
      </c>
      <c r="J180" s="46"/>
      <c r="K180" s="46"/>
      <c r="L180" s="46"/>
      <c r="M180" s="146">
        <f t="shared" ref="M180:M213" si="214">(H180+I180)*1%</f>
        <v>0</v>
      </c>
      <c r="N180" s="153">
        <f t="shared" ref="N180:N182" si="215">O180+P180+T180</f>
        <v>0</v>
      </c>
      <c r="O180" s="153">
        <f t="shared" ref="O180:O181" si="216">(H180/1.39)*1.49</f>
        <v>0</v>
      </c>
      <c r="P180" s="153">
        <f t="shared" ref="P180:P182" si="217">SUM(Q180:S180)</f>
        <v>0</v>
      </c>
      <c r="Q180" s="153">
        <f t="shared" ref="Q180:Q184" si="218">(J180/1.39)*1.49</f>
        <v>0</v>
      </c>
      <c r="R180" s="153">
        <f t="shared" ref="R180:R184" si="219">(K180/1.39)*1.49</f>
        <v>0</v>
      </c>
      <c r="S180" s="153">
        <f t="shared" ref="S180:S184" si="220">(L180/1.39)*1.49</f>
        <v>0</v>
      </c>
      <c r="T180" s="153">
        <f t="shared" ref="T180:T184" si="221">(O180+P180)*1%</f>
        <v>0</v>
      </c>
      <c r="U180" s="153">
        <f t="shared" ref="U180" si="222">N180-G180</f>
        <v>0</v>
      </c>
      <c r="V180" s="153">
        <f t="shared" ref="V180:V182" si="223">U180*6</f>
        <v>0</v>
      </c>
    </row>
    <row r="181" spans="1:22" s="7" customFormat="1">
      <c r="A181" s="42"/>
      <c r="B181" s="55" t="s">
        <v>2707</v>
      </c>
      <c r="C181" s="44"/>
      <c r="D181" s="175"/>
      <c r="E181" s="44"/>
      <c r="F181" s="44"/>
      <c r="G181" s="146">
        <f t="shared" si="212"/>
        <v>0</v>
      </c>
      <c r="H181" s="46"/>
      <c r="I181" s="146">
        <f t="shared" si="213"/>
        <v>0</v>
      </c>
      <c r="J181" s="46"/>
      <c r="K181" s="46"/>
      <c r="L181" s="46"/>
      <c r="M181" s="146">
        <f t="shared" si="214"/>
        <v>0</v>
      </c>
      <c r="N181" s="153">
        <f t="shared" si="215"/>
        <v>0</v>
      </c>
      <c r="O181" s="153">
        <f t="shared" si="216"/>
        <v>0</v>
      </c>
      <c r="P181" s="153">
        <f t="shared" si="217"/>
        <v>0</v>
      </c>
      <c r="Q181" s="153">
        <f t="shared" si="218"/>
        <v>0</v>
      </c>
      <c r="R181" s="153">
        <f t="shared" si="219"/>
        <v>0</v>
      </c>
      <c r="S181" s="153">
        <f t="shared" si="220"/>
        <v>0</v>
      </c>
      <c r="T181" s="153">
        <f t="shared" si="221"/>
        <v>0</v>
      </c>
      <c r="U181" s="153">
        <f>T181-M181</f>
        <v>0</v>
      </c>
      <c r="V181" s="153">
        <f t="shared" si="223"/>
        <v>0</v>
      </c>
    </row>
    <row r="182" spans="1:22" s="7" customFormat="1">
      <c r="A182" s="42"/>
      <c r="B182" s="55" t="s">
        <v>2711</v>
      </c>
      <c r="C182" s="60"/>
      <c r="D182" s="177"/>
      <c r="E182" s="60"/>
      <c r="F182" s="60"/>
      <c r="G182" s="147">
        <f t="shared" si="212"/>
        <v>0</v>
      </c>
      <c r="H182" s="53"/>
      <c r="I182" s="147">
        <f t="shared" si="213"/>
        <v>0</v>
      </c>
      <c r="J182" s="53"/>
      <c r="K182" s="53"/>
      <c r="L182" s="53"/>
      <c r="M182" s="146">
        <f t="shared" si="214"/>
        <v>0</v>
      </c>
      <c r="N182" s="154">
        <f t="shared" si="215"/>
        <v>0</v>
      </c>
      <c r="O182" s="153">
        <f t="shared" ref="O182" si="224">(H182/1.3)*1.39</f>
        <v>0</v>
      </c>
      <c r="P182" s="154">
        <f t="shared" si="217"/>
        <v>0</v>
      </c>
      <c r="Q182" s="153">
        <f t="shared" si="218"/>
        <v>0</v>
      </c>
      <c r="R182" s="153">
        <f t="shared" si="219"/>
        <v>0</v>
      </c>
      <c r="S182" s="153">
        <f t="shared" si="220"/>
        <v>0</v>
      </c>
      <c r="T182" s="153">
        <f t="shared" si="221"/>
        <v>0</v>
      </c>
      <c r="U182" s="153">
        <f t="shared" ref="U182" si="225">T182-M182</f>
        <v>0</v>
      </c>
      <c r="V182" s="154">
        <f t="shared" si="223"/>
        <v>0</v>
      </c>
    </row>
    <row r="183" spans="1:22" s="7" customFormat="1">
      <c r="A183" s="42"/>
      <c r="B183" s="55" t="s">
        <v>3032</v>
      </c>
      <c r="C183" s="76"/>
      <c r="D183" s="177"/>
      <c r="E183" s="60"/>
      <c r="F183" s="60"/>
      <c r="G183" s="147">
        <f>H183+I183+M183</f>
        <v>0</v>
      </c>
      <c r="H183" s="53"/>
      <c r="I183" s="147">
        <f>SUM(J183:L183)</f>
        <v>0</v>
      </c>
      <c r="J183" s="53"/>
      <c r="K183" s="53"/>
      <c r="L183" s="53"/>
      <c r="M183" s="146">
        <f t="shared" si="214"/>
        <v>0</v>
      </c>
      <c r="N183" s="154">
        <f>O183+P183+T183</f>
        <v>0</v>
      </c>
      <c r="O183" s="153">
        <f t="shared" ref="O183:O213" si="226">(H183/1.39)*1.49</f>
        <v>0</v>
      </c>
      <c r="P183" s="154">
        <f>SUM(Q183:S183)</f>
        <v>0</v>
      </c>
      <c r="Q183" s="153">
        <f t="shared" si="218"/>
        <v>0</v>
      </c>
      <c r="R183" s="153">
        <f t="shared" si="219"/>
        <v>0</v>
      </c>
      <c r="S183" s="153">
        <f t="shared" si="220"/>
        <v>0</v>
      </c>
      <c r="T183" s="153">
        <f t="shared" si="221"/>
        <v>0</v>
      </c>
      <c r="U183" s="154">
        <f>N183-G183</f>
        <v>0</v>
      </c>
      <c r="V183" s="154">
        <f>U183*6</f>
        <v>0</v>
      </c>
    </row>
    <row r="184" spans="1:22" s="7" customFormat="1">
      <c r="A184" s="42"/>
      <c r="B184" s="55" t="s">
        <v>2712</v>
      </c>
      <c r="C184" s="76"/>
      <c r="D184" s="177"/>
      <c r="E184" s="60"/>
      <c r="F184" s="60"/>
      <c r="G184" s="147">
        <f>H184+I184+M184</f>
        <v>0</v>
      </c>
      <c r="H184" s="53"/>
      <c r="I184" s="147">
        <f>SUM(J184:L184)</f>
        <v>0</v>
      </c>
      <c r="J184" s="53"/>
      <c r="K184" s="53"/>
      <c r="L184" s="53"/>
      <c r="M184" s="146">
        <f t="shared" si="214"/>
        <v>0</v>
      </c>
      <c r="N184" s="154">
        <f>O184+P184+T184</f>
        <v>0</v>
      </c>
      <c r="O184" s="153">
        <f t="shared" si="226"/>
        <v>0</v>
      </c>
      <c r="P184" s="154">
        <f>SUM(Q184:S184)</f>
        <v>0</v>
      </c>
      <c r="Q184" s="153">
        <f t="shared" si="218"/>
        <v>0</v>
      </c>
      <c r="R184" s="153">
        <f t="shared" si="219"/>
        <v>0</v>
      </c>
      <c r="S184" s="153">
        <f t="shared" si="220"/>
        <v>0</v>
      </c>
      <c r="T184" s="153">
        <f t="shared" si="221"/>
        <v>0</v>
      </c>
      <c r="U184" s="154">
        <f>N184-G184</f>
        <v>0</v>
      </c>
      <c r="V184" s="154">
        <f>U184*6</f>
        <v>0</v>
      </c>
    </row>
    <row r="185" spans="1:22" s="7" customFormat="1">
      <c r="A185" s="88"/>
      <c r="B185" s="89" t="s">
        <v>2291</v>
      </c>
      <c r="C185" s="87">
        <f>C186+C187+C188+C189</f>
        <v>0</v>
      </c>
      <c r="D185" s="176">
        <f t="shared" ref="D185:V186" si="227">D186+D187+D188+D189</f>
        <v>0</v>
      </c>
      <c r="E185" s="87">
        <f t="shared" si="227"/>
        <v>0</v>
      </c>
      <c r="F185" s="87">
        <f t="shared" si="227"/>
        <v>0</v>
      </c>
      <c r="G185" s="147">
        <f t="shared" si="227"/>
        <v>0</v>
      </c>
      <c r="H185" s="54">
        <f t="shared" si="227"/>
        <v>0</v>
      </c>
      <c r="I185" s="147">
        <f t="shared" si="227"/>
        <v>0</v>
      </c>
      <c r="J185" s="54">
        <f t="shared" si="227"/>
        <v>0</v>
      </c>
      <c r="K185" s="54">
        <f t="shared" si="227"/>
        <v>0</v>
      </c>
      <c r="L185" s="54">
        <f t="shared" si="227"/>
        <v>0</v>
      </c>
      <c r="M185" s="147">
        <f t="shared" si="227"/>
        <v>0</v>
      </c>
      <c r="N185" s="154">
        <f t="shared" si="227"/>
        <v>0</v>
      </c>
      <c r="O185" s="154">
        <f t="shared" si="227"/>
        <v>0</v>
      </c>
      <c r="P185" s="154">
        <f t="shared" si="227"/>
        <v>0</v>
      </c>
      <c r="Q185" s="154">
        <f t="shared" si="227"/>
        <v>0</v>
      </c>
      <c r="R185" s="154">
        <f t="shared" si="227"/>
        <v>0</v>
      </c>
      <c r="S185" s="154">
        <f t="shared" si="227"/>
        <v>0</v>
      </c>
      <c r="T185" s="154">
        <f t="shared" si="227"/>
        <v>0</v>
      </c>
      <c r="U185" s="154">
        <f t="shared" si="227"/>
        <v>0</v>
      </c>
      <c r="V185" s="154">
        <f t="shared" si="227"/>
        <v>0</v>
      </c>
    </row>
    <row r="186" spans="1:22" s="7" customFormat="1">
      <c r="A186" s="42"/>
      <c r="B186" s="55" t="s">
        <v>2713</v>
      </c>
      <c r="C186" s="76"/>
      <c r="D186" s="177"/>
      <c r="E186" s="60"/>
      <c r="F186" s="60"/>
      <c r="G186" s="147">
        <f>H186+I186+M186</f>
        <v>0</v>
      </c>
      <c r="H186" s="78"/>
      <c r="I186" s="147">
        <f>SUM(J186:L186)</f>
        <v>0</v>
      </c>
      <c r="J186" s="78">
        <v>0</v>
      </c>
      <c r="K186" s="79">
        <v>0</v>
      </c>
      <c r="L186" s="79"/>
      <c r="M186" s="147">
        <f t="shared" si="227"/>
        <v>0</v>
      </c>
      <c r="N186" s="158">
        <f>O186+P186</f>
        <v>0</v>
      </c>
      <c r="O186" s="153">
        <f t="shared" si="226"/>
        <v>0</v>
      </c>
      <c r="P186" s="154">
        <f>SUM(Q186:S186)</f>
        <v>0</v>
      </c>
      <c r="Q186" s="153">
        <f t="shared" ref="Q186:Q188" si="228">(J186/1.39)*1.49</f>
        <v>0</v>
      </c>
      <c r="R186" s="153">
        <f t="shared" ref="R186:R188" si="229">(K186/1.39)*1.49</f>
        <v>0</v>
      </c>
      <c r="S186" s="153">
        <f t="shared" ref="S186:S188" si="230">(L186/1.39)*1.49</f>
        <v>0</v>
      </c>
      <c r="T186" s="153">
        <f t="shared" ref="T186:T188" si="231">(O186+P186)*1%</f>
        <v>0</v>
      </c>
      <c r="U186" s="154">
        <f>T186-M186</f>
        <v>0</v>
      </c>
      <c r="V186" s="154">
        <f>U186*6</f>
        <v>0</v>
      </c>
    </row>
    <row r="187" spans="1:22" s="7" customFormat="1">
      <c r="A187" s="42"/>
      <c r="B187" s="55" t="s">
        <v>2714</v>
      </c>
      <c r="C187" s="76"/>
      <c r="D187" s="177"/>
      <c r="E187" s="60"/>
      <c r="F187" s="60"/>
      <c r="G187" s="147">
        <f>H187+I187+M187</f>
        <v>0</v>
      </c>
      <c r="H187" s="53"/>
      <c r="I187" s="147">
        <f>SUM(J187:L187)</f>
        <v>0</v>
      </c>
      <c r="J187" s="53"/>
      <c r="K187" s="53"/>
      <c r="L187" s="53"/>
      <c r="M187" s="146">
        <f t="shared" si="214"/>
        <v>0</v>
      </c>
      <c r="N187" s="154">
        <f>O187+P187+T187</f>
        <v>0</v>
      </c>
      <c r="O187" s="153">
        <f t="shared" si="226"/>
        <v>0</v>
      </c>
      <c r="P187" s="154">
        <f>SUM(Q187:S187)</f>
        <v>0</v>
      </c>
      <c r="Q187" s="153">
        <f t="shared" si="228"/>
        <v>0</v>
      </c>
      <c r="R187" s="153">
        <f t="shared" si="229"/>
        <v>0</v>
      </c>
      <c r="S187" s="153">
        <f t="shared" si="230"/>
        <v>0</v>
      </c>
      <c r="T187" s="153">
        <f t="shared" si="231"/>
        <v>0</v>
      </c>
      <c r="U187" s="154">
        <f>N187-G187</f>
        <v>0</v>
      </c>
      <c r="V187" s="154">
        <f>U187*6</f>
        <v>0</v>
      </c>
    </row>
    <row r="188" spans="1:22" s="7" customFormat="1">
      <c r="A188" s="42"/>
      <c r="B188" s="55" t="s">
        <v>2715</v>
      </c>
      <c r="C188" s="76"/>
      <c r="D188" s="177"/>
      <c r="E188" s="60"/>
      <c r="F188" s="60"/>
      <c r="G188" s="147">
        <f>H188+I188+M188</f>
        <v>0</v>
      </c>
      <c r="H188" s="53"/>
      <c r="I188" s="147">
        <f>SUM(J188:L188)</f>
        <v>0</v>
      </c>
      <c r="J188" s="53"/>
      <c r="K188" s="53"/>
      <c r="L188" s="53"/>
      <c r="M188" s="146">
        <f t="shared" si="214"/>
        <v>0</v>
      </c>
      <c r="N188" s="154">
        <f>O188+P188+T188</f>
        <v>0</v>
      </c>
      <c r="O188" s="153">
        <f t="shared" si="226"/>
        <v>0</v>
      </c>
      <c r="P188" s="154">
        <f>SUM(Q188:S188)</f>
        <v>0</v>
      </c>
      <c r="Q188" s="153">
        <f t="shared" si="228"/>
        <v>0</v>
      </c>
      <c r="R188" s="153">
        <f t="shared" si="229"/>
        <v>0</v>
      </c>
      <c r="S188" s="153">
        <f t="shared" si="230"/>
        <v>0</v>
      </c>
      <c r="T188" s="153">
        <f t="shared" si="231"/>
        <v>0</v>
      </c>
      <c r="U188" s="154">
        <f>N188-G188</f>
        <v>0</v>
      </c>
      <c r="V188" s="154">
        <f>U188*6</f>
        <v>0</v>
      </c>
    </row>
    <row r="189" spans="1:22" s="7" customFormat="1">
      <c r="A189" s="88"/>
      <c r="B189" s="89" t="s">
        <v>2717</v>
      </c>
      <c r="C189" s="87">
        <f>C190+C191</f>
        <v>0</v>
      </c>
      <c r="D189" s="176">
        <f>D190+D191</f>
        <v>0</v>
      </c>
      <c r="E189" s="87">
        <f>E190+E191</f>
        <v>0</v>
      </c>
      <c r="F189" s="87">
        <f>F190+F191</f>
        <v>0</v>
      </c>
      <c r="G189" s="147">
        <f t="shared" ref="G189:V189" si="232">G190+G191</f>
        <v>0</v>
      </c>
      <c r="H189" s="54">
        <f t="shared" si="232"/>
        <v>0</v>
      </c>
      <c r="I189" s="147">
        <f t="shared" si="232"/>
        <v>0</v>
      </c>
      <c r="J189" s="54">
        <f t="shared" si="232"/>
        <v>0</v>
      </c>
      <c r="K189" s="54">
        <f t="shared" si="232"/>
        <v>0</v>
      </c>
      <c r="L189" s="54">
        <f t="shared" si="232"/>
        <v>0</v>
      </c>
      <c r="M189" s="147">
        <f t="shared" si="232"/>
        <v>0</v>
      </c>
      <c r="N189" s="154">
        <f t="shared" si="232"/>
        <v>0</v>
      </c>
      <c r="O189" s="154">
        <f t="shared" si="232"/>
        <v>0</v>
      </c>
      <c r="P189" s="154">
        <f t="shared" si="232"/>
        <v>0</v>
      </c>
      <c r="Q189" s="154">
        <f t="shared" si="232"/>
        <v>0</v>
      </c>
      <c r="R189" s="154">
        <f t="shared" si="232"/>
        <v>0</v>
      </c>
      <c r="S189" s="154">
        <f t="shared" si="232"/>
        <v>0</v>
      </c>
      <c r="T189" s="154">
        <f t="shared" si="232"/>
        <v>0</v>
      </c>
      <c r="U189" s="154">
        <f t="shared" si="232"/>
        <v>0</v>
      </c>
      <c r="V189" s="154">
        <f t="shared" si="232"/>
        <v>0</v>
      </c>
    </row>
    <row r="190" spans="1:22" s="7" customFormat="1">
      <c r="A190" s="42"/>
      <c r="B190" s="55" t="s">
        <v>3033</v>
      </c>
      <c r="C190" s="76"/>
      <c r="D190" s="177"/>
      <c r="E190" s="60"/>
      <c r="F190" s="60"/>
      <c r="G190" s="147">
        <f>H190+I190+M190</f>
        <v>0</v>
      </c>
      <c r="H190" s="53"/>
      <c r="I190" s="147">
        <f>SUM(J190:L190)</f>
        <v>0</v>
      </c>
      <c r="J190" s="53"/>
      <c r="K190" s="53"/>
      <c r="L190" s="53"/>
      <c r="M190" s="146">
        <f t="shared" si="214"/>
        <v>0</v>
      </c>
      <c r="N190" s="154">
        <f>O190+P190+T190</f>
        <v>0</v>
      </c>
      <c r="O190" s="153">
        <f t="shared" si="226"/>
        <v>0</v>
      </c>
      <c r="P190" s="154">
        <f>SUM(Q190:S190)</f>
        <v>0</v>
      </c>
      <c r="Q190" s="153">
        <f t="shared" ref="Q190:Q191" si="233">(J190/1.39)*1.49</f>
        <v>0</v>
      </c>
      <c r="R190" s="153">
        <f t="shared" ref="R190:R191" si="234">(K190/1.39)*1.49</f>
        <v>0</v>
      </c>
      <c r="S190" s="153">
        <f t="shared" ref="S190:S191" si="235">(L190/1.39)*1.49</f>
        <v>0</v>
      </c>
      <c r="T190" s="153">
        <f t="shared" ref="T190:T194" si="236">(O190+P190)*1%</f>
        <v>0</v>
      </c>
      <c r="U190" s="154">
        <f>N190-G190</f>
        <v>0</v>
      </c>
      <c r="V190" s="154">
        <f>U190*6</f>
        <v>0</v>
      </c>
    </row>
    <row r="191" spans="1:22" s="7" customFormat="1">
      <c r="A191" s="42"/>
      <c r="B191" s="55" t="s">
        <v>3034</v>
      </c>
      <c r="C191" s="76"/>
      <c r="D191" s="177"/>
      <c r="E191" s="60"/>
      <c r="F191" s="60"/>
      <c r="G191" s="145">
        <f>H191+I191</f>
        <v>0</v>
      </c>
      <c r="H191" s="78"/>
      <c r="I191" s="147">
        <f>SUM(J191:L191)</f>
        <v>0</v>
      </c>
      <c r="J191" s="78">
        <v>0</v>
      </c>
      <c r="K191" s="79">
        <v>0</v>
      </c>
      <c r="L191" s="79"/>
      <c r="M191" s="146">
        <f t="shared" si="214"/>
        <v>0</v>
      </c>
      <c r="N191" s="158">
        <f>O191+P191</f>
        <v>0</v>
      </c>
      <c r="O191" s="153">
        <f t="shared" si="226"/>
        <v>0</v>
      </c>
      <c r="P191" s="154">
        <f>SUM(Q191:S191)</f>
        <v>0</v>
      </c>
      <c r="Q191" s="153">
        <f t="shared" si="233"/>
        <v>0</v>
      </c>
      <c r="R191" s="153">
        <f t="shared" si="234"/>
        <v>0</v>
      </c>
      <c r="S191" s="153">
        <f t="shared" si="235"/>
        <v>0</v>
      </c>
      <c r="T191" s="153">
        <f t="shared" si="236"/>
        <v>0</v>
      </c>
      <c r="U191" s="154">
        <f>T191-M191</f>
        <v>0</v>
      </c>
      <c r="V191" s="154">
        <f>U191*6</f>
        <v>0</v>
      </c>
    </row>
    <row r="192" spans="1:22" s="7" customFormat="1">
      <c r="A192" s="42"/>
      <c r="B192" s="55" t="s">
        <v>2721</v>
      </c>
      <c r="C192" s="60"/>
      <c r="D192" s="177"/>
      <c r="E192" s="60"/>
      <c r="F192" s="60"/>
      <c r="G192" s="147">
        <f t="shared" ref="G192:G194" si="237">H192+I192+M192</f>
        <v>0</v>
      </c>
      <c r="H192" s="53"/>
      <c r="I192" s="147">
        <f t="shared" ref="I192:I194" si="238">SUM(J192:L192)</f>
        <v>0</v>
      </c>
      <c r="J192" s="53"/>
      <c r="K192" s="53"/>
      <c r="L192" s="53"/>
      <c r="M192" s="146">
        <f t="shared" si="214"/>
        <v>0</v>
      </c>
      <c r="N192" s="154">
        <f t="shared" ref="N192:N194" si="239">O192+P192+T192</f>
        <v>0</v>
      </c>
      <c r="O192" s="153">
        <f t="shared" si="226"/>
        <v>0</v>
      </c>
      <c r="P192" s="154">
        <f>SUM(Q192:S192)</f>
        <v>0</v>
      </c>
      <c r="Q192" s="153">
        <f t="shared" ref="Q192:Q194" si="240">(J192/1.39)*1.49</f>
        <v>0</v>
      </c>
      <c r="R192" s="153">
        <f t="shared" ref="R192:R194" si="241">(K192/1.39)*1.49</f>
        <v>0</v>
      </c>
      <c r="S192" s="153">
        <f t="shared" ref="S192:S194" si="242">(L192/1.39)*1.49</f>
        <v>0</v>
      </c>
      <c r="T192" s="153">
        <f t="shared" si="236"/>
        <v>0</v>
      </c>
      <c r="U192" s="154">
        <f t="shared" ref="U192:U194" si="243">N192-G192</f>
        <v>0</v>
      </c>
      <c r="V192" s="154">
        <f t="shared" ref="V192:V194" si="244">U192*6</f>
        <v>0</v>
      </c>
    </row>
    <row r="193" spans="1:22" s="7" customFormat="1">
      <c r="A193" s="42"/>
      <c r="B193" s="55" t="s">
        <v>2722</v>
      </c>
      <c r="C193" s="76"/>
      <c r="D193" s="177"/>
      <c r="E193" s="60"/>
      <c r="F193" s="60"/>
      <c r="G193" s="147">
        <f t="shared" si="237"/>
        <v>0</v>
      </c>
      <c r="H193" s="78">
        <v>0</v>
      </c>
      <c r="I193" s="147">
        <f t="shared" si="238"/>
        <v>0</v>
      </c>
      <c r="J193" s="78">
        <v>0</v>
      </c>
      <c r="K193" s="79">
        <v>0</v>
      </c>
      <c r="L193" s="79"/>
      <c r="M193" s="146">
        <f t="shared" si="214"/>
        <v>0</v>
      </c>
      <c r="N193" s="158">
        <f>O193+P193</f>
        <v>0</v>
      </c>
      <c r="O193" s="153">
        <f t="shared" si="226"/>
        <v>0</v>
      </c>
      <c r="P193" s="154">
        <f>SUM(Q193:S193)</f>
        <v>0</v>
      </c>
      <c r="Q193" s="153">
        <f t="shared" si="240"/>
        <v>0</v>
      </c>
      <c r="R193" s="153">
        <f t="shared" si="241"/>
        <v>0</v>
      </c>
      <c r="S193" s="153">
        <f t="shared" si="242"/>
        <v>0</v>
      </c>
      <c r="T193" s="153">
        <f t="shared" si="236"/>
        <v>0</v>
      </c>
      <c r="U193" s="154">
        <f>T193-M193</f>
        <v>0</v>
      </c>
      <c r="V193" s="154">
        <f>U193*6</f>
        <v>0</v>
      </c>
    </row>
    <row r="194" spans="1:22" s="7" customFormat="1">
      <c r="A194" s="42"/>
      <c r="B194" s="55" t="s">
        <v>2478</v>
      </c>
      <c r="C194" s="60"/>
      <c r="D194" s="177"/>
      <c r="E194" s="60"/>
      <c r="F194" s="60"/>
      <c r="G194" s="147">
        <f t="shared" si="237"/>
        <v>0</v>
      </c>
      <c r="H194" s="53"/>
      <c r="I194" s="147">
        <f t="shared" si="238"/>
        <v>0</v>
      </c>
      <c r="J194" s="53"/>
      <c r="K194" s="53"/>
      <c r="L194" s="53"/>
      <c r="M194" s="146">
        <f t="shared" si="214"/>
        <v>0</v>
      </c>
      <c r="N194" s="154">
        <f t="shared" si="239"/>
        <v>0</v>
      </c>
      <c r="O194" s="153">
        <f t="shared" si="226"/>
        <v>0</v>
      </c>
      <c r="P194" s="154">
        <f>SUM(Q194:S194)</f>
        <v>0</v>
      </c>
      <c r="Q194" s="153">
        <f t="shared" si="240"/>
        <v>0</v>
      </c>
      <c r="R194" s="153">
        <f t="shared" si="241"/>
        <v>0</v>
      </c>
      <c r="S194" s="153">
        <f t="shared" si="242"/>
        <v>0</v>
      </c>
      <c r="T194" s="153">
        <f t="shared" si="236"/>
        <v>0</v>
      </c>
      <c r="U194" s="154">
        <f t="shared" si="243"/>
        <v>0</v>
      </c>
      <c r="V194" s="154">
        <f t="shared" si="244"/>
        <v>0</v>
      </c>
    </row>
    <row r="195" spans="1:22" s="7" customFormat="1">
      <c r="A195" s="88"/>
      <c r="B195" s="89" t="s">
        <v>2723</v>
      </c>
      <c r="C195" s="87">
        <f>C196+C197</f>
        <v>0</v>
      </c>
      <c r="D195" s="176">
        <f t="shared" ref="D195:V195" si="245">D196+D197</f>
        <v>0</v>
      </c>
      <c r="E195" s="87">
        <f t="shared" si="245"/>
        <v>0</v>
      </c>
      <c r="F195" s="87">
        <f t="shared" si="245"/>
        <v>0</v>
      </c>
      <c r="G195" s="147">
        <f t="shared" si="245"/>
        <v>0</v>
      </c>
      <c r="H195" s="54">
        <f t="shared" si="245"/>
        <v>0</v>
      </c>
      <c r="I195" s="147">
        <f t="shared" si="245"/>
        <v>0</v>
      </c>
      <c r="J195" s="54">
        <f t="shared" si="245"/>
        <v>0</v>
      </c>
      <c r="K195" s="54">
        <f t="shared" si="245"/>
        <v>0</v>
      </c>
      <c r="L195" s="54">
        <f t="shared" si="245"/>
        <v>0</v>
      </c>
      <c r="M195" s="147">
        <f t="shared" si="245"/>
        <v>0</v>
      </c>
      <c r="N195" s="154">
        <f t="shared" si="245"/>
        <v>0</v>
      </c>
      <c r="O195" s="154">
        <f t="shared" si="245"/>
        <v>0</v>
      </c>
      <c r="P195" s="154">
        <f t="shared" si="245"/>
        <v>0</v>
      </c>
      <c r="Q195" s="154">
        <f t="shared" si="245"/>
        <v>0</v>
      </c>
      <c r="R195" s="154">
        <f t="shared" si="245"/>
        <v>0</v>
      </c>
      <c r="S195" s="154">
        <f t="shared" si="245"/>
        <v>0</v>
      </c>
      <c r="T195" s="154">
        <f t="shared" si="245"/>
        <v>0</v>
      </c>
      <c r="U195" s="154">
        <f t="shared" si="245"/>
        <v>0</v>
      </c>
      <c r="V195" s="154">
        <f t="shared" si="245"/>
        <v>0</v>
      </c>
    </row>
    <row r="196" spans="1:22" s="7" customFormat="1">
      <c r="A196" s="42"/>
      <c r="B196" s="55" t="s">
        <v>2724</v>
      </c>
      <c r="C196" s="76"/>
      <c r="D196" s="177"/>
      <c r="E196" s="60"/>
      <c r="F196" s="60"/>
      <c r="G196" s="147">
        <f>H196+I196+M196</f>
        <v>0</v>
      </c>
      <c r="H196" s="53"/>
      <c r="I196" s="147">
        <f>SUM(J196:L196)</f>
        <v>0</v>
      </c>
      <c r="J196" s="53"/>
      <c r="K196" s="53"/>
      <c r="L196" s="53"/>
      <c r="M196" s="146">
        <f t="shared" si="214"/>
        <v>0</v>
      </c>
      <c r="N196" s="154">
        <f>O196+P196+T196</f>
        <v>0</v>
      </c>
      <c r="O196" s="153">
        <f t="shared" si="226"/>
        <v>0</v>
      </c>
      <c r="P196" s="154">
        <f>SUM(Q196:S196)</f>
        <v>0</v>
      </c>
      <c r="Q196" s="153">
        <f t="shared" ref="Q196:Q197" si="246">(J196/1.39)*1.49</f>
        <v>0</v>
      </c>
      <c r="R196" s="153">
        <f t="shared" ref="R196:R197" si="247">(K196/1.39)*1.49</f>
        <v>0</v>
      </c>
      <c r="S196" s="153">
        <f t="shared" ref="S196:S197" si="248">(L196/1.39)*1.49</f>
        <v>0</v>
      </c>
      <c r="T196" s="154"/>
      <c r="U196" s="154">
        <f>N196-G196</f>
        <v>0</v>
      </c>
      <c r="V196" s="154">
        <f>U196*6</f>
        <v>0</v>
      </c>
    </row>
    <row r="197" spans="1:22" s="7" customFormat="1">
      <c r="A197" s="42"/>
      <c r="B197" s="55" t="s">
        <v>2725</v>
      </c>
      <c r="C197" s="76"/>
      <c r="D197" s="177"/>
      <c r="E197" s="60"/>
      <c r="F197" s="60"/>
      <c r="G197" s="147">
        <f t="shared" ref="G197" si="249">H197+I197+M197</f>
        <v>0</v>
      </c>
      <c r="H197" s="78"/>
      <c r="I197" s="147">
        <f>SUM(J197:L197)</f>
        <v>0</v>
      </c>
      <c r="J197" s="78">
        <v>0</v>
      </c>
      <c r="K197" s="79">
        <v>0</v>
      </c>
      <c r="L197" s="79"/>
      <c r="M197" s="146">
        <f t="shared" si="214"/>
        <v>0</v>
      </c>
      <c r="N197" s="158">
        <f>O197+P197</f>
        <v>0</v>
      </c>
      <c r="O197" s="153">
        <f t="shared" si="226"/>
        <v>0</v>
      </c>
      <c r="P197" s="154">
        <f>SUM(Q197:S197)</f>
        <v>0</v>
      </c>
      <c r="Q197" s="153">
        <f t="shared" si="246"/>
        <v>0</v>
      </c>
      <c r="R197" s="153">
        <f t="shared" si="247"/>
        <v>0</v>
      </c>
      <c r="S197" s="153">
        <f t="shared" si="248"/>
        <v>0</v>
      </c>
      <c r="T197" s="153">
        <f t="shared" ref="T197:T213" si="250">(O197+P197)*1%</f>
        <v>0</v>
      </c>
      <c r="U197" s="154">
        <f>T197-M197</f>
        <v>0</v>
      </c>
      <c r="V197" s="154">
        <f>U197*6</f>
        <v>0</v>
      </c>
    </row>
    <row r="198" spans="1:22" s="7" customFormat="1">
      <c r="A198" s="88"/>
      <c r="B198" s="89" t="s">
        <v>2467</v>
      </c>
      <c r="C198" s="90">
        <f>C199+C200</f>
        <v>0</v>
      </c>
      <c r="D198" s="178">
        <f t="shared" ref="D198:V198" si="251">D199+D200</f>
        <v>0</v>
      </c>
      <c r="E198" s="91">
        <f t="shared" si="251"/>
        <v>0</v>
      </c>
      <c r="F198" s="91">
        <f t="shared" si="251"/>
        <v>0</v>
      </c>
      <c r="G198" s="150">
        <f t="shared" si="251"/>
        <v>0</v>
      </c>
      <c r="H198" s="92">
        <f t="shared" si="251"/>
        <v>0</v>
      </c>
      <c r="I198" s="150">
        <f t="shared" si="251"/>
        <v>0</v>
      </c>
      <c r="J198" s="92">
        <f t="shared" si="251"/>
        <v>0</v>
      </c>
      <c r="K198" s="92">
        <f t="shared" si="251"/>
        <v>0</v>
      </c>
      <c r="L198" s="92">
        <f t="shared" si="251"/>
        <v>0</v>
      </c>
      <c r="M198" s="150">
        <f t="shared" si="251"/>
        <v>0</v>
      </c>
      <c r="N198" s="160">
        <f t="shared" si="251"/>
        <v>0</v>
      </c>
      <c r="O198" s="160">
        <f t="shared" si="251"/>
        <v>0</v>
      </c>
      <c r="P198" s="160">
        <f t="shared" si="251"/>
        <v>0</v>
      </c>
      <c r="Q198" s="160">
        <f t="shared" si="251"/>
        <v>0</v>
      </c>
      <c r="R198" s="160">
        <f t="shared" si="251"/>
        <v>0</v>
      </c>
      <c r="S198" s="160">
        <f t="shared" si="251"/>
        <v>0</v>
      </c>
      <c r="T198" s="160">
        <f t="shared" si="251"/>
        <v>0</v>
      </c>
      <c r="U198" s="160">
        <f t="shared" si="251"/>
        <v>0</v>
      </c>
      <c r="V198" s="160">
        <f t="shared" si="251"/>
        <v>0</v>
      </c>
    </row>
    <row r="199" spans="1:22" s="7" customFormat="1">
      <c r="A199" s="42"/>
      <c r="B199" s="55" t="s">
        <v>3035</v>
      </c>
      <c r="C199" s="60"/>
      <c r="D199" s="177"/>
      <c r="E199" s="60"/>
      <c r="F199" s="60"/>
      <c r="G199" s="147">
        <f t="shared" ref="G199:G200" si="252">H199+I199+M199</f>
        <v>0</v>
      </c>
      <c r="H199" s="53"/>
      <c r="I199" s="147">
        <f>SUM(J199:L199)</f>
        <v>0</v>
      </c>
      <c r="J199" s="53"/>
      <c r="K199" s="53"/>
      <c r="L199" s="53"/>
      <c r="M199" s="146">
        <f t="shared" si="214"/>
        <v>0</v>
      </c>
      <c r="N199" s="154">
        <f t="shared" ref="N199:N200" si="253">O199+P199+T199</f>
        <v>0</v>
      </c>
      <c r="O199" s="153">
        <f t="shared" si="226"/>
        <v>0</v>
      </c>
      <c r="P199" s="154">
        <f>SUM(Q199:S199)</f>
        <v>0</v>
      </c>
      <c r="Q199" s="153">
        <f t="shared" ref="Q199:Q200" si="254">(J199/1.39)*1.49</f>
        <v>0</v>
      </c>
      <c r="R199" s="153">
        <f t="shared" ref="R199:R200" si="255">(K199/1.39)*1.49</f>
        <v>0</v>
      </c>
      <c r="S199" s="153">
        <f t="shared" ref="S199:S200" si="256">(L199/1.39)*1.49</f>
        <v>0</v>
      </c>
      <c r="T199" s="153">
        <f t="shared" si="250"/>
        <v>0</v>
      </c>
      <c r="U199" s="154">
        <f t="shared" ref="U199:U200" si="257">N199-G199</f>
        <v>0</v>
      </c>
      <c r="V199" s="154">
        <f t="shared" ref="V199:V200" si="258">U199*6</f>
        <v>0</v>
      </c>
    </row>
    <row r="200" spans="1:22" s="7" customFormat="1">
      <c r="A200" s="42"/>
      <c r="B200" s="55" t="s">
        <v>3036</v>
      </c>
      <c r="C200" s="60"/>
      <c r="D200" s="177"/>
      <c r="E200" s="60"/>
      <c r="F200" s="60"/>
      <c r="G200" s="147">
        <f t="shared" si="252"/>
        <v>0</v>
      </c>
      <c r="H200" s="53"/>
      <c r="I200" s="147">
        <f>SUM(J200:L200)</f>
        <v>0</v>
      </c>
      <c r="J200" s="53"/>
      <c r="K200" s="53"/>
      <c r="L200" s="53"/>
      <c r="M200" s="146">
        <f t="shared" si="214"/>
        <v>0</v>
      </c>
      <c r="N200" s="154">
        <f t="shared" si="253"/>
        <v>0</v>
      </c>
      <c r="O200" s="153">
        <f t="shared" si="226"/>
        <v>0</v>
      </c>
      <c r="P200" s="154">
        <f>SUM(Q200:S200)</f>
        <v>0</v>
      </c>
      <c r="Q200" s="153">
        <f t="shared" si="254"/>
        <v>0</v>
      </c>
      <c r="R200" s="153">
        <f t="shared" si="255"/>
        <v>0</v>
      </c>
      <c r="S200" s="153">
        <f t="shared" si="256"/>
        <v>0</v>
      </c>
      <c r="T200" s="153">
        <f t="shared" si="250"/>
        <v>0</v>
      </c>
      <c r="U200" s="154">
        <f t="shared" si="257"/>
        <v>0</v>
      </c>
      <c r="V200" s="154">
        <f t="shared" si="258"/>
        <v>0</v>
      </c>
    </row>
    <row r="201" spans="1:22" s="7" customFormat="1">
      <c r="A201" s="42"/>
      <c r="B201" s="55" t="s">
        <v>2726</v>
      </c>
      <c r="C201" s="60"/>
      <c r="D201" s="177"/>
      <c r="E201" s="60"/>
      <c r="F201" s="60"/>
      <c r="G201" s="147">
        <f>H201+I201+M201</f>
        <v>0</v>
      </c>
      <c r="H201" s="53"/>
      <c r="I201" s="147">
        <f>SUM(J201:L201)</f>
        <v>0</v>
      </c>
      <c r="J201" s="53"/>
      <c r="K201" s="53"/>
      <c r="L201" s="53"/>
      <c r="M201" s="146">
        <f t="shared" si="214"/>
        <v>0</v>
      </c>
      <c r="N201" s="154">
        <f>O201+P201+T201</f>
        <v>0</v>
      </c>
      <c r="O201" s="153">
        <f t="shared" si="226"/>
        <v>0</v>
      </c>
      <c r="P201" s="154">
        <f>SUM(Q201:S201)</f>
        <v>0</v>
      </c>
      <c r="Q201" s="153">
        <f t="shared" ref="Q201:S201" si="259">(J201/1.3)*1.39</f>
        <v>0</v>
      </c>
      <c r="R201" s="153">
        <f t="shared" si="259"/>
        <v>0</v>
      </c>
      <c r="S201" s="153">
        <f t="shared" si="259"/>
        <v>0</v>
      </c>
      <c r="T201" s="153">
        <f t="shared" si="250"/>
        <v>0</v>
      </c>
      <c r="U201" s="154">
        <f>N201-G201</f>
        <v>0</v>
      </c>
      <c r="V201" s="154">
        <f>U201*6</f>
        <v>0</v>
      </c>
    </row>
    <row r="202" spans="1:22" s="7" customFormat="1">
      <c r="A202" s="88"/>
      <c r="B202" s="89" t="s">
        <v>2479</v>
      </c>
      <c r="C202" s="93">
        <f>C203+C204</f>
        <v>0</v>
      </c>
      <c r="D202" s="179">
        <f t="shared" ref="D202:V202" si="260">D203+D204</f>
        <v>0</v>
      </c>
      <c r="E202" s="93">
        <f t="shared" si="260"/>
        <v>0</v>
      </c>
      <c r="F202" s="93">
        <f t="shared" si="260"/>
        <v>0</v>
      </c>
      <c r="G202" s="145">
        <f t="shared" si="260"/>
        <v>0</v>
      </c>
      <c r="H202" s="67">
        <f t="shared" si="260"/>
        <v>0</v>
      </c>
      <c r="I202" s="145">
        <f t="shared" si="260"/>
        <v>0</v>
      </c>
      <c r="J202" s="67">
        <f t="shared" si="260"/>
        <v>0</v>
      </c>
      <c r="K202" s="67">
        <f t="shared" si="260"/>
        <v>0</v>
      </c>
      <c r="L202" s="67">
        <f t="shared" si="260"/>
        <v>0</v>
      </c>
      <c r="M202" s="145">
        <f t="shared" si="260"/>
        <v>0</v>
      </c>
      <c r="N202" s="158">
        <f t="shared" si="260"/>
        <v>0</v>
      </c>
      <c r="O202" s="158">
        <f t="shared" si="260"/>
        <v>0</v>
      </c>
      <c r="P202" s="158">
        <f t="shared" si="260"/>
        <v>0</v>
      </c>
      <c r="Q202" s="158">
        <f t="shared" si="260"/>
        <v>0</v>
      </c>
      <c r="R202" s="158">
        <f t="shared" si="260"/>
        <v>0</v>
      </c>
      <c r="S202" s="158">
        <f t="shared" si="260"/>
        <v>0</v>
      </c>
      <c r="T202" s="158">
        <f t="shared" si="260"/>
        <v>0</v>
      </c>
      <c r="U202" s="158">
        <f t="shared" si="260"/>
        <v>0</v>
      </c>
      <c r="V202" s="158">
        <f t="shared" si="260"/>
        <v>0</v>
      </c>
    </row>
    <row r="203" spans="1:22" s="7" customFormat="1">
      <c r="A203" s="42"/>
      <c r="B203" s="86" t="s">
        <v>2729</v>
      </c>
      <c r="C203" s="76"/>
      <c r="D203" s="177"/>
      <c r="E203" s="60"/>
      <c r="F203" s="60"/>
      <c r="G203" s="147">
        <f t="shared" ref="G203:G213" si="261">H203+I203+M203</f>
        <v>0</v>
      </c>
      <c r="H203" s="53"/>
      <c r="I203" s="147">
        <f>SUM(J203:L203)</f>
        <v>0</v>
      </c>
      <c r="J203" s="53"/>
      <c r="K203" s="53"/>
      <c r="L203" s="53"/>
      <c r="M203" s="146">
        <f t="shared" si="214"/>
        <v>0</v>
      </c>
      <c r="N203" s="154">
        <f t="shared" ref="N203" si="262">O203+P203+T203</f>
        <v>0</v>
      </c>
      <c r="O203" s="153">
        <f t="shared" si="226"/>
        <v>0</v>
      </c>
      <c r="P203" s="154">
        <f>SUM(Q203:S203)</f>
        <v>0</v>
      </c>
      <c r="Q203" s="153">
        <f t="shared" ref="Q203:Q213" si="263">(J203/1.39)*1.49</f>
        <v>0</v>
      </c>
      <c r="R203" s="153">
        <f t="shared" ref="R203:R213" si="264">(K203/1.39)*1.49</f>
        <v>0</v>
      </c>
      <c r="S203" s="153">
        <f t="shared" ref="S203:S213" si="265">(L203/1.39)*1.49</f>
        <v>0</v>
      </c>
      <c r="T203" s="153">
        <f t="shared" si="250"/>
        <v>0</v>
      </c>
      <c r="U203" s="159">
        <f>T203-M203</f>
        <v>0</v>
      </c>
      <c r="V203" s="154">
        <f t="shared" ref="V203:V213" si="266">U203*6</f>
        <v>0</v>
      </c>
    </row>
    <row r="204" spans="1:22" s="7" customFormat="1">
      <c r="A204" s="42"/>
      <c r="B204" s="86" t="s">
        <v>2730</v>
      </c>
      <c r="C204" s="76"/>
      <c r="D204" s="177"/>
      <c r="E204" s="60"/>
      <c r="F204" s="60"/>
      <c r="G204" s="146">
        <f t="shared" si="261"/>
        <v>0</v>
      </c>
      <c r="H204" s="78"/>
      <c r="I204" s="147">
        <f>SUM(J204:L204)</f>
        <v>0</v>
      </c>
      <c r="J204" s="79"/>
      <c r="K204" s="79"/>
      <c r="L204" s="79"/>
      <c r="M204" s="146">
        <f t="shared" si="214"/>
        <v>0</v>
      </c>
      <c r="N204" s="158">
        <f>O204+P204</f>
        <v>0</v>
      </c>
      <c r="O204" s="153">
        <f t="shared" si="226"/>
        <v>0</v>
      </c>
      <c r="P204" s="154">
        <f>SUM(Q204:S204)</f>
        <v>0</v>
      </c>
      <c r="Q204" s="153">
        <f t="shared" si="263"/>
        <v>0</v>
      </c>
      <c r="R204" s="153">
        <f t="shared" si="264"/>
        <v>0</v>
      </c>
      <c r="S204" s="153">
        <f t="shared" si="265"/>
        <v>0</v>
      </c>
      <c r="T204" s="153">
        <f t="shared" si="250"/>
        <v>0</v>
      </c>
      <c r="U204" s="159">
        <f>T204-M204</f>
        <v>0</v>
      </c>
      <c r="V204" s="154">
        <f t="shared" si="266"/>
        <v>0</v>
      </c>
    </row>
    <row r="205" spans="1:22" s="7" customFormat="1">
      <c r="A205" s="42"/>
      <c r="B205" s="55" t="s">
        <v>2300</v>
      </c>
      <c r="C205" s="60"/>
      <c r="D205" s="177"/>
      <c r="E205" s="60"/>
      <c r="F205" s="60"/>
      <c r="G205" s="146">
        <f t="shared" si="261"/>
        <v>0</v>
      </c>
      <c r="H205" s="53"/>
      <c r="I205" s="147">
        <f t="shared" ref="I205:I213" si="267">SUM(J205:L205)</f>
        <v>0</v>
      </c>
      <c r="J205" s="53"/>
      <c r="K205" s="53"/>
      <c r="L205" s="53"/>
      <c r="M205" s="146">
        <f t="shared" si="214"/>
        <v>0</v>
      </c>
      <c r="N205" s="154">
        <f t="shared" ref="N205:N213" si="268">O205+P205+T205</f>
        <v>0</v>
      </c>
      <c r="O205" s="153">
        <f t="shared" ref="O205" si="269">(H205/1.3)*1.39</f>
        <v>0</v>
      </c>
      <c r="P205" s="154">
        <f t="shared" ref="P205:P213" si="270">SUM(Q205:S205)</f>
        <v>0</v>
      </c>
      <c r="Q205" s="153">
        <f t="shared" si="263"/>
        <v>0</v>
      </c>
      <c r="R205" s="153">
        <f t="shared" si="264"/>
        <v>0</v>
      </c>
      <c r="S205" s="153">
        <f t="shared" si="265"/>
        <v>0</v>
      </c>
      <c r="T205" s="153">
        <f t="shared" si="250"/>
        <v>0</v>
      </c>
      <c r="U205" s="154">
        <f t="shared" ref="U205:U213" si="271">N205-G205</f>
        <v>0</v>
      </c>
      <c r="V205" s="154">
        <f t="shared" si="266"/>
        <v>0</v>
      </c>
    </row>
    <row r="206" spans="1:22" s="7" customFormat="1">
      <c r="A206" s="42"/>
      <c r="B206" s="55" t="s">
        <v>2731</v>
      </c>
      <c r="C206" s="60"/>
      <c r="D206" s="177"/>
      <c r="E206" s="60"/>
      <c r="F206" s="60"/>
      <c r="G206" s="146">
        <f t="shared" si="261"/>
        <v>0</v>
      </c>
      <c r="H206" s="53"/>
      <c r="I206" s="147">
        <f t="shared" si="267"/>
        <v>0</v>
      </c>
      <c r="J206" s="53"/>
      <c r="K206" s="53"/>
      <c r="L206" s="53"/>
      <c r="M206" s="146">
        <f t="shared" si="214"/>
        <v>0</v>
      </c>
      <c r="N206" s="154">
        <f t="shared" si="268"/>
        <v>0</v>
      </c>
      <c r="O206" s="153">
        <f t="shared" si="226"/>
        <v>0</v>
      </c>
      <c r="P206" s="154">
        <f t="shared" si="270"/>
        <v>0</v>
      </c>
      <c r="Q206" s="153">
        <f t="shared" si="263"/>
        <v>0</v>
      </c>
      <c r="R206" s="153">
        <f t="shared" si="264"/>
        <v>0</v>
      </c>
      <c r="S206" s="153">
        <f t="shared" si="265"/>
        <v>0</v>
      </c>
      <c r="T206" s="153">
        <f t="shared" si="250"/>
        <v>0</v>
      </c>
      <c r="U206" s="154">
        <f t="shared" si="271"/>
        <v>0</v>
      </c>
      <c r="V206" s="154">
        <f t="shared" si="266"/>
        <v>0</v>
      </c>
    </row>
    <row r="207" spans="1:22" s="7" customFormat="1">
      <c r="A207" s="42"/>
      <c r="B207" s="55" t="s">
        <v>2666</v>
      </c>
      <c r="C207" s="60"/>
      <c r="D207" s="177"/>
      <c r="E207" s="60"/>
      <c r="F207" s="60"/>
      <c r="G207" s="146">
        <f t="shared" si="261"/>
        <v>0</v>
      </c>
      <c r="H207" s="53"/>
      <c r="I207" s="147">
        <f t="shared" si="267"/>
        <v>0</v>
      </c>
      <c r="J207" s="53"/>
      <c r="K207" s="53"/>
      <c r="L207" s="53"/>
      <c r="M207" s="146">
        <f t="shared" si="214"/>
        <v>0</v>
      </c>
      <c r="N207" s="154">
        <f t="shared" si="268"/>
        <v>0</v>
      </c>
      <c r="O207" s="153">
        <f t="shared" si="226"/>
        <v>0</v>
      </c>
      <c r="P207" s="154">
        <f t="shared" si="270"/>
        <v>0</v>
      </c>
      <c r="Q207" s="153">
        <f t="shared" si="263"/>
        <v>0</v>
      </c>
      <c r="R207" s="153">
        <f t="shared" si="264"/>
        <v>0</v>
      </c>
      <c r="S207" s="153">
        <f t="shared" si="265"/>
        <v>0</v>
      </c>
      <c r="T207" s="153">
        <f t="shared" si="250"/>
        <v>0</v>
      </c>
      <c r="U207" s="154">
        <f t="shared" si="271"/>
        <v>0</v>
      </c>
      <c r="V207" s="154">
        <f t="shared" si="266"/>
        <v>0</v>
      </c>
    </row>
    <row r="208" spans="1:22" s="7" customFormat="1">
      <c r="A208" s="42"/>
      <c r="B208" s="55" t="s">
        <v>2732</v>
      </c>
      <c r="C208" s="60"/>
      <c r="D208" s="177"/>
      <c r="E208" s="60"/>
      <c r="F208" s="60"/>
      <c r="G208" s="146">
        <f t="shared" si="261"/>
        <v>0</v>
      </c>
      <c r="H208" s="53"/>
      <c r="I208" s="147">
        <f t="shared" si="267"/>
        <v>0</v>
      </c>
      <c r="J208" s="53"/>
      <c r="K208" s="53"/>
      <c r="L208" s="53"/>
      <c r="M208" s="146">
        <f t="shared" si="214"/>
        <v>0</v>
      </c>
      <c r="N208" s="154">
        <f t="shared" si="268"/>
        <v>0</v>
      </c>
      <c r="O208" s="153">
        <f t="shared" si="226"/>
        <v>0</v>
      </c>
      <c r="P208" s="154">
        <f t="shared" si="270"/>
        <v>0</v>
      </c>
      <c r="Q208" s="153">
        <f t="shared" si="263"/>
        <v>0</v>
      </c>
      <c r="R208" s="153">
        <f t="shared" si="264"/>
        <v>0</v>
      </c>
      <c r="S208" s="153">
        <f t="shared" si="265"/>
        <v>0</v>
      </c>
      <c r="T208" s="153">
        <f t="shared" si="250"/>
        <v>0</v>
      </c>
      <c r="U208" s="154">
        <f t="shared" si="271"/>
        <v>0</v>
      </c>
      <c r="V208" s="154">
        <f t="shared" si="266"/>
        <v>0</v>
      </c>
    </row>
    <row r="209" spans="1:25">
      <c r="A209" s="42"/>
      <c r="B209" s="55" t="s">
        <v>2292</v>
      </c>
      <c r="C209" s="60"/>
      <c r="D209" s="177"/>
      <c r="E209" s="60"/>
      <c r="F209" s="60"/>
      <c r="G209" s="146">
        <f t="shared" si="261"/>
        <v>0</v>
      </c>
      <c r="H209" s="53"/>
      <c r="I209" s="147">
        <f t="shared" si="267"/>
        <v>0</v>
      </c>
      <c r="J209" s="53"/>
      <c r="K209" s="53"/>
      <c r="L209" s="53"/>
      <c r="M209" s="146">
        <f t="shared" si="214"/>
        <v>0</v>
      </c>
      <c r="N209" s="154">
        <f t="shared" si="268"/>
        <v>0</v>
      </c>
      <c r="O209" s="153">
        <f t="shared" si="226"/>
        <v>0</v>
      </c>
      <c r="P209" s="154">
        <f t="shared" si="270"/>
        <v>0</v>
      </c>
      <c r="Q209" s="153">
        <f t="shared" si="263"/>
        <v>0</v>
      </c>
      <c r="R209" s="153">
        <f t="shared" si="264"/>
        <v>0</v>
      </c>
      <c r="S209" s="153">
        <f t="shared" si="265"/>
        <v>0</v>
      </c>
      <c r="T209" s="153">
        <f t="shared" si="250"/>
        <v>0</v>
      </c>
      <c r="U209" s="154">
        <f t="shared" si="271"/>
        <v>0</v>
      </c>
      <c r="V209" s="154">
        <f t="shared" si="266"/>
        <v>0</v>
      </c>
      <c r="W209" s="1171"/>
      <c r="X209" s="1171"/>
      <c r="Y209" s="1171"/>
    </row>
    <row r="210" spans="1:25">
      <c r="A210" s="42"/>
      <c r="B210" s="55" t="s">
        <v>2293</v>
      </c>
      <c r="C210" s="60"/>
      <c r="D210" s="177"/>
      <c r="E210" s="60"/>
      <c r="F210" s="60"/>
      <c r="G210" s="146">
        <f t="shared" si="261"/>
        <v>0</v>
      </c>
      <c r="H210" s="53"/>
      <c r="I210" s="147">
        <f t="shared" si="267"/>
        <v>0</v>
      </c>
      <c r="J210" s="53"/>
      <c r="K210" s="53"/>
      <c r="L210" s="53"/>
      <c r="M210" s="146">
        <f t="shared" si="214"/>
        <v>0</v>
      </c>
      <c r="N210" s="154">
        <f t="shared" si="268"/>
        <v>0</v>
      </c>
      <c r="O210" s="153">
        <f t="shared" si="226"/>
        <v>0</v>
      </c>
      <c r="P210" s="154">
        <f t="shared" si="270"/>
        <v>0</v>
      </c>
      <c r="Q210" s="153">
        <f t="shared" si="263"/>
        <v>0</v>
      </c>
      <c r="R210" s="153">
        <f t="shared" si="264"/>
        <v>0</v>
      </c>
      <c r="S210" s="153">
        <f t="shared" si="265"/>
        <v>0</v>
      </c>
      <c r="T210" s="153">
        <f t="shared" si="250"/>
        <v>0</v>
      </c>
      <c r="U210" s="154">
        <f t="shared" si="271"/>
        <v>0</v>
      </c>
      <c r="V210" s="154">
        <f t="shared" si="266"/>
        <v>0</v>
      </c>
      <c r="W210" s="1171"/>
      <c r="X210" s="1171"/>
      <c r="Y210" s="1171"/>
    </row>
    <row r="211" spans="1:25">
      <c r="A211" s="42"/>
      <c r="B211" s="86" t="s">
        <v>2733</v>
      </c>
      <c r="C211" s="60"/>
      <c r="D211" s="177"/>
      <c r="E211" s="60"/>
      <c r="F211" s="60"/>
      <c r="G211" s="146">
        <f t="shared" si="261"/>
        <v>0</v>
      </c>
      <c r="H211" s="53"/>
      <c r="I211" s="147">
        <f t="shared" si="267"/>
        <v>0</v>
      </c>
      <c r="J211" s="53"/>
      <c r="K211" s="53"/>
      <c r="L211" s="53"/>
      <c r="M211" s="146">
        <f t="shared" si="214"/>
        <v>0</v>
      </c>
      <c r="N211" s="154">
        <f t="shared" si="268"/>
        <v>0</v>
      </c>
      <c r="O211" s="153">
        <f t="shared" si="226"/>
        <v>0</v>
      </c>
      <c r="P211" s="154">
        <f t="shared" si="270"/>
        <v>0</v>
      </c>
      <c r="Q211" s="153">
        <f t="shared" si="263"/>
        <v>0</v>
      </c>
      <c r="R211" s="153">
        <f t="shared" si="264"/>
        <v>0</v>
      </c>
      <c r="S211" s="153">
        <f t="shared" si="265"/>
        <v>0</v>
      </c>
      <c r="T211" s="153">
        <f t="shared" si="250"/>
        <v>0</v>
      </c>
      <c r="U211" s="154">
        <f t="shared" si="271"/>
        <v>0</v>
      </c>
      <c r="V211" s="154">
        <f t="shared" si="266"/>
        <v>0</v>
      </c>
      <c r="W211" s="1171"/>
      <c r="X211" s="1171"/>
      <c r="Y211" s="1171"/>
    </row>
    <row r="212" spans="1:25">
      <c r="A212" s="42"/>
      <c r="B212" s="86" t="s">
        <v>2734</v>
      </c>
      <c r="C212" s="60"/>
      <c r="D212" s="177"/>
      <c r="E212" s="60"/>
      <c r="F212" s="60"/>
      <c r="G212" s="146">
        <f t="shared" si="261"/>
        <v>0</v>
      </c>
      <c r="H212" s="53"/>
      <c r="I212" s="147">
        <f t="shared" si="267"/>
        <v>0</v>
      </c>
      <c r="J212" s="53"/>
      <c r="K212" s="53"/>
      <c r="L212" s="53"/>
      <c r="M212" s="146">
        <f t="shared" si="214"/>
        <v>0</v>
      </c>
      <c r="N212" s="154">
        <f t="shared" si="268"/>
        <v>0</v>
      </c>
      <c r="O212" s="153">
        <f t="shared" si="226"/>
        <v>0</v>
      </c>
      <c r="P212" s="154">
        <f t="shared" si="270"/>
        <v>0</v>
      </c>
      <c r="Q212" s="153">
        <f t="shared" si="263"/>
        <v>0</v>
      </c>
      <c r="R212" s="153">
        <f t="shared" si="264"/>
        <v>0</v>
      </c>
      <c r="S212" s="153">
        <f t="shared" si="265"/>
        <v>0</v>
      </c>
      <c r="T212" s="153">
        <f t="shared" si="250"/>
        <v>0</v>
      </c>
      <c r="U212" s="154">
        <f t="shared" si="271"/>
        <v>0</v>
      </c>
      <c r="V212" s="154">
        <f t="shared" si="266"/>
        <v>0</v>
      </c>
      <c r="W212" s="1171"/>
      <c r="X212" s="1171"/>
      <c r="Y212" s="1171"/>
    </row>
    <row r="213" spans="1:25">
      <c r="A213" s="42"/>
      <c r="B213" s="55" t="s">
        <v>2735</v>
      </c>
      <c r="C213" s="60"/>
      <c r="D213" s="177"/>
      <c r="E213" s="60"/>
      <c r="F213" s="60"/>
      <c r="G213" s="146">
        <f t="shared" si="261"/>
        <v>0</v>
      </c>
      <c r="H213" s="53"/>
      <c r="I213" s="147">
        <f t="shared" si="267"/>
        <v>0</v>
      </c>
      <c r="J213" s="53"/>
      <c r="K213" s="53"/>
      <c r="L213" s="53"/>
      <c r="M213" s="146">
        <f t="shared" si="214"/>
        <v>0</v>
      </c>
      <c r="N213" s="154">
        <f t="shared" si="268"/>
        <v>0</v>
      </c>
      <c r="O213" s="153">
        <f t="shared" si="226"/>
        <v>0</v>
      </c>
      <c r="P213" s="154">
        <f t="shared" si="270"/>
        <v>0</v>
      </c>
      <c r="Q213" s="153">
        <f t="shared" si="263"/>
        <v>0</v>
      </c>
      <c r="R213" s="153">
        <f t="shared" si="264"/>
        <v>0</v>
      </c>
      <c r="S213" s="153">
        <f t="shared" si="265"/>
        <v>0</v>
      </c>
      <c r="T213" s="153">
        <f t="shared" si="250"/>
        <v>0</v>
      </c>
      <c r="U213" s="154">
        <f t="shared" si="271"/>
        <v>0</v>
      </c>
      <c r="V213" s="154">
        <f t="shared" si="266"/>
        <v>0</v>
      </c>
      <c r="W213" s="1171"/>
      <c r="X213" s="1171"/>
      <c r="Y213" s="1171"/>
    </row>
    <row r="214" spans="1:25">
      <c r="A214" s="56" t="s">
        <v>7</v>
      </c>
      <c r="B214" s="57" t="s">
        <v>3037</v>
      </c>
      <c r="C214" s="87">
        <f>C215+C218+C219+C220+C221</f>
        <v>0</v>
      </c>
      <c r="D214" s="176">
        <f t="shared" ref="D214:V214" si="272">D215+D218+D219+D220+D221</f>
        <v>0</v>
      </c>
      <c r="E214" s="87">
        <f t="shared" si="272"/>
        <v>0</v>
      </c>
      <c r="F214" s="87">
        <f t="shared" si="272"/>
        <v>0</v>
      </c>
      <c r="G214" s="147">
        <f t="shared" si="272"/>
        <v>0</v>
      </c>
      <c r="H214" s="54">
        <f t="shared" si="272"/>
        <v>0</v>
      </c>
      <c r="I214" s="147">
        <f t="shared" si="272"/>
        <v>0</v>
      </c>
      <c r="J214" s="54">
        <f t="shared" si="272"/>
        <v>0</v>
      </c>
      <c r="K214" s="54">
        <f t="shared" si="272"/>
        <v>0</v>
      </c>
      <c r="L214" s="54">
        <f t="shared" si="272"/>
        <v>0</v>
      </c>
      <c r="M214" s="147">
        <f t="shared" si="272"/>
        <v>0</v>
      </c>
      <c r="N214" s="154">
        <f t="shared" si="272"/>
        <v>0</v>
      </c>
      <c r="O214" s="154">
        <f t="shared" si="272"/>
        <v>0</v>
      </c>
      <c r="P214" s="154">
        <f t="shared" si="272"/>
        <v>0</v>
      </c>
      <c r="Q214" s="154">
        <f t="shared" si="272"/>
        <v>0</v>
      </c>
      <c r="R214" s="154">
        <f t="shared" si="272"/>
        <v>0</v>
      </c>
      <c r="S214" s="154">
        <f t="shared" si="272"/>
        <v>0</v>
      </c>
      <c r="T214" s="154">
        <f t="shared" si="272"/>
        <v>0</v>
      </c>
      <c r="U214" s="154">
        <f t="shared" si="272"/>
        <v>0</v>
      </c>
      <c r="V214" s="154">
        <f t="shared" si="272"/>
        <v>0</v>
      </c>
      <c r="W214" s="1171"/>
      <c r="X214" s="1171"/>
      <c r="Y214" s="1171"/>
    </row>
    <row r="215" spans="1:25">
      <c r="A215" s="88"/>
      <c r="B215" s="89" t="s">
        <v>2747</v>
      </c>
      <c r="C215" s="94">
        <f>C216+C217</f>
        <v>0</v>
      </c>
      <c r="D215" s="179">
        <f t="shared" ref="D215:V215" si="273">D216+D217</f>
        <v>0</v>
      </c>
      <c r="E215" s="94">
        <f t="shared" si="273"/>
        <v>0</v>
      </c>
      <c r="F215" s="94">
        <f t="shared" si="273"/>
        <v>0</v>
      </c>
      <c r="G215" s="146">
        <f t="shared" si="273"/>
        <v>0</v>
      </c>
      <c r="H215" s="47">
        <f t="shared" si="273"/>
        <v>0</v>
      </c>
      <c r="I215" s="146">
        <f t="shared" si="273"/>
        <v>0</v>
      </c>
      <c r="J215" s="47">
        <f t="shared" si="273"/>
        <v>0</v>
      </c>
      <c r="K215" s="47">
        <f t="shared" si="273"/>
        <v>0</v>
      </c>
      <c r="L215" s="47">
        <f t="shared" si="273"/>
        <v>0</v>
      </c>
      <c r="M215" s="146">
        <f t="shared" si="273"/>
        <v>0</v>
      </c>
      <c r="N215" s="153">
        <f t="shared" si="273"/>
        <v>0</v>
      </c>
      <c r="O215" s="153">
        <f t="shared" si="273"/>
        <v>0</v>
      </c>
      <c r="P215" s="153">
        <f t="shared" si="273"/>
        <v>0</v>
      </c>
      <c r="Q215" s="153">
        <f t="shared" si="273"/>
        <v>0</v>
      </c>
      <c r="R215" s="153">
        <f t="shared" si="273"/>
        <v>0</v>
      </c>
      <c r="S215" s="153">
        <f t="shared" si="273"/>
        <v>0</v>
      </c>
      <c r="T215" s="153">
        <f t="shared" si="273"/>
        <v>0</v>
      </c>
      <c r="U215" s="153">
        <f t="shared" si="273"/>
        <v>0</v>
      </c>
      <c r="V215" s="153">
        <f t="shared" si="273"/>
        <v>0</v>
      </c>
      <c r="W215" s="1171"/>
      <c r="X215" s="1171"/>
      <c r="Y215" s="1171"/>
    </row>
    <row r="216" spans="1:25" s="95" customFormat="1">
      <c r="A216" s="42"/>
      <c r="B216" s="86" t="s">
        <v>2748</v>
      </c>
      <c r="C216" s="44"/>
      <c r="D216" s="175"/>
      <c r="E216" s="44"/>
      <c r="F216" s="44"/>
      <c r="G216" s="146">
        <f t="shared" ref="G216:G221" si="274">H216+I216+M216</f>
        <v>0</v>
      </c>
      <c r="H216" s="46"/>
      <c r="I216" s="147">
        <f t="shared" ref="I216:I221" si="275">SUM(J216:L216)</f>
        <v>0</v>
      </c>
      <c r="J216" s="46"/>
      <c r="K216" s="46"/>
      <c r="L216" s="46"/>
      <c r="M216" s="146">
        <f t="shared" ref="M216:M221" si="276">(H216+I216)*1%</f>
        <v>0</v>
      </c>
      <c r="N216" s="153">
        <f t="shared" ref="N216:N221" si="277">O216+P216+T216</f>
        <v>0</v>
      </c>
      <c r="O216" s="153">
        <f t="shared" ref="O216:O221" si="278">(H216/1.39)*1.49</f>
        <v>0</v>
      </c>
      <c r="P216" s="153">
        <f t="shared" ref="P216:P217" si="279">SUM(Q216:S216)</f>
        <v>0</v>
      </c>
      <c r="Q216" s="153">
        <f t="shared" ref="Q216:Q221" si="280">(J216/1.39)*1.49</f>
        <v>0</v>
      </c>
      <c r="R216" s="153">
        <f t="shared" ref="R216:R221" si="281">(K216/1.39)*1.49</f>
        <v>0</v>
      </c>
      <c r="S216" s="153">
        <f t="shared" ref="S216:S221" si="282">(L216/1.39)*1.49</f>
        <v>0</v>
      </c>
      <c r="T216" s="153">
        <f t="shared" ref="T216:T221" si="283">(O216+P216)*1%</f>
        <v>0</v>
      </c>
      <c r="U216" s="153">
        <f>T216-M216</f>
        <v>0</v>
      </c>
      <c r="V216" s="153">
        <f t="shared" ref="V216:V221" si="284">U216*6</f>
        <v>0</v>
      </c>
    </row>
    <row r="217" spans="1:25" s="95" customFormat="1">
      <c r="A217" s="42"/>
      <c r="B217" s="86" t="s">
        <v>2894</v>
      </c>
      <c r="C217" s="44"/>
      <c r="D217" s="175"/>
      <c r="E217" s="44"/>
      <c r="F217" s="44"/>
      <c r="G217" s="146">
        <f t="shared" si="274"/>
        <v>0</v>
      </c>
      <c r="H217" s="46"/>
      <c r="I217" s="147">
        <f t="shared" si="275"/>
        <v>0</v>
      </c>
      <c r="J217" s="46"/>
      <c r="K217" s="46"/>
      <c r="L217" s="46"/>
      <c r="M217" s="146">
        <f t="shared" si="276"/>
        <v>0</v>
      </c>
      <c r="N217" s="153">
        <f t="shared" si="277"/>
        <v>0</v>
      </c>
      <c r="O217" s="153">
        <f t="shared" si="278"/>
        <v>0</v>
      </c>
      <c r="P217" s="153">
        <f t="shared" si="279"/>
        <v>0</v>
      </c>
      <c r="Q217" s="153">
        <f t="shared" si="280"/>
        <v>0</v>
      </c>
      <c r="R217" s="153">
        <f t="shared" si="281"/>
        <v>0</v>
      </c>
      <c r="S217" s="153">
        <f t="shared" si="282"/>
        <v>0</v>
      </c>
      <c r="T217" s="153">
        <f t="shared" si="283"/>
        <v>0</v>
      </c>
      <c r="U217" s="153">
        <f>T217-M217</f>
        <v>0</v>
      </c>
      <c r="V217" s="153">
        <f t="shared" si="284"/>
        <v>0</v>
      </c>
    </row>
    <row r="218" spans="1:25" s="95" customFormat="1">
      <c r="A218" s="42"/>
      <c r="B218" s="55" t="s">
        <v>2750</v>
      </c>
      <c r="C218" s="44"/>
      <c r="D218" s="175"/>
      <c r="E218" s="44"/>
      <c r="F218" s="44"/>
      <c r="G218" s="146">
        <f t="shared" si="274"/>
        <v>0</v>
      </c>
      <c r="H218" s="46"/>
      <c r="I218" s="147">
        <f t="shared" si="275"/>
        <v>0</v>
      </c>
      <c r="J218" s="46"/>
      <c r="K218" s="46"/>
      <c r="L218" s="46"/>
      <c r="M218" s="146">
        <f t="shared" si="276"/>
        <v>0</v>
      </c>
      <c r="N218" s="153">
        <f t="shared" si="277"/>
        <v>0</v>
      </c>
      <c r="O218" s="153">
        <f t="shared" si="278"/>
        <v>0</v>
      </c>
      <c r="P218" s="153">
        <f t="shared" ref="P218:P221" si="285">SUM(Q218:S218)</f>
        <v>0</v>
      </c>
      <c r="Q218" s="153">
        <f t="shared" si="280"/>
        <v>0</v>
      </c>
      <c r="R218" s="153">
        <f t="shared" si="281"/>
        <v>0</v>
      </c>
      <c r="S218" s="153">
        <f t="shared" si="282"/>
        <v>0</v>
      </c>
      <c r="T218" s="153">
        <f t="shared" si="283"/>
        <v>0</v>
      </c>
      <c r="U218" s="153">
        <f>T218-M218</f>
        <v>0</v>
      </c>
      <c r="V218" s="153">
        <f t="shared" si="284"/>
        <v>0</v>
      </c>
    </row>
    <row r="219" spans="1:25">
      <c r="A219" s="42"/>
      <c r="B219" s="55" t="s">
        <v>2751</v>
      </c>
      <c r="C219" s="44"/>
      <c r="D219" s="175"/>
      <c r="E219" s="44"/>
      <c r="F219" s="44"/>
      <c r="G219" s="146">
        <f t="shared" si="274"/>
        <v>0</v>
      </c>
      <c r="H219" s="46"/>
      <c r="I219" s="147">
        <f t="shared" si="275"/>
        <v>0</v>
      </c>
      <c r="J219" s="46"/>
      <c r="K219" s="46"/>
      <c r="L219" s="46"/>
      <c r="M219" s="146">
        <f t="shared" si="276"/>
        <v>0</v>
      </c>
      <c r="N219" s="153">
        <f t="shared" si="277"/>
        <v>0</v>
      </c>
      <c r="O219" s="153">
        <f t="shared" si="278"/>
        <v>0</v>
      </c>
      <c r="P219" s="153">
        <f t="shared" si="285"/>
        <v>0</v>
      </c>
      <c r="Q219" s="153">
        <f t="shared" si="280"/>
        <v>0</v>
      </c>
      <c r="R219" s="153">
        <f t="shared" si="281"/>
        <v>0</v>
      </c>
      <c r="S219" s="153">
        <f t="shared" si="282"/>
        <v>0</v>
      </c>
      <c r="T219" s="153">
        <f t="shared" si="283"/>
        <v>0</v>
      </c>
      <c r="U219" s="153">
        <f t="shared" ref="U219:U221" si="286">N219-G219</f>
        <v>0</v>
      </c>
      <c r="V219" s="153">
        <f t="shared" si="284"/>
        <v>0</v>
      </c>
      <c r="W219" s="1171"/>
      <c r="X219" s="1171"/>
      <c r="Y219" s="1171"/>
    </row>
    <row r="220" spans="1:25">
      <c r="A220" s="42"/>
      <c r="B220" s="55" t="s">
        <v>2752</v>
      </c>
      <c r="C220" s="44"/>
      <c r="D220" s="175"/>
      <c r="E220" s="44"/>
      <c r="F220" s="44"/>
      <c r="G220" s="146">
        <f t="shared" si="274"/>
        <v>0</v>
      </c>
      <c r="H220" s="46"/>
      <c r="I220" s="147">
        <f t="shared" si="275"/>
        <v>0</v>
      </c>
      <c r="J220" s="46"/>
      <c r="K220" s="46"/>
      <c r="L220" s="46"/>
      <c r="M220" s="146">
        <f t="shared" si="276"/>
        <v>0</v>
      </c>
      <c r="N220" s="153">
        <f t="shared" si="277"/>
        <v>0</v>
      </c>
      <c r="O220" s="153">
        <f t="shared" si="278"/>
        <v>0</v>
      </c>
      <c r="P220" s="153">
        <f t="shared" si="285"/>
        <v>0</v>
      </c>
      <c r="Q220" s="153">
        <f t="shared" si="280"/>
        <v>0</v>
      </c>
      <c r="R220" s="153">
        <f t="shared" si="281"/>
        <v>0</v>
      </c>
      <c r="S220" s="153">
        <f t="shared" si="282"/>
        <v>0</v>
      </c>
      <c r="T220" s="153">
        <f t="shared" si="283"/>
        <v>0</v>
      </c>
      <c r="U220" s="153">
        <f t="shared" si="286"/>
        <v>0</v>
      </c>
      <c r="V220" s="153">
        <f t="shared" si="284"/>
        <v>0</v>
      </c>
      <c r="W220" s="1171"/>
      <c r="X220" s="1171"/>
      <c r="Y220" s="1171"/>
    </row>
    <row r="221" spans="1:25">
      <c r="A221" s="42"/>
      <c r="B221" s="55" t="s">
        <v>2753</v>
      </c>
      <c r="C221" s="44"/>
      <c r="D221" s="175"/>
      <c r="E221" s="44"/>
      <c r="F221" s="44"/>
      <c r="G221" s="146">
        <f t="shared" si="274"/>
        <v>0</v>
      </c>
      <c r="H221" s="46"/>
      <c r="I221" s="147">
        <f t="shared" si="275"/>
        <v>0</v>
      </c>
      <c r="J221" s="46"/>
      <c r="K221" s="46"/>
      <c r="L221" s="46"/>
      <c r="M221" s="146">
        <f t="shared" si="276"/>
        <v>0</v>
      </c>
      <c r="N221" s="153">
        <f t="shared" si="277"/>
        <v>0</v>
      </c>
      <c r="O221" s="153">
        <f t="shared" si="278"/>
        <v>0</v>
      </c>
      <c r="P221" s="153">
        <f t="shared" si="285"/>
        <v>0</v>
      </c>
      <c r="Q221" s="153">
        <f t="shared" si="280"/>
        <v>0</v>
      </c>
      <c r="R221" s="153">
        <f t="shared" si="281"/>
        <v>0</v>
      </c>
      <c r="S221" s="153">
        <f t="shared" si="282"/>
        <v>0</v>
      </c>
      <c r="T221" s="153">
        <f t="shared" si="283"/>
        <v>0</v>
      </c>
      <c r="U221" s="153">
        <f t="shared" si="286"/>
        <v>0</v>
      </c>
      <c r="V221" s="153">
        <f t="shared" si="284"/>
        <v>0</v>
      </c>
      <c r="W221" s="1171"/>
      <c r="X221" s="1171"/>
      <c r="Y221" s="1171"/>
    </row>
    <row r="222" spans="1:25">
      <c r="A222" s="56" t="s">
        <v>3024</v>
      </c>
      <c r="B222" s="57" t="s">
        <v>3038</v>
      </c>
      <c r="C222" s="93">
        <f>SUM(C223:C238)</f>
        <v>0</v>
      </c>
      <c r="D222" s="179">
        <f t="shared" ref="D222:V222" si="287">SUM(D223:D238)</f>
        <v>0</v>
      </c>
      <c r="E222" s="93">
        <f t="shared" si="287"/>
        <v>0</v>
      </c>
      <c r="F222" s="93">
        <f t="shared" si="287"/>
        <v>0</v>
      </c>
      <c r="G222" s="145">
        <f t="shared" si="287"/>
        <v>0</v>
      </c>
      <c r="H222" s="67">
        <f t="shared" si="287"/>
        <v>0</v>
      </c>
      <c r="I222" s="145">
        <f t="shared" si="287"/>
        <v>0</v>
      </c>
      <c r="J222" s="67">
        <f t="shared" si="287"/>
        <v>0</v>
      </c>
      <c r="K222" s="67">
        <f t="shared" si="287"/>
        <v>0</v>
      </c>
      <c r="L222" s="67">
        <f t="shared" si="287"/>
        <v>0</v>
      </c>
      <c r="M222" s="145">
        <f t="shared" si="287"/>
        <v>0</v>
      </c>
      <c r="N222" s="158">
        <f t="shared" si="287"/>
        <v>0</v>
      </c>
      <c r="O222" s="158">
        <f t="shared" si="287"/>
        <v>0</v>
      </c>
      <c r="P222" s="158">
        <f t="shared" si="287"/>
        <v>0</v>
      </c>
      <c r="Q222" s="158">
        <f t="shared" si="287"/>
        <v>0</v>
      </c>
      <c r="R222" s="158">
        <f t="shared" si="287"/>
        <v>0</v>
      </c>
      <c r="S222" s="158">
        <f t="shared" si="287"/>
        <v>0</v>
      </c>
      <c r="T222" s="158">
        <f t="shared" si="287"/>
        <v>0</v>
      </c>
      <c r="U222" s="158">
        <f t="shared" si="287"/>
        <v>0</v>
      </c>
      <c r="V222" s="158">
        <f t="shared" si="287"/>
        <v>0</v>
      </c>
    </row>
    <row r="223" spans="1:25">
      <c r="A223" s="42"/>
      <c r="B223" s="55" t="s">
        <v>2755</v>
      </c>
      <c r="C223" s="44"/>
      <c r="D223" s="175"/>
      <c r="E223" s="44"/>
      <c r="F223" s="44"/>
      <c r="G223" s="146">
        <f t="shared" ref="G223:G238" si="288">H223+I223+M223</f>
        <v>0</v>
      </c>
      <c r="H223" s="46"/>
      <c r="I223" s="147">
        <f t="shared" ref="I223:I238" si="289">SUM(J223:L223)</f>
        <v>0</v>
      </c>
      <c r="J223" s="46"/>
      <c r="K223" s="46"/>
      <c r="L223" s="46"/>
      <c r="M223" s="146">
        <f t="shared" ref="M223:M238" si="290">(H223+I223)*1%</f>
        <v>0</v>
      </c>
      <c r="N223" s="153">
        <f t="shared" ref="N223:N238" si="291">O223+P223+T223</f>
        <v>0</v>
      </c>
      <c r="O223" s="153">
        <f t="shared" ref="O223:O238" si="292">(H223/1.39)*1.49</f>
        <v>0</v>
      </c>
      <c r="P223" s="153">
        <f t="shared" ref="P223" si="293">SUM(Q223:S223)</f>
        <v>0</v>
      </c>
      <c r="Q223" s="153">
        <f t="shared" ref="Q223:Q238" si="294">(J223/1.39)*1.49</f>
        <v>0</v>
      </c>
      <c r="R223" s="153">
        <f t="shared" ref="R223:R238" si="295">(K223/1.39)*1.49</f>
        <v>0</v>
      </c>
      <c r="S223" s="153">
        <f t="shared" ref="S223:S238" si="296">(L223/1.39)*1.49</f>
        <v>0</v>
      </c>
      <c r="T223" s="153">
        <f t="shared" ref="T223:T238" si="297">(O223+P223)*1%</f>
        <v>0</v>
      </c>
      <c r="U223" s="153">
        <f>T223-M223</f>
        <v>0</v>
      </c>
      <c r="V223" s="153">
        <f t="shared" ref="V223:V238" si="298">U223*6</f>
        <v>0</v>
      </c>
    </row>
    <row r="224" spans="1:25">
      <c r="A224" s="42"/>
      <c r="B224" s="55" t="s">
        <v>2756</v>
      </c>
      <c r="C224" s="44"/>
      <c r="D224" s="175"/>
      <c r="E224" s="44"/>
      <c r="F224" s="44"/>
      <c r="G224" s="146">
        <f t="shared" si="288"/>
        <v>0</v>
      </c>
      <c r="H224" s="46"/>
      <c r="I224" s="147">
        <f t="shared" si="289"/>
        <v>0</v>
      </c>
      <c r="J224" s="46"/>
      <c r="K224" s="46"/>
      <c r="L224" s="46"/>
      <c r="M224" s="146">
        <f t="shared" si="290"/>
        <v>0</v>
      </c>
      <c r="N224" s="153">
        <f t="shared" si="291"/>
        <v>0</v>
      </c>
      <c r="O224" s="153">
        <f t="shared" si="292"/>
        <v>0</v>
      </c>
      <c r="P224" s="153">
        <f t="shared" ref="P224:P238" si="299">SUM(Q224:S224)</f>
        <v>0</v>
      </c>
      <c r="Q224" s="153">
        <f t="shared" si="294"/>
        <v>0</v>
      </c>
      <c r="R224" s="153">
        <f t="shared" si="295"/>
        <v>0</v>
      </c>
      <c r="S224" s="153">
        <f t="shared" si="296"/>
        <v>0</v>
      </c>
      <c r="T224" s="153">
        <f t="shared" si="297"/>
        <v>0</v>
      </c>
      <c r="U224" s="153">
        <f t="shared" ref="U224:U234" si="300">N224-G224</f>
        <v>0</v>
      </c>
      <c r="V224" s="153">
        <f t="shared" si="298"/>
        <v>0</v>
      </c>
    </row>
    <row r="225" spans="1:22" ht="25.5">
      <c r="A225" s="42"/>
      <c r="B225" s="86" t="s">
        <v>3039</v>
      </c>
      <c r="C225" s="44"/>
      <c r="D225" s="175"/>
      <c r="E225" s="44"/>
      <c r="F225" s="44"/>
      <c r="G225" s="146">
        <f t="shared" si="288"/>
        <v>0</v>
      </c>
      <c r="H225" s="46"/>
      <c r="I225" s="147">
        <f t="shared" si="289"/>
        <v>0</v>
      </c>
      <c r="J225" s="46"/>
      <c r="K225" s="46"/>
      <c r="L225" s="46"/>
      <c r="M225" s="146">
        <f t="shared" si="290"/>
        <v>0</v>
      </c>
      <c r="N225" s="153">
        <f t="shared" ref="N225:N227" si="301">O225+P225</f>
        <v>0</v>
      </c>
      <c r="O225" s="153">
        <f t="shared" si="292"/>
        <v>0</v>
      </c>
      <c r="P225" s="153">
        <f t="shared" si="299"/>
        <v>0</v>
      </c>
      <c r="Q225" s="153">
        <f t="shared" si="294"/>
        <v>0</v>
      </c>
      <c r="R225" s="153">
        <f t="shared" si="295"/>
        <v>0</v>
      </c>
      <c r="S225" s="153">
        <f t="shared" si="296"/>
        <v>0</v>
      </c>
      <c r="T225" s="153">
        <f t="shared" si="297"/>
        <v>0</v>
      </c>
      <c r="U225" s="153">
        <f>T225-M225</f>
        <v>0</v>
      </c>
      <c r="V225" s="153">
        <f t="shared" si="298"/>
        <v>0</v>
      </c>
    </row>
    <row r="226" spans="1:22" ht="25.5">
      <c r="A226" s="42"/>
      <c r="B226" s="86" t="s">
        <v>3040</v>
      </c>
      <c r="C226" s="44"/>
      <c r="D226" s="175"/>
      <c r="E226" s="44"/>
      <c r="F226" s="44"/>
      <c r="G226" s="146">
        <f t="shared" si="288"/>
        <v>0</v>
      </c>
      <c r="H226" s="46"/>
      <c r="I226" s="147">
        <f t="shared" si="289"/>
        <v>0</v>
      </c>
      <c r="J226" s="46"/>
      <c r="K226" s="46"/>
      <c r="L226" s="46"/>
      <c r="M226" s="146">
        <f t="shared" si="290"/>
        <v>0</v>
      </c>
      <c r="N226" s="153">
        <f t="shared" si="301"/>
        <v>0</v>
      </c>
      <c r="O226" s="153">
        <f t="shared" si="292"/>
        <v>0</v>
      </c>
      <c r="P226" s="153">
        <f t="shared" si="299"/>
        <v>0</v>
      </c>
      <c r="Q226" s="153">
        <f t="shared" si="294"/>
        <v>0</v>
      </c>
      <c r="R226" s="153">
        <f t="shared" si="295"/>
        <v>0</v>
      </c>
      <c r="S226" s="153">
        <f t="shared" si="296"/>
        <v>0</v>
      </c>
      <c r="T226" s="153">
        <f t="shared" si="297"/>
        <v>0</v>
      </c>
      <c r="U226" s="153">
        <f t="shared" ref="U226:U227" si="302">T226-M226</f>
        <v>0</v>
      </c>
      <c r="V226" s="153">
        <f t="shared" si="298"/>
        <v>0</v>
      </c>
    </row>
    <row r="227" spans="1:22" ht="25.5">
      <c r="A227" s="42"/>
      <c r="B227" s="86" t="s">
        <v>3041</v>
      </c>
      <c r="C227" s="44"/>
      <c r="D227" s="175"/>
      <c r="E227" s="44"/>
      <c r="F227" s="44"/>
      <c r="G227" s="146">
        <f t="shared" si="288"/>
        <v>0</v>
      </c>
      <c r="H227" s="46"/>
      <c r="I227" s="147">
        <f t="shared" si="289"/>
        <v>0</v>
      </c>
      <c r="J227" s="46"/>
      <c r="K227" s="46"/>
      <c r="L227" s="46"/>
      <c r="M227" s="146">
        <f t="shared" si="290"/>
        <v>0</v>
      </c>
      <c r="N227" s="153">
        <f t="shared" si="301"/>
        <v>0</v>
      </c>
      <c r="O227" s="153">
        <f t="shared" si="292"/>
        <v>0</v>
      </c>
      <c r="P227" s="153">
        <f t="shared" si="299"/>
        <v>0</v>
      </c>
      <c r="Q227" s="153">
        <f t="shared" si="294"/>
        <v>0</v>
      </c>
      <c r="R227" s="153">
        <f t="shared" si="295"/>
        <v>0</v>
      </c>
      <c r="S227" s="153">
        <f t="shared" si="296"/>
        <v>0</v>
      </c>
      <c r="T227" s="153">
        <f t="shared" si="297"/>
        <v>0</v>
      </c>
      <c r="U227" s="153">
        <f t="shared" si="302"/>
        <v>0</v>
      </c>
      <c r="V227" s="153">
        <f t="shared" si="298"/>
        <v>0</v>
      </c>
    </row>
    <row r="228" spans="1:22">
      <c r="A228" s="42"/>
      <c r="B228" s="55" t="s">
        <v>2760</v>
      </c>
      <c r="C228" s="44"/>
      <c r="D228" s="175"/>
      <c r="E228" s="44"/>
      <c r="F228" s="44"/>
      <c r="G228" s="146">
        <f t="shared" si="288"/>
        <v>0</v>
      </c>
      <c r="H228" s="46"/>
      <c r="I228" s="147">
        <f t="shared" si="289"/>
        <v>0</v>
      </c>
      <c r="J228" s="46"/>
      <c r="K228" s="46"/>
      <c r="L228" s="46"/>
      <c r="M228" s="146">
        <f t="shared" si="290"/>
        <v>0</v>
      </c>
      <c r="N228" s="153">
        <f t="shared" si="291"/>
        <v>0</v>
      </c>
      <c r="O228" s="153">
        <f t="shared" si="292"/>
        <v>0</v>
      </c>
      <c r="P228" s="153">
        <f t="shared" si="299"/>
        <v>0</v>
      </c>
      <c r="Q228" s="153">
        <f t="shared" si="294"/>
        <v>0</v>
      </c>
      <c r="R228" s="153">
        <f t="shared" si="295"/>
        <v>0</v>
      </c>
      <c r="S228" s="153">
        <f t="shared" si="296"/>
        <v>0</v>
      </c>
      <c r="T228" s="153">
        <f t="shared" si="297"/>
        <v>0</v>
      </c>
      <c r="U228" s="153">
        <f t="shared" si="300"/>
        <v>0</v>
      </c>
      <c r="V228" s="153">
        <f t="shared" si="298"/>
        <v>0</v>
      </c>
    </row>
    <row r="229" spans="1:22" ht="25.5">
      <c r="A229" s="42"/>
      <c r="B229" s="55" t="s">
        <v>2761</v>
      </c>
      <c r="C229" s="71"/>
      <c r="D229" s="175"/>
      <c r="E229" s="83"/>
      <c r="F229" s="83"/>
      <c r="G229" s="146">
        <f t="shared" si="288"/>
        <v>0</v>
      </c>
      <c r="H229" s="78"/>
      <c r="I229" s="147">
        <f t="shared" si="289"/>
        <v>0</v>
      </c>
      <c r="J229" s="78"/>
      <c r="K229" s="79"/>
      <c r="L229" s="79"/>
      <c r="M229" s="146">
        <f t="shared" si="290"/>
        <v>0</v>
      </c>
      <c r="N229" s="158">
        <f>O229+P229</f>
        <v>0</v>
      </c>
      <c r="O229" s="153">
        <f t="shared" si="292"/>
        <v>0</v>
      </c>
      <c r="P229" s="153">
        <f t="shared" si="299"/>
        <v>0</v>
      </c>
      <c r="Q229" s="153">
        <f t="shared" si="294"/>
        <v>0</v>
      </c>
      <c r="R229" s="153">
        <f t="shared" si="295"/>
        <v>0</v>
      </c>
      <c r="S229" s="153">
        <f t="shared" si="296"/>
        <v>0</v>
      </c>
      <c r="T229" s="153">
        <f t="shared" si="297"/>
        <v>0</v>
      </c>
      <c r="U229" s="159">
        <f>T229-M229</f>
        <v>0</v>
      </c>
      <c r="V229" s="159">
        <f t="shared" si="298"/>
        <v>0</v>
      </c>
    </row>
    <row r="230" spans="1:22" ht="25.5">
      <c r="A230" s="42"/>
      <c r="B230" s="55" t="s">
        <v>2762</v>
      </c>
      <c r="C230" s="71"/>
      <c r="D230" s="175"/>
      <c r="E230" s="83"/>
      <c r="F230" s="83"/>
      <c r="G230" s="146">
        <f t="shared" si="288"/>
        <v>0</v>
      </c>
      <c r="H230" s="78"/>
      <c r="I230" s="147">
        <f t="shared" si="289"/>
        <v>0</v>
      </c>
      <c r="J230" s="78"/>
      <c r="K230" s="79"/>
      <c r="L230" s="79"/>
      <c r="M230" s="146">
        <f t="shared" si="290"/>
        <v>0</v>
      </c>
      <c r="N230" s="158">
        <f>O230+P230</f>
        <v>0</v>
      </c>
      <c r="O230" s="153">
        <f t="shared" si="292"/>
        <v>0</v>
      </c>
      <c r="P230" s="153">
        <f t="shared" si="299"/>
        <v>0</v>
      </c>
      <c r="Q230" s="153">
        <f t="shared" si="294"/>
        <v>0</v>
      </c>
      <c r="R230" s="153">
        <f t="shared" si="295"/>
        <v>0</v>
      </c>
      <c r="S230" s="153">
        <f t="shared" si="296"/>
        <v>0</v>
      </c>
      <c r="T230" s="153">
        <f t="shared" si="297"/>
        <v>0</v>
      </c>
      <c r="U230" s="159">
        <f>T230-M230</f>
        <v>0</v>
      </c>
      <c r="V230" s="159">
        <f t="shared" si="298"/>
        <v>0</v>
      </c>
    </row>
    <row r="231" spans="1:22" ht="25.5">
      <c r="A231" s="42"/>
      <c r="B231" s="55" t="s">
        <v>2763</v>
      </c>
      <c r="C231" s="44"/>
      <c r="D231" s="175"/>
      <c r="E231" s="44"/>
      <c r="F231" s="44"/>
      <c r="G231" s="146">
        <f t="shared" si="288"/>
        <v>0</v>
      </c>
      <c r="H231" s="46"/>
      <c r="I231" s="147">
        <f t="shared" si="289"/>
        <v>0</v>
      </c>
      <c r="J231" s="46"/>
      <c r="K231" s="46"/>
      <c r="L231" s="46"/>
      <c r="M231" s="146">
        <f t="shared" si="290"/>
        <v>0</v>
      </c>
      <c r="N231" s="153">
        <f t="shared" si="291"/>
        <v>0</v>
      </c>
      <c r="O231" s="153">
        <f t="shared" si="292"/>
        <v>0</v>
      </c>
      <c r="P231" s="153">
        <f t="shared" si="299"/>
        <v>0</v>
      </c>
      <c r="Q231" s="153">
        <f t="shared" si="294"/>
        <v>0</v>
      </c>
      <c r="R231" s="153">
        <f t="shared" si="295"/>
        <v>0</v>
      </c>
      <c r="S231" s="153">
        <f t="shared" si="296"/>
        <v>0</v>
      </c>
      <c r="T231" s="153">
        <f t="shared" si="297"/>
        <v>0</v>
      </c>
      <c r="U231" s="153">
        <f t="shared" si="300"/>
        <v>0</v>
      </c>
      <c r="V231" s="153">
        <f t="shared" si="298"/>
        <v>0</v>
      </c>
    </row>
    <row r="232" spans="1:22">
      <c r="A232" s="42"/>
      <c r="B232" s="55" t="s">
        <v>2764</v>
      </c>
      <c r="C232" s="44"/>
      <c r="D232" s="175"/>
      <c r="E232" s="44"/>
      <c r="F232" s="44"/>
      <c r="G232" s="146">
        <f t="shared" si="288"/>
        <v>0</v>
      </c>
      <c r="H232" s="46"/>
      <c r="I232" s="147">
        <f t="shared" si="289"/>
        <v>0</v>
      </c>
      <c r="J232" s="46"/>
      <c r="K232" s="46"/>
      <c r="L232" s="46"/>
      <c r="M232" s="146">
        <f t="shared" si="290"/>
        <v>0</v>
      </c>
      <c r="N232" s="153">
        <f t="shared" si="291"/>
        <v>0</v>
      </c>
      <c r="O232" s="153">
        <f t="shared" si="292"/>
        <v>0</v>
      </c>
      <c r="P232" s="153">
        <f t="shared" si="299"/>
        <v>0</v>
      </c>
      <c r="Q232" s="153">
        <f t="shared" si="294"/>
        <v>0</v>
      </c>
      <c r="R232" s="153">
        <f t="shared" si="295"/>
        <v>0</v>
      </c>
      <c r="S232" s="153">
        <f t="shared" si="296"/>
        <v>0</v>
      </c>
      <c r="T232" s="153">
        <f t="shared" si="297"/>
        <v>0</v>
      </c>
      <c r="U232" s="153">
        <f t="shared" si="300"/>
        <v>0</v>
      </c>
      <c r="V232" s="153">
        <f t="shared" si="298"/>
        <v>0</v>
      </c>
    </row>
    <row r="233" spans="1:22" ht="25.5">
      <c r="A233" s="42"/>
      <c r="B233" s="55" t="s">
        <v>2765</v>
      </c>
      <c r="C233" s="44"/>
      <c r="D233" s="175"/>
      <c r="E233" s="44"/>
      <c r="F233" s="44"/>
      <c r="G233" s="146">
        <f t="shared" si="288"/>
        <v>0</v>
      </c>
      <c r="H233" s="46"/>
      <c r="I233" s="147">
        <f t="shared" si="289"/>
        <v>0</v>
      </c>
      <c r="J233" s="46"/>
      <c r="K233" s="46"/>
      <c r="L233" s="46"/>
      <c r="M233" s="146">
        <f t="shared" si="290"/>
        <v>0</v>
      </c>
      <c r="N233" s="153">
        <f t="shared" si="291"/>
        <v>0</v>
      </c>
      <c r="O233" s="153">
        <f t="shared" si="292"/>
        <v>0</v>
      </c>
      <c r="P233" s="153">
        <f t="shared" si="299"/>
        <v>0</v>
      </c>
      <c r="Q233" s="153">
        <f t="shared" si="294"/>
        <v>0</v>
      </c>
      <c r="R233" s="153">
        <f t="shared" si="295"/>
        <v>0</v>
      </c>
      <c r="S233" s="153">
        <f t="shared" si="296"/>
        <v>0</v>
      </c>
      <c r="T233" s="153">
        <f t="shared" si="297"/>
        <v>0</v>
      </c>
      <c r="U233" s="153">
        <f t="shared" si="300"/>
        <v>0</v>
      </c>
      <c r="V233" s="153">
        <f t="shared" si="298"/>
        <v>0</v>
      </c>
    </row>
    <row r="234" spans="1:22">
      <c r="A234" s="42"/>
      <c r="B234" s="55" t="s">
        <v>2766</v>
      </c>
      <c r="C234" s="44"/>
      <c r="D234" s="175"/>
      <c r="E234" s="44"/>
      <c r="F234" s="44"/>
      <c r="G234" s="146">
        <f t="shared" si="288"/>
        <v>0</v>
      </c>
      <c r="H234" s="46"/>
      <c r="I234" s="147">
        <f t="shared" si="289"/>
        <v>0</v>
      </c>
      <c r="J234" s="46"/>
      <c r="K234" s="46"/>
      <c r="L234" s="46"/>
      <c r="M234" s="146">
        <f t="shared" si="290"/>
        <v>0</v>
      </c>
      <c r="N234" s="153">
        <f t="shared" si="291"/>
        <v>0</v>
      </c>
      <c r="O234" s="153">
        <f t="shared" si="292"/>
        <v>0</v>
      </c>
      <c r="P234" s="153">
        <f t="shared" si="299"/>
        <v>0</v>
      </c>
      <c r="Q234" s="153">
        <f t="shared" si="294"/>
        <v>0</v>
      </c>
      <c r="R234" s="153">
        <f t="shared" si="295"/>
        <v>0</v>
      </c>
      <c r="S234" s="153">
        <f t="shared" si="296"/>
        <v>0</v>
      </c>
      <c r="T234" s="153">
        <f t="shared" si="297"/>
        <v>0</v>
      </c>
      <c r="U234" s="153">
        <f t="shared" si="300"/>
        <v>0</v>
      </c>
      <c r="V234" s="153">
        <f t="shared" si="298"/>
        <v>0</v>
      </c>
    </row>
    <row r="235" spans="1:22">
      <c r="A235" s="42"/>
      <c r="B235" s="55" t="s">
        <v>2767</v>
      </c>
      <c r="C235" s="44"/>
      <c r="D235" s="175"/>
      <c r="E235" s="44"/>
      <c r="F235" s="44"/>
      <c r="G235" s="146">
        <f t="shared" si="288"/>
        <v>0</v>
      </c>
      <c r="H235" s="46"/>
      <c r="I235" s="147">
        <f t="shared" si="289"/>
        <v>0</v>
      </c>
      <c r="J235" s="46"/>
      <c r="K235" s="46"/>
      <c r="L235" s="46"/>
      <c r="M235" s="146">
        <f t="shared" si="290"/>
        <v>0</v>
      </c>
      <c r="N235" s="153">
        <f t="shared" si="291"/>
        <v>0</v>
      </c>
      <c r="O235" s="153">
        <f t="shared" si="292"/>
        <v>0</v>
      </c>
      <c r="P235" s="153">
        <f t="shared" si="299"/>
        <v>0</v>
      </c>
      <c r="Q235" s="153">
        <f t="shared" si="294"/>
        <v>0</v>
      </c>
      <c r="R235" s="153">
        <f t="shared" si="295"/>
        <v>0</v>
      </c>
      <c r="S235" s="153">
        <f t="shared" si="296"/>
        <v>0</v>
      </c>
      <c r="T235" s="153">
        <f t="shared" si="297"/>
        <v>0</v>
      </c>
      <c r="U235" s="153">
        <f>T235-M235</f>
        <v>0</v>
      </c>
      <c r="V235" s="153">
        <f t="shared" si="298"/>
        <v>0</v>
      </c>
    </row>
    <row r="236" spans="1:22">
      <c r="A236" s="42"/>
      <c r="B236" s="55" t="s">
        <v>2768</v>
      </c>
      <c r="C236" s="44"/>
      <c r="D236" s="175"/>
      <c r="E236" s="44"/>
      <c r="F236" s="44"/>
      <c r="G236" s="146">
        <f t="shared" si="288"/>
        <v>0</v>
      </c>
      <c r="H236" s="46"/>
      <c r="I236" s="147">
        <f t="shared" si="289"/>
        <v>0</v>
      </c>
      <c r="J236" s="46"/>
      <c r="K236" s="46"/>
      <c r="L236" s="46"/>
      <c r="M236" s="146">
        <f t="shared" si="290"/>
        <v>0</v>
      </c>
      <c r="N236" s="153">
        <f t="shared" si="291"/>
        <v>0</v>
      </c>
      <c r="O236" s="153">
        <f t="shared" si="292"/>
        <v>0</v>
      </c>
      <c r="P236" s="153">
        <f t="shared" si="299"/>
        <v>0</v>
      </c>
      <c r="Q236" s="153">
        <f t="shared" si="294"/>
        <v>0</v>
      </c>
      <c r="R236" s="153">
        <f t="shared" si="295"/>
        <v>0</v>
      </c>
      <c r="S236" s="153">
        <f t="shared" si="296"/>
        <v>0</v>
      </c>
      <c r="T236" s="153">
        <f t="shared" si="297"/>
        <v>0</v>
      </c>
      <c r="U236" s="153">
        <f>T236-M236</f>
        <v>0</v>
      </c>
      <c r="V236" s="153">
        <f t="shared" si="298"/>
        <v>0</v>
      </c>
    </row>
    <row r="237" spans="1:22">
      <c r="A237" s="42"/>
      <c r="B237" s="55" t="s">
        <v>2769</v>
      </c>
      <c r="C237" s="44"/>
      <c r="D237" s="175"/>
      <c r="E237" s="44"/>
      <c r="F237" s="44"/>
      <c r="G237" s="146">
        <f t="shared" si="288"/>
        <v>0</v>
      </c>
      <c r="H237" s="46"/>
      <c r="I237" s="147">
        <f t="shared" si="289"/>
        <v>0</v>
      </c>
      <c r="J237" s="46"/>
      <c r="K237" s="46"/>
      <c r="L237" s="46"/>
      <c r="M237" s="146">
        <f t="shared" si="290"/>
        <v>0</v>
      </c>
      <c r="N237" s="153">
        <f t="shared" si="291"/>
        <v>0</v>
      </c>
      <c r="O237" s="153">
        <f t="shared" si="292"/>
        <v>0</v>
      </c>
      <c r="P237" s="153">
        <f t="shared" si="299"/>
        <v>0</v>
      </c>
      <c r="Q237" s="153">
        <f t="shared" si="294"/>
        <v>0</v>
      </c>
      <c r="R237" s="153">
        <f t="shared" si="295"/>
        <v>0</v>
      </c>
      <c r="S237" s="153">
        <f t="shared" si="296"/>
        <v>0</v>
      </c>
      <c r="T237" s="153">
        <f t="shared" si="297"/>
        <v>0</v>
      </c>
      <c r="U237" s="153">
        <f>T237-M237</f>
        <v>0</v>
      </c>
      <c r="V237" s="153">
        <f t="shared" si="298"/>
        <v>0</v>
      </c>
    </row>
    <row r="238" spans="1:22">
      <c r="A238" s="42"/>
      <c r="B238" s="55" t="s">
        <v>2770</v>
      </c>
      <c r="C238" s="44"/>
      <c r="D238" s="175"/>
      <c r="E238" s="44"/>
      <c r="F238" s="44"/>
      <c r="G238" s="146">
        <f t="shared" si="288"/>
        <v>0</v>
      </c>
      <c r="H238" s="46"/>
      <c r="I238" s="147">
        <f t="shared" si="289"/>
        <v>0</v>
      </c>
      <c r="J238" s="46"/>
      <c r="K238" s="46"/>
      <c r="L238" s="46"/>
      <c r="M238" s="146">
        <f t="shared" si="290"/>
        <v>0</v>
      </c>
      <c r="N238" s="153">
        <f t="shared" si="291"/>
        <v>0</v>
      </c>
      <c r="O238" s="153">
        <f t="shared" si="292"/>
        <v>0</v>
      </c>
      <c r="P238" s="153">
        <f t="shared" si="299"/>
        <v>0</v>
      </c>
      <c r="Q238" s="153">
        <f t="shared" si="294"/>
        <v>0</v>
      </c>
      <c r="R238" s="153">
        <f t="shared" si="295"/>
        <v>0</v>
      </c>
      <c r="S238" s="153">
        <f t="shared" si="296"/>
        <v>0</v>
      </c>
      <c r="T238" s="153">
        <f t="shared" si="297"/>
        <v>0</v>
      </c>
      <c r="U238" s="153">
        <f>T238-M238</f>
        <v>0</v>
      </c>
      <c r="V238" s="153">
        <f t="shared" si="298"/>
        <v>0</v>
      </c>
    </row>
    <row r="239" spans="1:22">
      <c r="A239" s="84" t="s">
        <v>3042</v>
      </c>
      <c r="B239" s="85" t="s">
        <v>3043</v>
      </c>
      <c r="C239" s="96">
        <f>C240+C250</f>
        <v>0</v>
      </c>
      <c r="D239" s="175">
        <f t="shared" ref="D239:V239" si="303">D240+D250</f>
        <v>0</v>
      </c>
      <c r="E239" s="96">
        <f t="shared" si="303"/>
        <v>0</v>
      </c>
      <c r="F239" s="96">
        <f t="shared" si="303"/>
        <v>0</v>
      </c>
      <c r="G239" s="145">
        <f t="shared" si="303"/>
        <v>0</v>
      </c>
      <c r="H239" s="78">
        <f t="shared" si="303"/>
        <v>0</v>
      </c>
      <c r="I239" s="145">
        <f t="shared" si="303"/>
        <v>0</v>
      </c>
      <c r="J239" s="78">
        <f t="shared" si="303"/>
        <v>0</v>
      </c>
      <c r="K239" s="78">
        <f t="shared" si="303"/>
        <v>0</v>
      </c>
      <c r="L239" s="78">
        <f t="shared" si="303"/>
        <v>0</v>
      </c>
      <c r="M239" s="145">
        <f t="shared" si="303"/>
        <v>0</v>
      </c>
      <c r="N239" s="158">
        <f t="shared" si="303"/>
        <v>0</v>
      </c>
      <c r="O239" s="158">
        <f t="shared" si="303"/>
        <v>0</v>
      </c>
      <c r="P239" s="158">
        <f t="shared" si="303"/>
        <v>0</v>
      </c>
      <c r="Q239" s="158">
        <f t="shared" si="303"/>
        <v>0</v>
      </c>
      <c r="R239" s="158">
        <f t="shared" si="303"/>
        <v>0</v>
      </c>
      <c r="S239" s="158">
        <f t="shared" si="303"/>
        <v>0</v>
      </c>
      <c r="T239" s="158">
        <f t="shared" si="303"/>
        <v>0</v>
      </c>
      <c r="U239" s="158">
        <f t="shared" si="303"/>
        <v>0</v>
      </c>
      <c r="V239" s="158">
        <f t="shared" si="303"/>
        <v>0</v>
      </c>
    </row>
    <row r="240" spans="1:22">
      <c r="A240" s="42"/>
      <c r="B240" s="55" t="s">
        <v>2736</v>
      </c>
      <c r="C240" s="96">
        <f>SUM(C241:C249)</f>
        <v>0</v>
      </c>
      <c r="D240" s="175">
        <f t="shared" ref="D240:V240" si="304">SUM(D241:D249)</f>
        <v>0</v>
      </c>
      <c r="E240" s="96">
        <f t="shared" si="304"/>
        <v>0</v>
      </c>
      <c r="F240" s="96">
        <f t="shared" si="304"/>
        <v>0</v>
      </c>
      <c r="G240" s="145">
        <f t="shared" si="304"/>
        <v>0</v>
      </c>
      <c r="H240" s="78">
        <f t="shared" si="304"/>
        <v>0</v>
      </c>
      <c r="I240" s="145">
        <f t="shared" si="304"/>
        <v>0</v>
      </c>
      <c r="J240" s="78">
        <f t="shared" si="304"/>
        <v>0</v>
      </c>
      <c r="K240" s="78">
        <f t="shared" si="304"/>
        <v>0</v>
      </c>
      <c r="L240" s="78">
        <f t="shared" si="304"/>
        <v>0</v>
      </c>
      <c r="M240" s="145">
        <f t="shared" si="304"/>
        <v>0</v>
      </c>
      <c r="N240" s="158">
        <f t="shared" si="304"/>
        <v>0</v>
      </c>
      <c r="O240" s="158">
        <f t="shared" si="304"/>
        <v>0</v>
      </c>
      <c r="P240" s="158">
        <f t="shared" si="304"/>
        <v>0</v>
      </c>
      <c r="Q240" s="158">
        <f t="shared" si="304"/>
        <v>0</v>
      </c>
      <c r="R240" s="158">
        <f t="shared" si="304"/>
        <v>0</v>
      </c>
      <c r="S240" s="158">
        <f t="shared" si="304"/>
        <v>0</v>
      </c>
      <c r="T240" s="158">
        <f t="shared" si="304"/>
        <v>0</v>
      </c>
      <c r="U240" s="158">
        <f t="shared" si="304"/>
        <v>0</v>
      </c>
      <c r="V240" s="158">
        <f t="shared" si="304"/>
        <v>0</v>
      </c>
    </row>
    <row r="241" spans="1:22">
      <c r="A241" s="42"/>
      <c r="B241" s="97" t="s">
        <v>2737</v>
      </c>
      <c r="C241" s="44"/>
      <c r="D241" s="175"/>
      <c r="E241" s="44"/>
      <c r="F241" s="44"/>
      <c r="G241" s="146">
        <f t="shared" ref="G241:G249" si="305">H241+I241+M241</f>
        <v>0</v>
      </c>
      <c r="H241" s="46"/>
      <c r="I241" s="147">
        <f t="shared" ref="I241:I250" si="306">SUM(J241:L241)</f>
        <v>0</v>
      </c>
      <c r="J241" s="46"/>
      <c r="K241" s="46"/>
      <c r="L241" s="46"/>
      <c r="M241" s="146">
        <f t="shared" ref="M241:M250" si="307">(H241+I241)*1%</f>
        <v>0</v>
      </c>
      <c r="N241" s="153">
        <f t="shared" ref="N241:N249" si="308">O241+P241+T241</f>
        <v>0</v>
      </c>
      <c r="O241" s="153">
        <f t="shared" ref="O241:O250" si="309">(H241/1.39)*1.49</f>
        <v>0</v>
      </c>
      <c r="P241" s="153">
        <f t="shared" ref="P241:P250" si="310">SUM(Q241:S241)</f>
        <v>0</v>
      </c>
      <c r="Q241" s="153">
        <f t="shared" ref="Q241:Q250" si="311">(J241/1.39)*1.49</f>
        <v>0</v>
      </c>
      <c r="R241" s="153">
        <f t="shared" ref="R241:R250" si="312">(K241/1.39)*1.49</f>
        <v>0</v>
      </c>
      <c r="S241" s="153">
        <f t="shared" ref="S241:S250" si="313">(L241/1.39)*1.49</f>
        <v>0</v>
      </c>
      <c r="T241" s="153">
        <f t="shared" ref="T241:T250" si="314">(O241+P241)*1%</f>
        <v>0</v>
      </c>
      <c r="U241" s="153">
        <f t="shared" ref="U241:U249" si="315">N241-G241</f>
        <v>0</v>
      </c>
      <c r="V241" s="153">
        <f t="shared" ref="V241:V249" si="316">U241*6</f>
        <v>0</v>
      </c>
    </row>
    <row r="242" spans="1:22">
      <c r="A242" s="42"/>
      <c r="B242" s="97" t="s">
        <v>2738</v>
      </c>
      <c r="C242" s="44"/>
      <c r="D242" s="175"/>
      <c r="E242" s="44"/>
      <c r="F242" s="44"/>
      <c r="G242" s="146">
        <f t="shared" si="305"/>
        <v>0</v>
      </c>
      <c r="H242" s="46"/>
      <c r="I242" s="147">
        <f t="shared" si="306"/>
        <v>0</v>
      </c>
      <c r="J242" s="46"/>
      <c r="K242" s="46"/>
      <c r="L242" s="46"/>
      <c r="M242" s="146">
        <f t="shared" si="307"/>
        <v>0</v>
      </c>
      <c r="N242" s="153">
        <f t="shared" si="308"/>
        <v>0</v>
      </c>
      <c r="O242" s="153">
        <f t="shared" si="309"/>
        <v>0</v>
      </c>
      <c r="P242" s="153">
        <f t="shared" si="310"/>
        <v>0</v>
      </c>
      <c r="Q242" s="153">
        <f t="shared" si="311"/>
        <v>0</v>
      </c>
      <c r="R242" s="153">
        <f t="shared" si="312"/>
        <v>0</v>
      </c>
      <c r="S242" s="153">
        <f t="shared" si="313"/>
        <v>0</v>
      </c>
      <c r="T242" s="153">
        <f t="shared" si="314"/>
        <v>0</v>
      </c>
      <c r="U242" s="153">
        <f t="shared" si="315"/>
        <v>0</v>
      </c>
      <c r="V242" s="153">
        <f t="shared" si="316"/>
        <v>0</v>
      </c>
    </row>
    <row r="243" spans="1:22">
      <c r="A243" s="42"/>
      <c r="B243" s="97" t="s">
        <v>2739</v>
      </c>
      <c r="C243" s="44"/>
      <c r="D243" s="175"/>
      <c r="E243" s="44"/>
      <c r="F243" s="44"/>
      <c r="G243" s="146">
        <f t="shared" si="305"/>
        <v>0</v>
      </c>
      <c r="H243" s="46"/>
      <c r="I243" s="147">
        <f t="shared" si="306"/>
        <v>0</v>
      </c>
      <c r="J243" s="46"/>
      <c r="K243" s="46"/>
      <c r="L243" s="46"/>
      <c r="M243" s="146">
        <f t="shared" si="307"/>
        <v>0</v>
      </c>
      <c r="N243" s="153">
        <f t="shared" si="308"/>
        <v>0</v>
      </c>
      <c r="O243" s="153">
        <f t="shared" si="309"/>
        <v>0</v>
      </c>
      <c r="P243" s="153">
        <f t="shared" si="310"/>
        <v>0</v>
      </c>
      <c r="Q243" s="153">
        <f t="shared" si="311"/>
        <v>0</v>
      </c>
      <c r="R243" s="153">
        <f t="shared" si="312"/>
        <v>0</v>
      </c>
      <c r="S243" s="153">
        <f t="shared" si="313"/>
        <v>0</v>
      </c>
      <c r="T243" s="153">
        <f t="shared" si="314"/>
        <v>0</v>
      </c>
      <c r="U243" s="153">
        <f t="shared" si="315"/>
        <v>0</v>
      </c>
      <c r="V243" s="153">
        <f t="shared" si="316"/>
        <v>0</v>
      </c>
    </row>
    <row r="244" spans="1:22">
      <c r="A244" s="42"/>
      <c r="B244" s="97" t="s">
        <v>2740</v>
      </c>
      <c r="C244" s="44"/>
      <c r="D244" s="175"/>
      <c r="E244" s="44"/>
      <c r="F244" s="44"/>
      <c r="G244" s="146">
        <f t="shared" si="305"/>
        <v>0</v>
      </c>
      <c r="H244" s="46"/>
      <c r="I244" s="147">
        <f t="shared" si="306"/>
        <v>0</v>
      </c>
      <c r="J244" s="46"/>
      <c r="K244" s="46"/>
      <c r="L244" s="46"/>
      <c r="M244" s="146">
        <f t="shared" si="307"/>
        <v>0</v>
      </c>
      <c r="N244" s="153">
        <f t="shared" si="308"/>
        <v>0</v>
      </c>
      <c r="O244" s="153">
        <f t="shared" si="309"/>
        <v>0</v>
      </c>
      <c r="P244" s="153">
        <f t="shared" si="310"/>
        <v>0</v>
      </c>
      <c r="Q244" s="153">
        <f t="shared" si="311"/>
        <v>0</v>
      </c>
      <c r="R244" s="153">
        <f t="shared" si="312"/>
        <v>0</v>
      </c>
      <c r="S244" s="153">
        <f t="shared" si="313"/>
        <v>0</v>
      </c>
      <c r="T244" s="153">
        <f t="shared" si="314"/>
        <v>0</v>
      </c>
      <c r="U244" s="153">
        <f t="shared" si="315"/>
        <v>0</v>
      </c>
      <c r="V244" s="153">
        <f t="shared" si="316"/>
        <v>0</v>
      </c>
    </row>
    <row r="245" spans="1:22">
      <c r="A245" s="42"/>
      <c r="B245" s="97" t="s">
        <v>2892</v>
      </c>
      <c r="C245" s="44"/>
      <c r="D245" s="175"/>
      <c r="E245" s="44"/>
      <c r="F245" s="44"/>
      <c r="G245" s="146">
        <f t="shared" si="305"/>
        <v>0</v>
      </c>
      <c r="H245" s="46"/>
      <c r="I245" s="147">
        <f t="shared" si="306"/>
        <v>0</v>
      </c>
      <c r="J245" s="46"/>
      <c r="K245" s="46"/>
      <c r="L245" s="46"/>
      <c r="M245" s="146">
        <f t="shared" si="307"/>
        <v>0</v>
      </c>
      <c r="N245" s="153">
        <f t="shared" si="308"/>
        <v>0</v>
      </c>
      <c r="O245" s="153">
        <f t="shared" si="309"/>
        <v>0</v>
      </c>
      <c r="P245" s="153">
        <f t="shared" si="310"/>
        <v>0</v>
      </c>
      <c r="Q245" s="153">
        <f t="shared" si="311"/>
        <v>0</v>
      </c>
      <c r="R245" s="153">
        <f t="shared" si="312"/>
        <v>0</v>
      </c>
      <c r="S245" s="153">
        <f t="shared" si="313"/>
        <v>0</v>
      </c>
      <c r="T245" s="153">
        <f t="shared" si="314"/>
        <v>0</v>
      </c>
      <c r="U245" s="153">
        <f t="shared" si="315"/>
        <v>0</v>
      </c>
      <c r="V245" s="153">
        <f t="shared" si="316"/>
        <v>0</v>
      </c>
    </row>
    <row r="246" spans="1:22">
      <c r="A246" s="42"/>
      <c r="B246" s="97" t="s">
        <v>2742</v>
      </c>
      <c r="C246" s="44"/>
      <c r="D246" s="175"/>
      <c r="E246" s="44"/>
      <c r="F246" s="44"/>
      <c r="G246" s="146">
        <f t="shared" si="305"/>
        <v>0</v>
      </c>
      <c r="H246" s="46"/>
      <c r="I246" s="147">
        <f t="shared" si="306"/>
        <v>0</v>
      </c>
      <c r="J246" s="46"/>
      <c r="K246" s="46"/>
      <c r="L246" s="46"/>
      <c r="M246" s="146">
        <f t="shared" si="307"/>
        <v>0</v>
      </c>
      <c r="N246" s="153">
        <f t="shared" si="308"/>
        <v>0</v>
      </c>
      <c r="O246" s="153">
        <f t="shared" si="309"/>
        <v>0</v>
      </c>
      <c r="P246" s="153">
        <f t="shared" si="310"/>
        <v>0</v>
      </c>
      <c r="Q246" s="153">
        <f t="shared" si="311"/>
        <v>0</v>
      </c>
      <c r="R246" s="153">
        <f t="shared" si="312"/>
        <v>0</v>
      </c>
      <c r="S246" s="153">
        <f t="shared" si="313"/>
        <v>0</v>
      </c>
      <c r="T246" s="153">
        <f t="shared" si="314"/>
        <v>0</v>
      </c>
      <c r="U246" s="153">
        <f>T246-M246</f>
        <v>0</v>
      </c>
      <c r="V246" s="153">
        <f t="shared" si="316"/>
        <v>0</v>
      </c>
    </row>
    <row r="247" spans="1:22">
      <c r="A247" s="42"/>
      <c r="B247" s="97" t="s">
        <v>2743</v>
      </c>
      <c r="C247" s="44"/>
      <c r="D247" s="175"/>
      <c r="E247" s="44"/>
      <c r="F247" s="44"/>
      <c r="G247" s="146">
        <f t="shared" si="305"/>
        <v>0</v>
      </c>
      <c r="H247" s="46"/>
      <c r="I247" s="147">
        <f t="shared" si="306"/>
        <v>0</v>
      </c>
      <c r="J247" s="46"/>
      <c r="K247" s="46"/>
      <c r="L247" s="46"/>
      <c r="M247" s="146">
        <f t="shared" si="307"/>
        <v>0</v>
      </c>
      <c r="N247" s="153">
        <f t="shared" si="308"/>
        <v>0</v>
      </c>
      <c r="O247" s="153">
        <f t="shared" si="309"/>
        <v>0</v>
      </c>
      <c r="P247" s="153">
        <f t="shared" si="310"/>
        <v>0</v>
      </c>
      <c r="Q247" s="153">
        <f t="shared" si="311"/>
        <v>0</v>
      </c>
      <c r="R247" s="153">
        <f t="shared" si="312"/>
        <v>0</v>
      </c>
      <c r="S247" s="153">
        <f t="shared" si="313"/>
        <v>0</v>
      </c>
      <c r="T247" s="153">
        <f t="shared" si="314"/>
        <v>0</v>
      </c>
      <c r="U247" s="153">
        <f t="shared" si="315"/>
        <v>0</v>
      </c>
      <c r="V247" s="153">
        <f t="shared" si="316"/>
        <v>0</v>
      </c>
    </row>
    <row r="248" spans="1:22">
      <c r="A248" s="42"/>
      <c r="B248" s="97" t="s">
        <v>2744</v>
      </c>
      <c r="C248" s="44"/>
      <c r="D248" s="175"/>
      <c r="E248" s="44"/>
      <c r="F248" s="44"/>
      <c r="G248" s="146">
        <f t="shared" si="305"/>
        <v>0</v>
      </c>
      <c r="H248" s="46"/>
      <c r="I248" s="147">
        <f t="shared" si="306"/>
        <v>0</v>
      </c>
      <c r="J248" s="46"/>
      <c r="K248" s="46"/>
      <c r="L248" s="46"/>
      <c r="M248" s="146">
        <f t="shared" si="307"/>
        <v>0</v>
      </c>
      <c r="N248" s="153">
        <f t="shared" si="308"/>
        <v>0</v>
      </c>
      <c r="O248" s="153">
        <f t="shared" si="309"/>
        <v>0</v>
      </c>
      <c r="P248" s="153">
        <f t="shared" si="310"/>
        <v>0</v>
      </c>
      <c r="Q248" s="153">
        <f t="shared" si="311"/>
        <v>0</v>
      </c>
      <c r="R248" s="153">
        <f t="shared" si="312"/>
        <v>0</v>
      </c>
      <c r="S248" s="153">
        <f t="shared" si="313"/>
        <v>0</v>
      </c>
      <c r="T248" s="153">
        <f t="shared" si="314"/>
        <v>0</v>
      </c>
      <c r="U248" s="153">
        <f t="shared" si="315"/>
        <v>0</v>
      </c>
      <c r="V248" s="153">
        <f t="shared" si="316"/>
        <v>0</v>
      </c>
    </row>
    <row r="249" spans="1:22">
      <c r="A249" s="42"/>
      <c r="B249" s="97" t="s">
        <v>2893</v>
      </c>
      <c r="C249" s="44"/>
      <c r="D249" s="175"/>
      <c r="E249" s="44"/>
      <c r="F249" s="44"/>
      <c r="G249" s="146">
        <f t="shared" si="305"/>
        <v>0</v>
      </c>
      <c r="H249" s="46"/>
      <c r="I249" s="147">
        <f t="shared" si="306"/>
        <v>0</v>
      </c>
      <c r="J249" s="46"/>
      <c r="K249" s="46"/>
      <c r="L249" s="46"/>
      <c r="M249" s="146">
        <f t="shared" si="307"/>
        <v>0</v>
      </c>
      <c r="N249" s="153">
        <f t="shared" si="308"/>
        <v>0</v>
      </c>
      <c r="O249" s="153">
        <f t="shared" si="309"/>
        <v>0</v>
      </c>
      <c r="P249" s="153">
        <f t="shared" si="310"/>
        <v>0</v>
      </c>
      <c r="Q249" s="153">
        <f t="shared" si="311"/>
        <v>0</v>
      </c>
      <c r="R249" s="153">
        <f t="shared" si="312"/>
        <v>0</v>
      </c>
      <c r="S249" s="153">
        <f t="shared" si="313"/>
        <v>0</v>
      </c>
      <c r="T249" s="153">
        <f t="shared" si="314"/>
        <v>0</v>
      </c>
      <c r="U249" s="153">
        <f t="shared" si="315"/>
        <v>0</v>
      </c>
      <c r="V249" s="153">
        <f t="shared" si="316"/>
        <v>0</v>
      </c>
    </row>
    <row r="250" spans="1:22">
      <c r="A250" s="190"/>
      <c r="B250" s="191" t="s">
        <v>2746</v>
      </c>
      <c r="C250" s="192"/>
      <c r="D250" s="193"/>
      <c r="E250" s="192"/>
      <c r="F250" s="192"/>
      <c r="G250" s="194">
        <f>H250+I250+M250</f>
        <v>0</v>
      </c>
      <c r="H250" s="195"/>
      <c r="I250" s="194">
        <f t="shared" si="306"/>
        <v>0</v>
      </c>
      <c r="J250" s="195"/>
      <c r="K250" s="195"/>
      <c r="L250" s="195"/>
      <c r="M250" s="152">
        <f t="shared" si="307"/>
        <v>0</v>
      </c>
      <c r="N250" s="196">
        <f>O250+P250+T250</f>
        <v>0</v>
      </c>
      <c r="O250" s="153">
        <f t="shared" si="309"/>
        <v>0</v>
      </c>
      <c r="P250" s="164">
        <f t="shared" si="310"/>
        <v>0</v>
      </c>
      <c r="Q250" s="153">
        <f t="shared" si="311"/>
        <v>0</v>
      </c>
      <c r="R250" s="153">
        <f t="shared" si="312"/>
        <v>0</v>
      </c>
      <c r="S250" s="153">
        <f t="shared" si="313"/>
        <v>0</v>
      </c>
      <c r="T250" s="164">
        <f t="shared" si="314"/>
        <v>0</v>
      </c>
      <c r="U250" s="196">
        <f>N250-G250</f>
        <v>0</v>
      </c>
      <c r="V250" s="196">
        <f>U250*6</f>
        <v>0</v>
      </c>
    </row>
    <row r="251" spans="1:22" s="29" customFormat="1" hidden="1">
      <c r="A251" s="182" t="s">
        <v>65</v>
      </c>
      <c r="B251" s="183" t="s">
        <v>2796</v>
      </c>
      <c r="C251" s="184">
        <f t="shared" ref="C251:V251" si="317">C252+C263+C329+C274+C296+C307+C340+C318+C285</f>
        <v>0</v>
      </c>
      <c r="D251" s="185">
        <f t="shared" si="317"/>
        <v>0</v>
      </c>
      <c r="E251" s="184">
        <f t="shared" si="317"/>
        <v>0</v>
      </c>
      <c r="F251" s="184">
        <f t="shared" si="317"/>
        <v>0</v>
      </c>
      <c r="G251" s="186">
        <f t="shared" si="317"/>
        <v>0</v>
      </c>
      <c r="H251" s="187">
        <f t="shared" si="317"/>
        <v>0</v>
      </c>
      <c r="I251" s="186">
        <f t="shared" si="317"/>
        <v>0</v>
      </c>
      <c r="J251" s="187">
        <f t="shared" si="317"/>
        <v>0</v>
      </c>
      <c r="K251" s="187">
        <f t="shared" si="317"/>
        <v>0</v>
      </c>
      <c r="L251" s="187">
        <f t="shared" si="317"/>
        <v>0</v>
      </c>
      <c r="M251" s="186">
        <f t="shared" si="317"/>
        <v>0</v>
      </c>
      <c r="N251" s="188">
        <f t="shared" si="317"/>
        <v>0</v>
      </c>
      <c r="O251" s="188">
        <f t="shared" si="317"/>
        <v>0</v>
      </c>
      <c r="P251" s="188">
        <f t="shared" si="317"/>
        <v>0</v>
      </c>
      <c r="Q251" s="188">
        <f t="shared" si="317"/>
        <v>0</v>
      </c>
      <c r="R251" s="188">
        <f t="shared" si="317"/>
        <v>0</v>
      </c>
      <c r="S251" s="188">
        <f t="shared" si="317"/>
        <v>0</v>
      </c>
      <c r="T251" s="188">
        <f t="shared" si="317"/>
        <v>0</v>
      </c>
      <c r="U251" s="188">
        <f t="shared" si="317"/>
        <v>0</v>
      </c>
      <c r="V251" s="189">
        <f t="shared" si="317"/>
        <v>0</v>
      </c>
    </row>
    <row r="252" spans="1:22" s="29" customFormat="1" hidden="1">
      <c r="A252" s="98">
        <v>1</v>
      </c>
      <c r="B252" s="99" t="s">
        <v>2493</v>
      </c>
      <c r="C252" s="58">
        <f>SUM(C253:C262)</f>
        <v>0</v>
      </c>
      <c r="D252" s="176">
        <f t="shared" ref="D252:V252" si="318">SUM(D253:D262)</f>
        <v>0</v>
      </c>
      <c r="E252" s="58">
        <f t="shared" si="318"/>
        <v>0</v>
      </c>
      <c r="F252" s="58">
        <f t="shared" si="318"/>
        <v>0</v>
      </c>
      <c r="G252" s="144">
        <f t="shared" si="318"/>
        <v>0</v>
      </c>
      <c r="H252" s="59">
        <f t="shared" si="318"/>
        <v>0</v>
      </c>
      <c r="I252" s="144">
        <f>SUM(I253:I262)</f>
        <v>0</v>
      </c>
      <c r="J252" s="59">
        <f t="shared" si="318"/>
        <v>0</v>
      </c>
      <c r="K252" s="59">
        <f t="shared" si="318"/>
        <v>0</v>
      </c>
      <c r="L252" s="59">
        <f t="shared" si="318"/>
        <v>0</v>
      </c>
      <c r="M252" s="144">
        <f t="shared" si="318"/>
        <v>0</v>
      </c>
      <c r="N252" s="155">
        <f t="shared" si="318"/>
        <v>0</v>
      </c>
      <c r="O252" s="155">
        <f>SUM(O253:O262)</f>
        <v>0</v>
      </c>
      <c r="P252" s="155">
        <f t="shared" si="318"/>
        <v>0</v>
      </c>
      <c r="Q252" s="155">
        <f t="shared" si="318"/>
        <v>0</v>
      </c>
      <c r="R252" s="155">
        <f t="shared" si="318"/>
        <v>0</v>
      </c>
      <c r="S252" s="155">
        <f t="shared" si="318"/>
        <v>0</v>
      </c>
      <c r="T252" s="155">
        <f t="shared" si="318"/>
        <v>0</v>
      </c>
      <c r="U252" s="155">
        <f t="shared" si="318"/>
        <v>0</v>
      </c>
      <c r="V252" s="161">
        <f t="shared" si="318"/>
        <v>0</v>
      </c>
    </row>
    <row r="253" spans="1:22" s="29" customFormat="1" hidden="1">
      <c r="A253" s="100"/>
      <c r="B253" s="101" t="s">
        <v>2906</v>
      </c>
      <c r="C253" s="96"/>
      <c r="D253" s="175"/>
      <c r="E253" s="96"/>
      <c r="F253" s="96"/>
      <c r="G253" s="146">
        <f t="shared" ref="G253:G262" si="319">H253+I253+M253</f>
        <v>0</v>
      </c>
      <c r="H253" s="78"/>
      <c r="I253" s="145">
        <f>SUM(J253:L253)</f>
        <v>0</v>
      </c>
      <c r="J253" s="78"/>
      <c r="K253" s="78"/>
      <c r="L253" s="78"/>
      <c r="M253" s="146">
        <f t="shared" ref="M253:M262" si="320">(H253+I253)*1%</f>
        <v>0</v>
      </c>
      <c r="N253" s="158">
        <f>O253+P253+T253</f>
        <v>0</v>
      </c>
      <c r="O253" s="153">
        <f t="shared" ref="O253:O262" si="321">(H253/1.3)*1.39</f>
        <v>0</v>
      </c>
      <c r="P253" s="158">
        <f>SUM(Q253:S253)</f>
        <v>0</v>
      </c>
      <c r="Q253" s="153">
        <f t="shared" ref="Q253:S262" si="322">(J253/1.3)*1.39</f>
        <v>0</v>
      </c>
      <c r="R253" s="153">
        <f t="shared" si="322"/>
        <v>0</v>
      </c>
      <c r="S253" s="153">
        <f t="shared" si="322"/>
        <v>0</v>
      </c>
      <c r="T253" s="153">
        <f t="shared" ref="T253:T262" si="323">(O253+P253)*1%</f>
        <v>0</v>
      </c>
      <c r="U253" s="158">
        <f>T253-M253</f>
        <v>0</v>
      </c>
      <c r="V253" s="162">
        <f>U253*6</f>
        <v>0</v>
      </c>
    </row>
    <row r="254" spans="1:22" s="29" customFormat="1" hidden="1">
      <c r="A254" s="100"/>
      <c r="B254" s="101" t="s">
        <v>2907</v>
      </c>
      <c r="C254" s="96"/>
      <c r="D254" s="180"/>
      <c r="E254" s="96"/>
      <c r="F254" s="96"/>
      <c r="G254" s="146">
        <f t="shared" si="319"/>
        <v>0</v>
      </c>
      <c r="H254" s="78"/>
      <c r="I254" s="145">
        <f t="shared" ref="I254:I331" si="324">SUM(J254:L254)</f>
        <v>0</v>
      </c>
      <c r="J254" s="78"/>
      <c r="K254" s="78"/>
      <c r="L254" s="78"/>
      <c r="M254" s="146">
        <f t="shared" si="320"/>
        <v>0</v>
      </c>
      <c r="N254" s="158">
        <f t="shared" ref="N254:N331" si="325">O254+P254+T254</f>
        <v>0</v>
      </c>
      <c r="O254" s="153">
        <f t="shared" si="321"/>
        <v>0</v>
      </c>
      <c r="P254" s="158">
        <f t="shared" ref="P254:P262" si="326">SUM(Q254:S254)</f>
        <v>0</v>
      </c>
      <c r="Q254" s="153">
        <f t="shared" si="322"/>
        <v>0</v>
      </c>
      <c r="R254" s="153">
        <f t="shared" si="322"/>
        <v>0</v>
      </c>
      <c r="S254" s="153">
        <f t="shared" si="322"/>
        <v>0</v>
      </c>
      <c r="T254" s="153">
        <f t="shared" si="323"/>
        <v>0</v>
      </c>
      <c r="U254" s="158">
        <f t="shared" ref="U254:U262" si="327">T254-M254</f>
        <v>0</v>
      </c>
      <c r="V254" s="162">
        <f t="shared" ref="V254:V262" si="328">U254*6</f>
        <v>0</v>
      </c>
    </row>
    <row r="255" spans="1:22" s="29" customFormat="1" hidden="1">
      <c r="A255" s="100"/>
      <c r="B255" s="101" t="s">
        <v>2908</v>
      </c>
      <c r="C255" s="96"/>
      <c r="D255" s="180"/>
      <c r="E255" s="96"/>
      <c r="F255" s="96"/>
      <c r="G255" s="146">
        <f t="shared" si="319"/>
        <v>0</v>
      </c>
      <c r="H255" s="78"/>
      <c r="I255" s="145">
        <f t="shared" si="324"/>
        <v>0</v>
      </c>
      <c r="J255" s="78"/>
      <c r="K255" s="78"/>
      <c r="L255" s="78"/>
      <c r="M255" s="146">
        <f t="shared" si="320"/>
        <v>0</v>
      </c>
      <c r="N255" s="158">
        <f t="shared" si="325"/>
        <v>0</v>
      </c>
      <c r="O255" s="153">
        <f t="shared" si="321"/>
        <v>0</v>
      </c>
      <c r="P255" s="158">
        <f t="shared" si="326"/>
        <v>0</v>
      </c>
      <c r="Q255" s="153">
        <f t="shared" si="322"/>
        <v>0</v>
      </c>
      <c r="R255" s="153">
        <f t="shared" si="322"/>
        <v>0</v>
      </c>
      <c r="S255" s="153">
        <f t="shared" si="322"/>
        <v>0</v>
      </c>
      <c r="T255" s="153">
        <f t="shared" si="323"/>
        <v>0</v>
      </c>
      <c r="U255" s="158">
        <f t="shared" si="327"/>
        <v>0</v>
      </c>
      <c r="V255" s="162">
        <f t="shared" si="328"/>
        <v>0</v>
      </c>
    </row>
    <row r="256" spans="1:22" s="29" customFormat="1" hidden="1">
      <c r="A256" s="100"/>
      <c r="B256" s="101" t="s">
        <v>2909</v>
      </c>
      <c r="C256" s="96"/>
      <c r="D256" s="175"/>
      <c r="E256" s="96"/>
      <c r="F256" s="96"/>
      <c r="G256" s="146">
        <f t="shared" si="319"/>
        <v>0</v>
      </c>
      <c r="H256" s="78"/>
      <c r="I256" s="145">
        <f t="shared" si="324"/>
        <v>0</v>
      </c>
      <c r="J256" s="78"/>
      <c r="K256" s="78"/>
      <c r="L256" s="78"/>
      <c r="M256" s="146">
        <f t="shared" si="320"/>
        <v>0</v>
      </c>
      <c r="N256" s="158">
        <f t="shared" si="325"/>
        <v>0</v>
      </c>
      <c r="O256" s="153">
        <f t="shared" si="321"/>
        <v>0</v>
      </c>
      <c r="P256" s="158">
        <f t="shared" si="326"/>
        <v>0</v>
      </c>
      <c r="Q256" s="153">
        <f t="shared" si="322"/>
        <v>0</v>
      </c>
      <c r="R256" s="153">
        <f t="shared" si="322"/>
        <v>0</v>
      </c>
      <c r="S256" s="153">
        <f t="shared" si="322"/>
        <v>0</v>
      </c>
      <c r="T256" s="153">
        <f t="shared" si="323"/>
        <v>0</v>
      </c>
      <c r="U256" s="158">
        <f t="shared" si="327"/>
        <v>0</v>
      </c>
      <c r="V256" s="162">
        <f t="shared" si="328"/>
        <v>0</v>
      </c>
    </row>
    <row r="257" spans="1:22" s="29" customFormat="1" hidden="1">
      <c r="A257" s="100"/>
      <c r="B257" s="101" t="s">
        <v>2910</v>
      </c>
      <c r="C257" s="96"/>
      <c r="D257" s="175"/>
      <c r="E257" s="96"/>
      <c r="F257" s="96"/>
      <c r="G257" s="146">
        <f t="shared" si="319"/>
        <v>0</v>
      </c>
      <c r="H257" s="78"/>
      <c r="I257" s="145">
        <f t="shared" si="324"/>
        <v>0</v>
      </c>
      <c r="J257" s="78"/>
      <c r="K257" s="78"/>
      <c r="L257" s="78"/>
      <c r="M257" s="146">
        <f t="shared" si="320"/>
        <v>0</v>
      </c>
      <c r="N257" s="158">
        <f t="shared" si="325"/>
        <v>0</v>
      </c>
      <c r="O257" s="153">
        <f t="shared" si="321"/>
        <v>0</v>
      </c>
      <c r="P257" s="158">
        <f t="shared" si="326"/>
        <v>0</v>
      </c>
      <c r="Q257" s="153">
        <f t="shared" si="322"/>
        <v>0</v>
      </c>
      <c r="R257" s="153">
        <f t="shared" si="322"/>
        <v>0</v>
      </c>
      <c r="S257" s="153">
        <f t="shared" si="322"/>
        <v>0</v>
      </c>
      <c r="T257" s="153">
        <f t="shared" si="323"/>
        <v>0</v>
      </c>
      <c r="U257" s="158">
        <f t="shared" si="327"/>
        <v>0</v>
      </c>
      <c r="V257" s="162">
        <f t="shared" si="328"/>
        <v>0</v>
      </c>
    </row>
    <row r="258" spans="1:22" s="29" customFormat="1" hidden="1">
      <c r="A258" s="100"/>
      <c r="B258" s="101" t="s">
        <v>2911</v>
      </c>
      <c r="C258" s="96"/>
      <c r="D258" s="175"/>
      <c r="E258" s="96"/>
      <c r="F258" s="96"/>
      <c r="G258" s="146">
        <f t="shared" si="319"/>
        <v>0</v>
      </c>
      <c r="H258" s="78"/>
      <c r="I258" s="145">
        <f t="shared" si="324"/>
        <v>0</v>
      </c>
      <c r="J258" s="78"/>
      <c r="K258" s="78"/>
      <c r="L258" s="78"/>
      <c r="M258" s="146">
        <f t="shared" si="320"/>
        <v>0</v>
      </c>
      <c r="N258" s="158">
        <f t="shared" si="325"/>
        <v>0</v>
      </c>
      <c r="O258" s="153">
        <f t="shared" si="321"/>
        <v>0</v>
      </c>
      <c r="P258" s="158">
        <f t="shared" si="326"/>
        <v>0</v>
      </c>
      <c r="Q258" s="153">
        <f t="shared" si="322"/>
        <v>0</v>
      </c>
      <c r="R258" s="153">
        <f t="shared" si="322"/>
        <v>0</v>
      </c>
      <c r="S258" s="153">
        <f t="shared" si="322"/>
        <v>0</v>
      </c>
      <c r="T258" s="153">
        <f t="shared" si="323"/>
        <v>0</v>
      </c>
      <c r="U258" s="158">
        <f t="shared" si="327"/>
        <v>0</v>
      </c>
      <c r="V258" s="162">
        <f t="shared" si="328"/>
        <v>0</v>
      </c>
    </row>
    <row r="259" spans="1:22" s="29" customFormat="1" hidden="1">
      <c r="A259" s="100"/>
      <c r="B259" s="101" t="s">
        <v>2912</v>
      </c>
      <c r="C259" s="96"/>
      <c r="D259" s="175"/>
      <c r="E259" s="96"/>
      <c r="F259" s="96"/>
      <c r="G259" s="146">
        <f t="shared" si="319"/>
        <v>0</v>
      </c>
      <c r="H259" s="78"/>
      <c r="I259" s="145">
        <f t="shared" si="324"/>
        <v>0</v>
      </c>
      <c r="J259" s="78"/>
      <c r="K259" s="78"/>
      <c r="L259" s="78"/>
      <c r="M259" s="146">
        <f t="shared" si="320"/>
        <v>0</v>
      </c>
      <c r="N259" s="158">
        <f t="shared" si="325"/>
        <v>0</v>
      </c>
      <c r="O259" s="153">
        <f t="shared" si="321"/>
        <v>0</v>
      </c>
      <c r="P259" s="158">
        <f t="shared" si="326"/>
        <v>0</v>
      </c>
      <c r="Q259" s="153">
        <f t="shared" si="322"/>
        <v>0</v>
      </c>
      <c r="R259" s="153">
        <f t="shared" si="322"/>
        <v>0</v>
      </c>
      <c r="S259" s="153">
        <f t="shared" si="322"/>
        <v>0</v>
      </c>
      <c r="T259" s="153">
        <f t="shared" si="323"/>
        <v>0</v>
      </c>
      <c r="U259" s="158">
        <f t="shared" si="327"/>
        <v>0</v>
      </c>
      <c r="V259" s="162">
        <f t="shared" si="328"/>
        <v>0</v>
      </c>
    </row>
    <row r="260" spans="1:22" s="29" customFormat="1" hidden="1">
      <c r="A260" s="100"/>
      <c r="B260" s="101" t="s">
        <v>2536</v>
      </c>
      <c r="C260" s="96"/>
      <c r="D260" s="175"/>
      <c r="E260" s="96"/>
      <c r="F260" s="96"/>
      <c r="G260" s="146">
        <f t="shared" si="319"/>
        <v>0</v>
      </c>
      <c r="H260" s="78"/>
      <c r="I260" s="145">
        <f t="shared" si="324"/>
        <v>0</v>
      </c>
      <c r="J260" s="78"/>
      <c r="K260" s="78"/>
      <c r="L260" s="78"/>
      <c r="M260" s="146">
        <f t="shared" si="320"/>
        <v>0</v>
      </c>
      <c r="N260" s="158">
        <f t="shared" si="325"/>
        <v>0</v>
      </c>
      <c r="O260" s="153">
        <f t="shared" si="321"/>
        <v>0</v>
      </c>
      <c r="P260" s="158">
        <f t="shared" si="326"/>
        <v>0</v>
      </c>
      <c r="Q260" s="153">
        <f t="shared" si="322"/>
        <v>0</v>
      </c>
      <c r="R260" s="153">
        <f t="shared" si="322"/>
        <v>0</v>
      </c>
      <c r="S260" s="153">
        <f t="shared" si="322"/>
        <v>0</v>
      </c>
      <c r="T260" s="153">
        <f t="shared" si="323"/>
        <v>0</v>
      </c>
      <c r="U260" s="158">
        <f t="shared" si="327"/>
        <v>0</v>
      </c>
      <c r="V260" s="162">
        <f t="shared" si="328"/>
        <v>0</v>
      </c>
    </row>
    <row r="261" spans="1:22" s="29" customFormat="1" hidden="1">
      <c r="A261" s="100"/>
      <c r="B261" s="101" t="s">
        <v>2537</v>
      </c>
      <c r="C261" s="96"/>
      <c r="D261" s="175"/>
      <c r="E261" s="96"/>
      <c r="F261" s="96"/>
      <c r="G261" s="146">
        <f t="shared" si="319"/>
        <v>0</v>
      </c>
      <c r="H261" s="78"/>
      <c r="I261" s="145">
        <f t="shared" si="324"/>
        <v>0</v>
      </c>
      <c r="J261" s="78"/>
      <c r="K261" s="78"/>
      <c r="L261" s="78"/>
      <c r="M261" s="146">
        <f t="shared" si="320"/>
        <v>0</v>
      </c>
      <c r="N261" s="158">
        <f t="shared" si="325"/>
        <v>0</v>
      </c>
      <c r="O261" s="153">
        <f t="shared" si="321"/>
        <v>0</v>
      </c>
      <c r="P261" s="158">
        <f t="shared" si="326"/>
        <v>0</v>
      </c>
      <c r="Q261" s="153">
        <f t="shared" si="322"/>
        <v>0</v>
      </c>
      <c r="R261" s="153">
        <f t="shared" si="322"/>
        <v>0</v>
      </c>
      <c r="S261" s="153">
        <f t="shared" si="322"/>
        <v>0</v>
      </c>
      <c r="T261" s="153">
        <f t="shared" si="323"/>
        <v>0</v>
      </c>
      <c r="U261" s="158">
        <f t="shared" si="327"/>
        <v>0</v>
      </c>
      <c r="V261" s="162">
        <f t="shared" si="328"/>
        <v>0</v>
      </c>
    </row>
    <row r="262" spans="1:22" s="51" customFormat="1" hidden="1">
      <c r="A262" s="102"/>
      <c r="B262" s="78" t="s">
        <v>2492</v>
      </c>
      <c r="C262" s="96"/>
      <c r="D262" s="175"/>
      <c r="E262" s="96"/>
      <c r="F262" s="96"/>
      <c r="G262" s="146">
        <f t="shared" si="319"/>
        <v>0</v>
      </c>
      <c r="H262" s="78"/>
      <c r="I262" s="145">
        <f t="shared" si="324"/>
        <v>0</v>
      </c>
      <c r="J262" s="78"/>
      <c r="K262" s="78"/>
      <c r="L262" s="78"/>
      <c r="M262" s="146">
        <f t="shared" si="320"/>
        <v>0</v>
      </c>
      <c r="N262" s="158">
        <f t="shared" si="325"/>
        <v>0</v>
      </c>
      <c r="O262" s="153">
        <f t="shared" si="321"/>
        <v>0</v>
      </c>
      <c r="P262" s="158">
        <f t="shared" si="326"/>
        <v>0</v>
      </c>
      <c r="Q262" s="153">
        <f t="shared" si="322"/>
        <v>0</v>
      </c>
      <c r="R262" s="153">
        <f t="shared" si="322"/>
        <v>0</v>
      </c>
      <c r="S262" s="153">
        <f t="shared" si="322"/>
        <v>0</v>
      </c>
      <c r="T262" s="153">
        <f t="shared" si="323"/>
        <v>0</v>
      </c>
      <c r="U262" s="158">
        <f t="shared" si="327"/>
        <v>0</v>
      </c>
      <c r="V262" s="162">
        <f t="shared" si="328"/>
        <v>0</v>
      </c>
    </row>
    <row r="263" spans="1:22" s="29" customFormat="1" hidden="1">
      <c r="A263" s="98">
        <v>2</v>
      </c>
      <c r="B263" s="99" t="s">
        <v>2494</v>
      </c>
      <c r="C263" s="58">
        <f>SUM(C264:C273)</f>
        <v>0</v>
      </c>
      <c r="D263" s="176">
        <f t="shared" ref="D263:U263" si="329">SUM(D264:D273)</f>
        <v>0</v>
      </c>
      <c r="E263" s="58">
        <f t="shared" si="329"/>
        <v>0</v>
      </c>
      <c r="F263" s="58">
        <f t="shared" si="329"/>
        <v>0</v>
      </c>
      <c r="G263" s="144">
        <f t="shared" si="329"/>
        <v>0</v>
      </c>
      <c r="H263" s="59">
        <f t="shared" si="329"/>
        <v>0</v>
      </c>
      <c r="I263" s="144">
        <f t="shared" si="329"/>
        <v>0</v>
      </c>
      <c r="J263" s="59">
        <f t="shared" si="329"/>
        <v>0</v>
      </c>
      <c r="K263" s="59">
        <f t="shared" si="329"/>
        <v>0</v>
      </c>
      <c r="L263" s="59">
        <f t="shared" si="329"/>
        <v>0</v>
      </c>
      <c r="M263" s="144">
        <f t="shared" si="329"/>
        <v>0</v>
      </c>
      <c r="N263" s="155">
        <f t="shared" si="329"/>
        <v>0</v>
      </c>
      <c r="O263" s="155">
        <f t="shared" si="329"/>
        <v>0</v>
      </c>
      <c r="P263" s="155">
        <f t="shared" si="329"/>
        <v>0</v>
      </c>
      <c r="Q263" s="155">
        <f t="shared" si="329"/>
        <v>0</v>
      </c>
      <c r="R263" s="155">
        <f t="shared" si="329"/>
        <v>0</v>
      </c>
      <c r="S263" s="155">
        <f t="shared" si="329"/>
        <v>0</v>
      </c>
      <c r="T263" s="155">
        <f t="shared" si="329"/>
        <v>0</v>
      </c>
      <c r="U263" s="155">
        <f t="shared" si="329"/>
        <v>0</v>
      </c>
      <c r="V263" s="161">
        <f>SUM(V264:V273)</f>
        <v>0</v>
      </c>
    </row>
    <row r="264" spans="1:22" s="29" customFormat="1" hidden="1">
      <c r="A264" s="100"/>
      <c r="B264" s="101" t="s">
        <v>2906</v>
      </c>
      <c r="C264" s="96"/>
      <c r="D264" s="175"/>
      <c r="E264" s="96"/>
      <c r="F264" s="96"/>
      <c r="G264" s="145">
        <f t="shared" ref="G264:G331" si="330">H264+I264+M264</f>
        <v>0</v>
      </c>
      <c r="H264" s="78"/>
      <c r="I264" s="145">
        <f t="shared" si="324"/>
        <v>0</v>
      </c>
      <c r="J264" s="78"/>
      <c r="K264" s="78"/>
      <c r="L264" s="78"/>
      <c r="M264" s="146">
        <f t="shared" ref="M264:M273" si="331">(H264+I264)*1%</f>
        <v>0</v>
      </c>
      <c r="N264" s="158">
        <f t="shared" si="325"/>
        <v>0</v>
      </c>
      <c r="O264" s="153">
        <f t="shared" ref="O264:O273" si="332">(H264/1.3)*1.39</f>
        <v>0</v>
      </c>
      <c r="P264" s="158">
        <f>SUM(Q264:S264)</f>
        <v>0</v>
      </c>
      <c r="Q264" s="153">
        <f t="shared" ref="Q264:S273" si="333">(J264/1.3)*1.39</f>
        <v>0</v>
      </c>
      <c r="R264" s="153">
        <f t="shared" si="333"/>
        <v>0</v>
      </c>
      <c r="S264" s="153">
        <f t="shared" si="333"/>
        <v>0</v>
      </c>
      <c r="T264" s="153">
        <f t="shared" ref="T264:T273" si="334">(O264+P264)*1%</f>
        <v>0</v>
      </c>
      <c r="U264" s="158">
        <f>T264-M264</f>
        <v>0</v>
      </c>
      <c r="V264" s="162">
        <f>U264*6</f>
        <v>0</v>
      </c>
    </row>
    <row r="265" spans="1:22" s="29" customFormat="1" hidden="1">
      <c r="A265" s="100"/>
      <c r="B265" s="101" t="s">
        <v>2907</v>
      </c>
      <c r="C265" s="96"/>
      <c r="D265" s="180"/>
      <c r="E265" s="96"/>
      <c r="F265" s="96"/>
      <c r="G265" s="145">
        <f t="shared" si="330"/>
        <v>0</v>
      </c>
      <c r="H265" s="78"/>
      <c r="I265" s="145">
        <f t="shared" si="324"/>
        <v>0</v>
      </c>
      <c r="J265" s="78"/>
      <c r="K265" s="78"/>
      <c r="L265" s="78"/>
      <c r="M265" s="146">
        <f t="shared" si="331"/>
        <v>0</v>
      </c>
      <c r="N265" s="158">
        <f t="shared" si="325"/>
        <v>0</v>
      </c>
      <c r="O265" s="153">
        <f t="shared" si="332"/>
        <v>0</v>
      </c>
      <c r="P265" s="158">
        <f t="shared" ref="P265:P273" si="335">SUM(Q265:S265)</f>
        <v>0</v>
      </c>
      <c r="Q265" s="153">
        <f t="shared" si="333"/>
        <v>0</v>
      </c>
      <c r="R265" s="153">
        <f t="shared" si="333"/>
        <v>0</v>
      </c>
      <c r="S265" s="153">
        <f t="shared" si="333"/>
        <v>0</v>
      </c>
      <c r="T265" s="153">
        <f t="shared" si="334"/>
        <v>0</v>
      </c>
      <c r="U265" s="158">
        <f t="shared" ref="U265:U273" si="336">T265-M265</f>
        <v>0</v>
      </c>
      <c r="V265" s="162">
        <f t="shared" ref="V265:V273" si="337">U265*6</f>
        <v>0</v>
      </c>
    </row>
    <row r="266" spans="1:22" s="29" customFormat="1" hidden="1">
      <c r="A266" s="100"/>
      <c r="B266" s="101" t="s">
        <v>2908</v>
      </c>
      <c r="C266" s="96"/>
      <c r="D266" s="180"/>
      <c r="E266" s="96"/>
      <c r="F266" s="96"/>
      <c r="G266" s="145">
        <f t="shared" si="330"/>
        <v>0</v>
      </c>
      <c r="H266" s="78"/>
      <c r="I266" s="145">
        <f t="shared" si="324"/>
        <v>0</v>
      </c>
      <c r="J266" s="78"/>
      <c r="K266" s="78"/>
      <c r="L266" s="78"/>
      <c r="M266" s="146">
        <f t="shared" si="331"/>
        <v>0</v>
      </c>
      <c r="N266" s="158">
        <f t="shared" si="325"/>
        <v>0</v>
      </c>
      <c r="O266" s="153">
        <f t="shared" si="332"/>
        <v>0</v>
      </c>
      <c r="P266" s="158">
        <f t="shared" si="335"/>
        <v>0</v>
      </c>
      <c r="Q266" s="153">
        <f t="shared" si="333"/>
        <v>0</v>
      </c>
      <c r="R266" s="153">
        <f t="shared" si="333"/>
        <v>0</v>
      </c>
      <c r="S266" s="153">
        <f t="shared" si="333"/>
        <v>0</v>
      </c>
      <c r="T266" s="153">
        <f t="shared" si="334"/>
        <v>0</v>
      </c>
      <c r="U266" s="158">
        <f t="shared" si="336"/>
        <v>0</v>
      </c>
      <c r="V266" s="162">
        <f t="shared" si="337"/>
        <v>0</v>
      </c>
    </row>
    <row r="267" spans="1:22" s="29" customFormat="1" hidden="1">
      <c r="A267" s="100"/>
      <c r="B267" s="101" t="s">
        <v>2909</v>
      </c>
      <c r="C267" s="96"/>
      <c r="D267" s="175"/>
      <c r="E267" s="96"/>
      <c r="F267" s="96"/>
      <c r="G267" s="145">
        <f t="shared" si="330"/>
        <v>0</v>
      </c>
      <c r="H267" s="78"/>
      <c r="I267" s="145">
        <f t="shared" si="324"/>
        <v>0</v>
      </c>
      <c r="J267" s="78"/>
      <c r="K267" s="78"/>
      <c r="L267" s="78"/>
      <c r="M267" s="146">
        <f t="shared" si="331"/>
        <v>0</v>
      </c>
      <c r="N267" s="158">
        <f t="shared" si="325"/>
        <v>0</v>
      </c>
      <c r="O267" s="153">
        <f t="shared" si="332"/>
        <v>0</v>
      </c>
      <c r="P267" s="158">
        <f t="shared" si="335"/>
        <v>0</v>
      </c>
      <c r="Q267" s="153">
        <f t="shared" si="333"/>
        <v>0</v>
      </c>
      <c r="R267" s="153">
        <f t="shared" si="333"/>
        <v>0</v>
      </c>
      <c r="S267" s="153">
        <f t="shared" si="333"/>
        <v>0</v>
      </c>
      <c r="T267" s="153">
        <f t="shared" si="334"/>
        <v>0</v>
      </c>
      <c r="U267" s="158">
        <f t="shared" si="336"/>
        <v>0</v>
      </c>
      <c r="V267" s="162">
        <f t="shared" si="337"/>
        <v>0</v>
      </c>
    </row>
    <row r="268" spans="1:22" s="29" customFormat="1" hidden="1">
      <c r="A268" s="100"/>
      <c r="B268" s="101" t="s">
        <v>2910</v>
      </c>
      <c r="C268" s="96"/>
      <c r="D268" s="175"/>
      <c r="E268" s="96"/>
      <c r="F268" s="96"/>
      <c r="G268" s="145">
        <f t="shared" si="330"/>
        <v>0</v>
      </c>
      <c r="H268" s="78"/>
      <c r="I268" s="145">
        <f t="shared" si="324"/>
        <v>0</v>
      </c>
      <c r="J268" s="78"/>
      <c r="K268" s="78"/>
      <c r="L268" s="78"/>
      <c r="M268" s="146">
        <f t="shared" si="331"/>
        <v>0</v>
      </c>
      <c r="N268" s="158">
        <f t="shared" si="325"/>
        <v>0</v>
      </c>
      <c r="O268" s="153">
        <f t="shared" si="332"/>
        <v>0</v>
      </c>
      <c r="P268" s="158">
        <f t="shared" si="335"/>
        <v>0</v>
      </c>
      <c r="Q268" s="153">
        <f t="shared" si="333"/>
        <v>0</v>
      </c>
      <c r="R268" s="153">
        <f t="shared" si="333"/>
        <v>0</v>
      </c>
      <c r="S268" s="153">
        <f t="shared" si="333"/>
        <v>0</v>
      </c>
      <c r="T268" s="153">
        <f t="shared" si="334"/>
        <v>0</v>
      </c>
      <c r="U268" s="158">
        <f t="shared" si="336"/>
        <v>0</v>
      </c>
      <c r="V268" s="162">
        <f t="shared" si="337"/>
        <v>0</v>
      </c>
    </row>
    <row r="269" spans="1:22" s="29" customFormat="1" hidden="1">
      <c r="A269" s="100"/>
      <c r="B269" s="101" t="s">
        <v>2911</v>
      </c>
      <c r="C269" s="96"/>
      <c r="D269" s="175"/>
      <c r="E269" s="96"/>
      <c r="F269" s="96"/>
      <c r="G269" s="145">
        <f t="shared" si="330"/>
        <v>0</v>
      </c>
      <c r="H269" s="78"/>
      <c r="I269" s="145">
        <f t="shared" si="324"/>
        <v>0</v>
      </c>
      <c r="J269" s="78"/>
      <c r="K269" s="78"/>
      <c r="L269" s="78"/>
      <c r="M269" s="146">
        <f t="shared" si="331"/>
        <v>0</v>
      </c>
      <c r="N269" s="158">
        <f t="shared" si="325"/>
        <v>0</v>
      </c>
      <c r="O269" s="153">
        <f t="shared" si="332"/>
        <v>0</v>
      </c>
      <c r="P269" s="158">
        <f t="shared" si="335"/>
        <v>0</v>
      </c>
      <c r="Q269" s="153">
        <f t="shared" si="333"/>
        <v>0</v>
      </c>
      <c r="R269" s="153">
        <f t="shared" si="333"/>
        <v>0</v>
      </c>
      <c r="S269" s="153">
        <f t="shared" si="333"/>
        <v>0</v>
      </c>
      <c r="T269" s="153">
        <f t="shared" si="334"/>
        <v>0</v>
      </c>
      <c r="U269" s="158">
        <f t="shared" si="336"/>
        <v>0</v>
      </c>
      <c r="V269" s="162">
        <f t="shared" si="337"/>
        <v>0</v>
      </c>
    </row>
    <row r="270" spans="1:22" s="29" customFormat="1" hidden="1">
      <c r="A270" s="100"/>
      <c r="B270" s="101" t="s">
        <v>2912</v>
      </c>
      <c r="C270" s="96"/>
      <c r="D270" s="175"/>
      <c r="E270" s="96"/>
      <c r="F270" s="96"/>
      <c r="G270" s="145">
        <f t="shared" si="330"/>
        <v>0</v>
      </c>
      <c r="H270" s="78"/>
      <c r="I270" s="145">
        <f t="shared" si="324"/>
        <v>0</v>
      </c>
      <c r="J270" s="78"/>
      <c r="K270" s="78"/>
      <c r="L270" s="78"/>
      <c r="M270" s="146">
        <f t="shared" si="331"/>
        <v>0</v>
      </c>
      <c r="N270" s="158">
        <f t="shared" si="325"/>
        <v>0</v>
      </c>
      <c r="O270" s="153">
        <f t="shared" si="332"/>
        <v>0</v>
      </c>
      <c r="P270" s="158">
        <f t="shared" si="335"/>
        <v>0</v>
      </c>
      <c r="Q270" s="153">
        <f t="shared" si="333"/>
        <v>0</v>
      </c>
      <c r="R270" s="153">
        <f t="shared" si="333"/>
        <v>0</v>
      </c>
      <c r="S270" s="153">
        <f t="shared" si="333"/>
        <v>0</v>
      </c>
      <c r="T270" s="153">
        <f t="shared" si="334"/>
        <v>0</v>
      </c>
      <c r="U270" s="158">
        <f t="shared" si="336"/>
        <v>0</v>
      </c>
      <c r="V270" s="162">
        <f t="shared" si="337"/>
        <v>0</v>
      </c>
    </row>
    <row r="271" spans="1:22" s="29" customFormat="1" hidden="1">
      <c r="A271" s="100"/>
      <c r="B271" s="101" t="s">
        <v>2536</v>
      </c>
      <c r="C271" s="96"/>
      <c r="D271" s="175"/>
      <c r="E271" s="96"/>
      <c r="F271" s="96"/>
      <c r="G271" s="145">
        <f t="shared" si="330"/>
        <v>0</v>
      </c>
      <c r="H271" s="78"/>
      <c r="I271" s="145">
        <f t="shared" si="324"/>
        <v>0</v>
      </c>
      <c r="J271" s="78"/>
      <c r="K271" s="78"/>
      <c r="L271" s="78"/>
      <c r="M271" s="146">
        <f t="shared" si="331"/>
        <v>0</v>
      </c>
      <c r="N271" s="158">
        <f t="shared" si="325"/>
        <v>0</v>
      </c>
      <c r="O271" s="153">
        <f t="shared" si="332"/>
        <v>0</v>
      </c>
      <c r="P271" s="158">
        <f t="shared" si="335"/>
        <v>0</v>
      </c>
      <c r="Q271" s="153">
        <f t="shared" si="333"/>
        <v>0</v>
      </c>
      <c r="R271" s="153">
        <f t="shared" si="333"/>
        <v>0</v>
      </c>
      <c r="S271" s="153">
        <f t="shared" si="333"/>
        <v>0</v>
      </c>
      <c r="T271" s="153">
        <f t="shared" si="334"/>
        <v>0</v>
      </c>
      <c r="U271" s="158">
        <f t="shared" si="336"/>
        <v>0</v>
      </c>
      <c r="V271" s="162">
        <f t="shared" si="337"/>
        <v>0</v>
      </c>
    </row>
    <row r="272" spans="1:22" s="29" customFormat="1" hidden="1">
      <c r="A272" s="100"/>
      <c r="B272" s="101" t="s">
        <v>2537</v>
      </c>
      <c r="C272" s="96"/>
      <c r="D272" s="175"/>
      <c r="E272" s="96"/>
      <c r="F272" s="96"/>
      <c r="G272" s="145">
        <f t="shared" si="330"/>
        <v>0</v>
      </c>
      <c r="H272" s="78"/>
      <c r="I272" s="145">
        <f t="shared" si="324"/>
        <v>0</v>
      </c>
      <c r="J272" s="78"/>
      <c r="K272" s="78"/>
      <c r="L272" s="78"/>
      <c r="M272" s="146">
        <f t="shared" si="331"/>
        <v>0</v>
      </c>
      <c r="N272" s="158">
        <f t="shared" si="325"/>
        <v>0</v>
      </c>
      <c r="O272" s="153">
        <f t="shared" si="332"/>
        <v>0</v>
      </c>
      <c r="P272" s="158">
        <f t="shared" si="335"/>
        <v>0</v>
      </c>
      <c r="Q272" s="153">
        <f t="shared" si="333"/>
        <v>0</v>
      </c>
      <c r="R272" s="153">
        <f t="shared" si="333"/>
        <v>0</v>
      </c>
      <c r="S272" s="153">
        <f t="shared" si="333"/>
        <v>0</v>
      </c>
      <c r="T272" s="153">
        <f t="shared" si="334"/>
        <v>0</v>
      </c>
      <c r="U272" s="158">
        <f t="shared" si="336"/>
        <v>0</v>
      </c>
      <c r="V272" s="162">
        <f t="shared" si="337"/>
        <v>0</v>
      </c>
    </row>
    <row r="273" spans="1:22" s="29" customFormat="1" hidden="1">
      <c r="A273" s="100"/>
      <c r="B273" s="101" t="s">
        <v>2492</v>
      </c>
      <c r="C273" s="96"/>
      <c r="D273" s="175"/>
      <c r="E273" s="96"/>
      <c r="F273" s="96"/>
      <c r="G273" s="145">
        <f t="shared" si="330"/>
        <v>0</v>
      </c>
      <c r="H273" s="78"/>
      <c r="I273" s="145">
        <f t="shared" si="324"/>
        <v>0</v>
      </c>
      <c r="J273" s="78"/>
      <c r="K273" s="78"/>
      <c r="L273" s="78"/>
      <c r="M273" s="146">
        <f t="shared" si="331"/>
        <v>0</v>
      </c>
      <c r="N273" s="158">
        <f t="shared" si="325"/>
        <v>0</v>
      </c>
      <c r="O273" s="153">
        <f t="shared" si="332"/>
        <v>0</v>
      </c>
      <c r="P273" s="158">
        <f t="shared" si="335"/>
        <v>0</v>
      </c>
      <c r="Q273" s="153">
        <f t="shared" si="333"/>
        <v>0</v>
      </c>
      <c r="R273" s="153">
        <f t="shared" si="333"/>
        <v>0</v>
      </c>
      <c r="S273" s="153">
        <f t="shared" si="333"/>
        <v>0</v>
      </c>
      <c r="T273" s="153">
        <f t="shared" si="334"/>
        <v>0</v>
      </c>
      <c r="U273" s="158">
        <f t="shared" si="336"/>
        <v>0</v>
      </c>
      <c r="V273" s="162">
        <f t="shared" si="337"/>
        <v>0</v>
      </c>
    </row>
    <row r="274" spans="1:22" s="29" customFormat="1" hidden="1">
      <c r="A274" s="98">
        <v>3</v>
      </c>
      <c r="B274" s="99" t="s">
        <v>2495</v>
      </c>
      <c r="C274" s="58">
        <f>SUM(C275:C284)</f>
        <v>0</v>
      </c>
      <c r="D274" s="176">
        <f t="shared" ref="D274:V274" si="338">SUM(D275:D284)</f>
        <v>0</v>
      </c>
      <c r="E274" s="58">
        <f t="shared" si="338"/>
        <v>0</v>
      </c>
      <c r="F274" s="58">
        <f t="shared" si="338"/>
        <v>0</v>
      </c>
      <c r="G274" s="144">
        <f t="shared" si="338"/>
        <v>0</v>
      </c>
      <c r="H274" s="59">
        <f t="shared" si="338"/>
        <v>0</v>
      </c>
      <c r="I274" s="144">
        <f t="shared" si="338"/>
        <v>0</v>
      </c>
      <c r="J274" s="59">
        <f t="shared" si="338"/>
        <v>0</v>
      </c>
      <c r="K274" s="59">
        <f t="shared" si="338"/>
        <v>0</v>
      </c>
      <c r="L274" s="59">
        <f t="shared" si="338"/>
        <v>0</v>
      </c>
      <c r="M274" s="144">
        <f t="shared" si="338"/>
        <v>0</v>
      </c>
      <c r="N274" s="155">
        <f t="shared" si="338"/>
        <v>0</v>
      </c>
      <c r="O274" s="155">
        <f t="shared" si="338"/>
        <v>0</v>
      </c>
      <c r="P274" s="155">
        <f t="shared" si="338"/>
        <v>0</v>
      </c>
      <c r="Q274" s="155">
        <f t="shared" si="338"/>
        <v>0</v>
      </c>
      <c r="R274" s="155">
        <f t="shared" si="338"/>
        <v>0</v>
      </c>
      <c r="S274" s="155">
        <f t="shared" si="338"/>
        <v>0</v>
      </c>
      <c r="T274" s="155">
        <f t="shared" si="338"/>
        <v>0</v>
      </c>
      <c r="U274" s="155">
        <f t="shared" si="338"/>
        <v>0</v>
      </c>
      <c r="V274" s="161">
        <f t="shared" si="338"/>
        <v>0</v>
      </c>
    </row>
    <row r="275" spans="1:22" s="29" customFormat="1" hidden="1">
      <c r="A275" s="100"/>
      <c r="B275" s="101" t="s">
        <v>2906</v>
      </c>
      <c r="C275" s="96"/>
      <c r="D275" s="175"/>
      <c r="E275" s="96"/>
      <c r="F275" s="96"/>
      <c r="G275" s="145">
        <f t="shared" si="330"/>
        <v>0</v>
      </c>
      <c r="H275" s="78"/>
      <c r="I275" s="145">
        <f t="shared" si="324"/>
        <v>0</v>
      </c>
      <c r="J275" s="78"/>
      <c r="K275" s="78"/>
      <c r="L275" s="78"/>
      <c r="M275" s="146">
        <f t="shared" ref="M275:M284" si="339">(H275+I275)*1%</f>
        <v>0</v>
      </c>
      <c r="N275" s="158">
        <f t="shared" si="325"/>
        <v>0</v>
      </c>
      <c r="O275" s="153">
        <f t="shared" ref="O275:O284" si="340">(H275/1.3)*1.39</f>
        <v>0</v>
      </c>
      <c r="P275" s="158">
        <f>SUM(Q275:S275)</f>
        <v>0</v>
      </c>
      <c r="Q275" s="153">
        <f t="shared" ref="Q275:S284" si="341">(J275/1.3)*1.39</f>
        <v>0</v>
      </c>
      <c r="R275" s="153">
        <f t="shared" si="341"/>
        <v>0</v>
      </c>
      <c r="S275" s="153">
        <f t="shared" si="341"/>
        <v>0</v>
      </c>
      <c r="T275" s="153">
        <f t="shared" ref="T275:T284" si="342">(O275+P275)*1%</f>
        <v>0</v>
      </c>
      <c r="U275" s="158">
        <f>T275-M275</f>
        <v>0</v>
      </c>
      <c r="V275" s="162">
        <f>U275*6</f>
        <v>0</v>
      </c>
    </row>
    <row r="276" spans="1:22" s="29" customFormat="1" hidden="1">
      <c r="A276" s="100"/>
      <c r="B276" s="101" t="s">
        <v>2907</v>
      </c>
      <c r="C276" s="96"/>
      <c r="D276" s="180"/>
      <c r="E276" s="96"/>
      <c r="F276" s="96"/>
      <c r="G276" s="145">
        <f t="shared" si="330"/>
        <v>0</v>
      </c>
      <c r="H276" s="78"/>
      <c r="I276" s="145">
        <f t="shared" si="324"/>
        <v>0</v>
      </c>
      <c r="J276" s="78"/>
      <c r="K276" s="78"/>
      <c r="L276" s="78"/>
      <c r="M276" s="146">
        <f t="shared" si="339"/>
        <v>0</v>
      </c>
      <c r="N276" s="158">
        <f t="shared" si="325"/>
        <v>0</v>
      </c>
      <c r="O276" s="153">
        <f t="shared" si="340"/>
        <v>0</v>
      </c>
      <c r="P276" s="158">
        <f t="shared" ref="P276:P284" si="343">SUM(Q276:S276)</f>
        <v>0</v>
      </c>
      <c r="Q276" s="153">
        <f t="shared" si="341"/>
        <v>0</v>
      </c>
      <c r="R276" s="153">
        <f t="shared" si="341"/>
        <v>0</v>
      </c>
      <c r="S276" s="153">
        <f t="shared" si="341"/>
        <v>0</v>
      </c>
      <c r="T276" s="153">
        <f t="shared" si="342"/>
        <v>0</v>
      </c>
      <c r="U276" s="158">
        <f t="shared" ref="U276:U284" si="344">T276-M276</f>
        <v>0</v>
      </c>
      <c r="V276" s="162">
        <f t="shared" ref="V276:V284" si="345">U276*6</f>
        <v>0</v>
      </c>
    </row>
    <row r="277" spans="1:22" s="29" customFormat="1" hidden="1">
      <c r="A277" s="100"/>
      <c r="B277" s="101" t="s">
        <v>2908</v>
      </c>
      <c r="C277" s="96"/>
      <c r="D277" s="180"/>
      <c r="E277" s="96"/>
      <c r="F277" s="96"/>
      <c r="G277" s="145">
        <f t="shared" si="330"/>
        <v>0</v>
      </c>
      <c r="H277" s="78"/>
      <c r="I277" s="145">
        <f t="shared" si="324"/>
        <v>0</v>
      </c>
      <c r="J277" s="78"/>
      <c r="K277" s="78"/>
      <c r="L277" s="78"/>
      <c r="M277" s="146">
        <f t="shared" si="339"/>
        <v>0</v>
      </c>
      <c r="N277" s="158">
        <f t="shared" si="325"/>
        <v>0</v>
      </c>
      <c r="O277" s="153">
        <f t="shared" si="340"/>
        <v>0</v>
      </c>
      <c r="P277" s="158">
        <f t="shared" si="343"/>
        <v>0</v>
      </c>
      <c r="Q277" s="153">
        <f t="shared" si="341"/>
        <v>0</v>
      </c>
      <c r="R277" s="153">
        <f t="shared" si="341"/>
        <v>0</v>
      </c>
      <c r="S277" s="153">
        <f t="shared" si="341"/>
        <v>0</v>
      </c>
      <c r="T277" s="153">
        <f t="shared" si="342"/>
        <v>0</v>
      </c>
      <c r="U277" s="158">
        <f t="shared" si="344"/>
        <v>0</v>
      </c>
      <c r="V277" s="162">
        <f t="shared" si="345"/>
        <v>0</v>
      </c>
    </row>
    <row r="278" spans="1:22" s="29" customFormat="1" hidden="1">
      <c r="A278" s="100"/>
      <c r="B278" s="101" t="s">
        <v>2909</v>
      </c>
      <c r="C278" s="96"/>
      <c r="D278" s="175"/>
      <c r="E278" s="96"/>
      <c r="F278" s="96"/>
      <c r="G278" s="145">
        <f t="shared" si="330"/>
        <v>0</v>
      </c>
      <c r="H278" s="78"/>
      <c r="I278" s="145">
        <f t="shared" si="324"/>
        <v>0</v>
      </c>
      <c r="J278" s="78"/>
      <c r="K278" s="78"/>
      <c r="L278" s="78"/>
      <c r="M278" s="146">
        <f t="shared" si="339"/>
        <v>0</v>
      </c>
      <c r="N278" s="158">
        <f t="shared" si="325"/>
        <v>0</v>
      </c>
      <c r="O278" s="153">
        <f t="shared" si="340"/>
        <v>0</v>
      </c>
      <c r="P278" s="158">
        <f t="shared" si="343"/>
        <v>0</v>
      </c>
      <c r="Q278" s="153">
        <f t="shared" si="341"/>
        <v>0</v>
      </c>
      <c r="R278" s="153">
        <f t="shared" si="341"/>
        <v>0</v>
      </c>
      <c r="S278" s="153">
        <f t="shared" si="341"/>
        <v>0</v>
      </c>
      <c r="T278" s="153">
        <f t="shared" si="342"/>
        <v>0</v>
      </c>
      <c r="U278" s="158">
        <f t="shared" si="344"/>
        <v>0</v>
      </c>
      <c r="V278" s="162">
        <f t="shared" si="345"/>
        <v>0</v>
      </c>
    </row>
    <row r="279" spans="1:22" s="29" customFormat="1" hidden="1">
      <c r="A279" s="100"/>
      <c r="B279" s="101" t="s">
        <v>2910</v>
      </c>
      <c r="C279" s="96"/>
      <c r="D279" s="175"/>
      <c r="E279" s="96"/>
      <c r="F279" s="96"/>
      <c r="G279" s="145">
        <f t="shared" si="330"/>
        <v>0</v>
      </c>
      <c r="H279" s="78"/>
      <c r="I279" s="145">
        <f t="shared" si="324"/>
        <v>0</v>
      </c>
      <c r="J279" s="78"/>
      <c r="K279" s="78"/>
      <c r="L279" s="78"/>
      <c r="M279" s="146">
        <f t="shared" si="339"/>
        <v>0</v>
      </c>
      <c r="N279" s="158">
        <f t="shared" si="325"/>
        <v>0</v>
      </c>
      <c r="O279" s="153">
        <f t="shared" si="340"/>
        <v>0</v>
      </c>
      <c r="P279" s="158">
        <f t="shared" si="343"/>
        <v>0</v>
      </c>
      <c r="Q279" s="153">
        <f t="shared" si="341"/>
        <v>0</v>
      </c>
      <c r="R279" s="153">
        <f t="shared" si="341"/>
        <v>0</v>
      </c>
      <c r="S279" s="153">
        <f t="shared" si="341"/>
        <v>0</v>
      </c>
      <c r="T279" s="153">
        <f t="shared" si="342"/>
        <v>0</v>
      </c>
      <c r="U279" s="158">
        <f t="shared" si="344"/>
        <v>0</v>
      </c>
      <c r="V279" s="162">
        <f t="shared" si="345"/>
        <v>0</v>
      </c>
    </row>
    <row r="280" spans="1:22" s="29" customFormat="1" hidden="1">
      <c r="A280" s="100"/>
      <c r="B280" s="101" t="s">
        <v>2911</v>
      </c>
      <c r="C280" s="96"/>
      <c r="D280" s="180"/>
      <c r="E280" s="96"/>
      <c r="F280" s="96"/>
      <c r="G280" s="145">
        <f t="shared" si="330"/>
        <v>0</v>
      </c>
      <c r="H280" s="78"/>
      <c r="I280" s="145">
        <f t="shared" si="324"/>
        <v>0</v>
      </c>
      <c r="J280" s="78"/>
      <c r="K280" s="78"/>
      <c r="L280" s="78"/>
      <c r="M280" s="146">
        <f t="shared" si="339"/>
        <v>0</v>
      </c>
      <c r="N280" s="158">
        <f t="shared" si="325"/>
        <v>0</v>
      </c>
      <c r="O280" s="153">
        <f t="shared" si="340"/>
        <v>0</v>
      </c>
      <c r="P280" s="158">
        <f t="shared" si="343"/>
        <v>0</v>
      </c>
      <c r="Q280" s="153">
        <f t="shared" si="341"/>
        <v>0</v>
      </c>
      <c r="R280" s="153">
        <f t="shared" si="341"/>
        <v>0</v>
      </c>
      <c r="S280" s="153">
        <f t="shared" si="341"/>
        <v>0</v>
      </c>
      <c r="T280" s="153">
        <f t="shared" si="342"/>
        <v>0</v>
      </c>
      <c r="U280" s="158">
        <f t="shared" si="344"/>
        <v>0</v>
      </c>
      <c r="V280" s="162">
        <f t="shared" si="345"/>
        <v>0</v>
      </c>
    </row>
    <row r="281" spans="1:22" s="29" customFormat="1" hidden="1">
      <c r="A281" s="100"/>
      <c r="B281" s="101" t="s">
        <v>2912</v>
      </c>
      <c r="C281" s="96"/>
      <c r="D281" s="180"/>
      <c r="E281" s="96"/>
      <c r="F281" s="96"/>
      <c r="G281" s="145">
        <f t="shared" si="330"/>
        <v>0</v>
      </c>
      <c r="H281" s="78"/>
      <c r="I281" s="145">
        <f t="shared" si="324"/>
        <v>0</v>
      </c>
      <c r="J281" s="78"/>
      <c r="K281" s="78"/>
      <c r="L281" s="78"/>
      <c r="M281" s="146">
        <f t="shared" si="339"/>
        <v>0</v>
      </c>
      <c r="N281" s="158">
        <f t="shared" si="325"/>
        <v>0</v>
      </c>
      <c r="O281" s="153">
        <f t="shared" si="340"/>
        <v>0</v>
      </c>
      <c r="P281" s="158">
        <f t="shared" si="343"/>
        <v>0</v>
      </c>
      <c r="Q281" s="153">
        <f t="shared" si="341"/>
        <v>0</v>
      </c>
      <c r="R281" s="153">
        <f t="shared" si="341"/>
        <v>0</v>
      </c>
      <c r="S281" s="153">
        <f t="shared" si="341"/>
        <v>0</v>
      </c>
      <c r="T281" s="153">
        <f t="shared" si="342"/>
        <v>0</v>
      </c>
      <c r="U281" s="158">
        <f t="shared" si="344"/>
        <v>0</v>
      </c>
      <c r="V281" s="162">
        <f t="shared" si="345"/>
        <v>0</v>
      </c>
    </row>
    <row r="282" spans="1:22" s="29" customFormat="1" hidden="1">
      <c r="A282" s="100"/>
      <c r="B282" s="101" t="s">
        <v>2536</v>
      </c>
      <c r="C282" s="96"/>
      <c r="D282" s="175"/>
      <c r="E282" s="96"/>
      <c r="F282" s="96"/>
      <c r="G282" s="145">
        <f t="shared" si="330"/>
        <v>0</v>
      </c>
      <c r="H282" s="78"/>
      <c r="I282" s="145">
        <f t="shared" si="324"/>
        <v>0</v>
      </c>
      <c r="J282" s="78"/>
      <c r="K282" s="78"/>
      <c r="L282" s="78"/>
      <c r="M282" s="146">
        <f t="shared" si="339"/>
        <v>0</v>
      </c>
      <c r="N282" s="158">
        <f t="shared" si="325"/>
        <v>0</v>
      </c>
      <c r="O282" s="153">
        <f t="shared" si="340"/>
        <v>0</v>
      </c>
      <c r="P282" s="158">
        <f t="shared" si="343"/>
        <v>0</v>
      </c>
      <c r="Q282" s="153">
        <f t="shared" si="341"/>
        <v>0</v>
      </c>
      <c r="R282" s="153">
        <f t="shared" si="341"/>
        <v>0</v>
      </c>
      <c r="S282" s="153">
        <f t="shared" si="341"/>
        <v>0</v>
      </c>
      <c r="T282" s="153">
        <f t="shared" si="342"/>
        <v>0</v>
      </c>
      <c r="U282" s="158">
        <f t="shared" si="344"/>
        <v>0</v>
      </c>
      <c r="V282" s="162">
        <f t="shared" si="345"/>
        <v>0</v>
      </c>
    </row>
    <row r="283" spans="1:22" s="29" customFormat="1" hidden="1">
      <c r="A283" s="100"/>
      <c r="B283" s="101" t="s">
        <v>2537</v>
      </c>
      <c r="C283" s="96"/>
      <c r="D283" s="175"/>
      <c r="E283" s="96"/>
      <c r="F283" s="96"/>
      <c r="G283" s="145">
        <f t="shared" si="330"/>
        <v>0</v>
      </c>
      <c r="H283" s="78"/>
      <c r="I283" s="145">
        <f t="shared" si="324"/>
        <v>0</v>
      </c>
      <c r="J283" s="78"/>
      <c r="K283" s="78"/>
      <c r="L283" s="78"/>
      <c r="M283" s="146">
        <f t="shared" si="339"/>
        <v>0</v>
      </c>
      <c r="N283" s="158">
        <f t="shared" si="325"/>
        <v>0</v>
      </c>
      <c r="O283" s="153">
        <f t="shared" si="340"/>
        <v>0</v>
      </c>
      <c r="P283" s="158">
        <f t="shared" si="343"/>
        <v>0</v>
      </c>
      <c r="Q283" s="153">
        <f t="shared" si="341"/>
        <v>0</v>
      </c>
      <c r="R283" s="153">
        <f t="shared" si="341"/>
        <v>0</v>
      </c>
      <c r="S283" s="153">
        <f t="shared" si="341"/>
        <v>0</v>
      </c>
      <c r="T283" s="153">
        <f t="shared" si="342"/>
        <v>0</v>
      </c>
      <c r="U283" s="158">
        <f t="shared" si="344"/>
        <v>0</v>
      </c>
      <c r="V283" s="162">
        <f t="shared" si="345"/>
        <v>0</v>
      </c>
    </row>
    <row r="284" spans="1:22" s="29" customFormat="1" hidden="1">
      <c r="A284" s="100"/>
      <c r="B284" s="101" t="s">
        <v>2492</v>
      </c>
      <c r="C284" s="96"/>
      <c r="D284" s="175"/>
      <c r="E284" s="96"/>
      <c r="F284" s="96"/>
      <c r="G284" s="145">
        <f t="shared" si="330"/>
        <v>0</v>
      </c>
      <c r="H284" s="78"/>
      <c r="I284" s="145">
        <f t="shared" si="324"/>
        <v>0</v>
      </c>
      <c r="J284" s="78"/>
      <c r="K284" s="78"/>
      <c r="L284" s="78"/>
      <c r="M284" s="146">
        <f t="shared" si="339"/>
        <v>0</v>
      </c>
      <c r="N284" s="158">
        <f t="shared" si="325"/>
        <v>0</v>
      </c>
      <c r="O284" s="153">
        <f t="shared" si="340"/>
        <v>0</v>
      </c>
      <c r="P284" s="158">
        <f t="shared" si="343"/>
        <v>0</v>
      </c>
      <c r="Q284" s="153">
        <f t="shared" si="341"/>
        <v>0</v>
      </c>
      <c r="R284" s="153">
        <f t="shared" si="341"/>
        <v>0</v>
      </c>
      <c r="S284" s="153">
        <f t="shared" si="341"/>
        <v>0</v>
      </c>
      <c r="T284" s="153">
        <f t="shared" si="342"/>
        <v>0</v>
      </c>
      <c r="U284" s="158">
        <f t="shared" si="344"/>
        <v>0</v>
      </c>
      <c r="V284" s="162">
        <f t="shared" si="345"/>
        <v>0</v>
      </c>
    </row>
    <row r="285" spans="1:22" s="29" customFormat="1" hidden="1">
      <c r="A285" s="98">
        <v>4</v>
      </c>
      <c r="B285" s="99" t="s">
        <v>2496</v>
      </c>
      <c r="C285" s="58">
        <f>SUM(C286:C295)</f>
        <v>0</v>
      </c>
      <c r="D285" s="176">
        <f t="shared" ref="D285:V285" si="346">SUM(D286:D295)</f>
        <v>0</v>
      </c>
      <c r="E285" s="58">
        <f t="shared" si="346"/>
        <v>0</v>
      </c>
      <c r="F285" s="58">
        <f t="shared" si="346"/>
        <v>0</v>
      </c>
      <c r="G285" s="144">
        <f t="shared" si="346"/>
        <v>0</v>
      </c>
      <c r="H285" s="59">
        <f t="shared" si="346"/>
        <v>0</v>
      </c>
      <c r="I285" s="144">
        <f t="shared" si="346"/>
        <v>0</v>
      </c>
      <c r="J285" s="59">
        <f t="shared" si="346"/>
        <v>0</v>
      </c>
      <c r="K285" s="59">
        <f t="shared" si="346"/>
        <v>0</v>
      </c>
      <c r="L285" s="59">
        <f t="shared" si="346"/>
        <v>0</v>
      </c>
      <c r="M285" s="144">
        <f t="shared" si="346"/>
        <v>0</v>
      </c>
      <c r="N285" s="155">
        <f t="shared" si="346"/>
        <v>0</v>
      </c>
      <c r="O285" s="155">
        <f t="shared" si="346"/>
        <v>0</v>
      </c>
      <c r="P285" s="155">
        <f t="shared" si="346"/>
        <v>0</v>
      </c>
      <c r="Q285" s="155">
        <f t="shared" si="346"/>
        <v>0</v>
      </c>
      <c r="R285" s="155">
        <f t="shared" si="346"/>
        <v>0</v>
      </c>
      <c r="S285" s="155">
        <f t="shared" si="346"/>
        <v>0</v>
      </c>
      <c r="T285" s="155">
        <f t="shared" si="346"/>
        <v>0</v>
      </c>
      <c r="U285" s="155">
        <f t="shared" si="346"/>
        <v>0</v>
      </c>
      <c r="V285" s="161">
        <f t="shared" si="346"/>
        <v>0</v>
      </c>
    </row>
    <row r="286" spans="1:22" s="29" customFormat="1" hidden="1">
      <c r="A286" s="100"/>
      <c r="B286" s="101" t="s">
        <v>2906</v>
      </c>
      <c r="C286" s="96"/>
      <c r="D286" s="180"/>
      <c r="E286" s="96"/>
      <c r="F286" s="96"/>
      <c r="G286" s="145">
        <f t="shared" si="330"/>
        <v>0</v>
      </c>
      <c r="H286" s="78"/>
      <c r="I286" s="145">
        <f t="shared" si="324"/>
        <v>0</v>
      </c>
      <c r="J286" s="78"/>
      <c r="K286" s="78"/>
      <c r="L286" s="78"/>
      <c r="M286" s="146">
        <f t="shared" ref="M286:M295" si="347">(H286+I286)*1%</f>
        <v>0</v>
      </c>
      <c r="N286" s="158">
        <f t="shared" si="325"/>
        <v>0</v>
      </c>
      <c r="O286" s="153">
        <f t="shared" ref="O286:O295" si="348">(H286/1.3)*1.39</f>
        <v>0</v>
      </c>
      <c r="P286" s="158">
        <f>SUM(Q286:S286)</f>
        <v>0</v>
      </c>
      <c r="Q286" s="153">
        <f t="shared" ref="Q286:S295" si="349">(J286/1.3)*1.39</f>
        <v>0</v>
      </c>
      <c r="R286" s="153">
        <f t="shared" si="349"/>
        <v>0</v>
      </c>
      <c r="S286" s="153">
        <f t="shared" si="349"/>
        <v>0</v>
      </c>
      <c r="T286" s="153">
        <f t="shared" ref="T286:T295" si="350">(O286+P286)*1%</f>
        <v>0</v>
      </c>
      <c r="U286" s="158">
        <f>T286-M286</f>
        <v>0</v>
      </c>
      <c r="V286" s="163">
        <f>U286*6</f>
        <v>0</v>
      </c>
    </row>
    <row r="287" spans="1:22" s="29" customFormat="1" hidden="1">
      <c r="A287" s="100"/>
      <c r="B287" s="101" t="s">
        <v>2907</v>
      </c>
      <c r="C287" s="96"/>
      <c r="D287" s="180"/>
      <c r="E287" s="96"/>
      <c r="F287" s="96"/>
      <c r="G287" s="145">
        <f t="shared" si="330"/>
        <v>0</v>
      </c>
      <c r="H287" s="78"/>
      <c r="I287" s="145">
        <f t="shared" si="324"/>
        <v>0</v>
      </c>
      <c r="J287" s="78"/>
      <c r="K287" s="78"/>
      <c r="L287" s="78"/>
      <c r="M287" s="146">
        <f t="shared" si="347"/>
        <v>0</v>
      </c>
      <c r="N287" s="158">
        <f t="shared" si="325"/>
        <v>0</v>
      </c>
      <c r="O287" s="153">
        <f t="shared" si="348"/>
        <v>0</v>
      </c>
      <c r="P287" s="158">
        <f t="shared" ref="P287:P295" si="351">SUM(Q287:S287)</f>
        <v>0</v>
      </c>
      <c r="Q287" s="153">
        <f t="shared" si="349"/>
        <v>0</v>
      </c>
      <c r="R287" s="153">
        <f t="shared" si="349"/>
        <v>0</v>
      </c>
      <c r="S287" s="153">
        <f t="shared" si="349"/>
        <v>0</v>
      </c>
      <c r="T287" s="153">
        <f t="shared" si="350"/>
        <v>0</v>
      </c>
      <c r="U287" s="158">
        <f t="shared" ref="U287:U295" si="352">T287-M287</f>
        <v>0</v>
      </c>
      <c r="V287" s="163">
        <f t="shared" ref="V287:V295" si="353">U287*6</f>
        <v>0</v>
      </c>
    </row>
    <row r="288" spans="1:22" s="29" customFormat="1" hidden="1">
      <c r="A288" s="100"/>
      <c r="B288" s="101" t="s">
        <v>2908</v>
      </c>
      <c r="C288" s="96"/>
      <c r="D288" s="180"/>
      <c r="E288" s="96"/>
      <c r="F288" s="96"/>
      <c r="G288" s="145">
        <f t="shared" si="330"/>
        <v>0</v>
      </c>
      <c r="H288" s="78"/>
      <c r="I288" s="145">
        <f t="shared" si="324"/>
        <v>0</v>
      </c>
      <c r="J288" s="78"/>
      <c r="K288" s="78"/>
      <c r="L288" s="78"/>
      <c r="M288" s="146">
        <f t="shared" si="347"/>
        <v>0</v>
      </c>
      <c r="N288" s="158">
        <f t="shared" si="325"/>
        <v>0</v>
      </c>
      <c r="O288" s="153">
        <f t="shared" si="348"/>
        <v>0</v>
      </c>
      <c r="P288" s="158">
        <f t="shared" si="351"/>
        <v>0</v>
      </c>
      <c r="Q288" s="153">
        <f t="shared" si="349"/>
        <v>0</v>
      </c>
      <c r="R288" s="153">
        <f t="shared" si="349"/>
        <v>0</v>
      </c>
      <c r="S288" s="153">
        <f t="shared" si="349"/>
        <v>0</v>
      </c>
      <c r="T288" s="153">
        <f t="shared" si="350"/>
        <v>0</v>
      </c>
      <c r="U288" s="158">
        <f t="shared" si="352"/>
        <v>0</v>
      </c>
      <c r="V288" s="163">
        <f t="shared" si="353"/>
        <v>0</v>
      </c>
    </row>
    <row r="289" spans="1:22" s="29" customFormat="1" hidden="1">
      <c r="A289" s="100"/>
      <c r="B289" s="101" t="s">
        <v>2909</v>
      </c>
      <c r="C289" s="96"/>
      <c r="D289" s="180"/>
      <c r="E289" s="96"/>
      <c r="F289" s="96"/>
      <c r="G289" s="145">
        <f t="shared" si="330"/>
        <v>0</v>
      </c>
      <c r="H289" s="78"/>
      <c r="I289" s="145">
        <f t="shared" si="324"/>
        <v>0</v>
      </c>
      <c r="J289" s="78"/>
      <c r="K289" s="78"/>
      <c r="L289" s="78"/>
      <c r="M289" s="146">
        <f t="shared" si="347"/>
        <v>0</v>
      </c>
      <c r="N289" s="158">
        <f t="shared" si="325"/>
        <v>0</v>
      </c>
      <c r="O289" s="153">
        <f t="shared" si="348"/>
        <v>0</v>
      </c>
      <c r="P289" s="158">
        <f t="shared" si="351"/>
        <v>0</v>
      </c>
      <c r="Q289" s="153">
        <f t="shared" si="349"/>
        <v>0</v>
      </c>
      <c r="R289" s="153">
        <f t="shared" si="349"/>
        <v>0</v>
      </c>
      <c r="S289" s="153">
        <f t="shared" si="349"/>
        <v>0</v>
      </c>
      <c r="T289" s="153">
        <f t="shared" si="350"/>
        <v>0</v>
      </c>
      <c r="U289" s="158">
        <f t="shared" si="352"/>
        <v>0</v>
      </c>
      <c r="V289" s="163">
        <f t="shared" si="353"/>
        <v>0</v>
      </c>
    </row>
    <row r="290" spans="1:22" s="29" customFormat="1" hidden="1">
      <c r="A290" s="100"/>
      <c r="B290" s="101" t="s">
        <v>2910</v>
      </c>
      <c r="C290" s="96"/>
      <c r="D290" s="180"/>
      <c r="E290" s="96"/>
      <c r="F290" s="96"/>
      <c r="G290" s="145">
        <f t="shared" si="330"/>
        <v>0</v>
      </c>
      <c r="H290" s="78"/>
      <c r="I290" s="145">
        <f t="shared" si="324"/>
        <v>0</v>
      </c>
      <c r="J290" s="78"/>
      <c r="K290" s="78"/>
      <c r="L290" s="78"/>
      <c r="M290" s="146">
        <f t="shared" si="347"/>
        <v>0</v>
      </c>
      <c r="N290" s="158">
        <f t="shared" si="325"/>
        <v>0</v>
      </c>
      <c r="O290" s="153">
        <f t="shared" si="348"/>
        <v>0</v>
      </c>
      <c r="P290" s="158">
        <f t="shared" si="351"/>
        <v>0</v>
      </c>
      <c r="Q290" s="153">
        <f t="shared" si="349"/>
        <v>0</v>
      </c>
      <c r="R290" s="153">
        <f t="shared" si="349"/>
        <v>0</v>
      </c>
      <c r="S290" s="153">
        <f t="shared" si="349"/>
        <v>0</v>
      </c>
      <c r="T290" s="153">
        <f t="shared" si="350"/>
        <v>0</v>
      </c>
      <c r="U290" s="158">
        <f t="shared" si="352"/>
        <v>0</v>
      </c>
      <c r="V290" s="163">
        <f t="shared" si="353"/>
        <v>0</v>
      </c>
    </row>
    <row r="291" spans="1:22" s="29" customFormat="1" hidden="1">
      <c r="A291" s="100"/>
      <c r="B291" s="101" t="s">
        <v>2911</v>
      </c>
      <c r="C291" s="96"/>
      <c r="D291" s="180"/>
      <c r="E291" s="96"/>
      <c r="F291" s="96"/>
      <c r="G291" s="145">
        <f t="shared" si="330"/>
        <v>0</v>
      </c>
      <c r="H291" s="78"/>
      <c r="I291" s="145">
        <f t="shared" si="324"/>
        <v>0</v>
      </c>
      <c r="J291" s="78"/>
      <c r="K291" s="78"/>
      <c r="L291" s="78"/>
      <c r="M291" s="146">
        <f t="shared" si="347"/>
        <v>0</v>
      </c>
      <c r="N291" s="158">
        <f t="shared" si="325"/>
        <v>0</v>
      </c>
      <c r="O291" s="153">
        <f t="shared" si="348"/>
        <v>0</v>
      </c>
      <c r="P291" s="158">
        <f t="shared" si="351"/>
        <v>0</v>
      </c>
      <c r="Q291" s="153">
        <f t="shared" si="349"/>
        <v>0</v>
      </c>
      <c r="R291" s="153">
        <f t="shared" si="349"/>
        <v>0</v>
      </c>
      <c r="S291" s="153">
        <f t="shared" si="349"/>
        <v>0</v>
      </c>
      <c r="T291" s="153">
        <f t="shared" si="350"/>
        <v>0</v>
      </c>
      <c r="U291" s="158">
        <f t="shared" si="352"/>
        <v>0</v>
      </c>
      <c r="V291" s="163">
        <f t="shared" si="353"/>
        <v>0</v>
      </c>
    </row>
    <row r="292" spans="1:22" s="29" customFormat="1" hidden="1">
      <c r="A292" s="100"/>
      <c r="B292" s="101" t="s">
        <v>2912</v>
      </c>
      <c r="C292" s="96"/>
      <c r="D292" s="180"/>
      <c r="E292" s="96"/>
      <c r="F292" s="96"/>
      <c r="G292" s="145">
        <f t="shared" si="330"/>
        <v>0</v>
      </c>
      <c r="H292" s="78"/>
      <c r="I292" s="145">
        <f t="shared" si="324"/>
        <v>0</v>
      </c>
      <c r="J292" s="78"/>
      <c r="K292" s="78"/>
      <c r="L292" s="78"/>
      <c r="M292" s="146">
        <f t="shared" si="347"/>
        <v>0</v>
      </c>
      <c r="N292" s="158">
        <f t="shared" si="325"/>
        <v>0</v>
      </c>
      <c r="O292" s="153">
        <f t="shared" si="348"/>
        <v>0</v>
      </c>
      <c r="P292" s="158">
        <f t="shared" si="351"/>
        <v>0</v>
      </c>
      <c r="Q292" s="153">
        <f t="shared" si="349"/>
        <v>0</v>
      </c>
      <c r="R292" s="153">
        <f t="shared" si="349"/>
        <v>0</v>
      </c>
      <c r="S292" s="153">
        <f t="shared" si="349"/>
        <v>0</v>
      </c>
      <c r="T292" s="153">
        <f t="shared" si="350"/>
        <v>0</v>
      </c>
      <c r="U292" s="158">
        <f t="shared" si="352"/>
        <v>0</v>
      </c>
      <c r="V292" s="163">
        <f t="shared" si="353"/>
        <v>0</v>
      </c>
    </row>
    <row r="293" spans="1:22" s="29" customFormat="1" hidden="1">
      <c r="A293" s="100"/>
      <c r="B293" s="101" t="s">
        <v>2536</v>
      </c>
      <c r="C293" s="96"/>
      <c r="D293" s="175"/>
      <c r="E293" s="96"/>
      <c r="F293" s="96"/>
      <c r="G293" s="145">
        <f t="shared" si="330"/>
        <v>0</v>
      </c>
      <c r="H293" s="78"/>
      <c r="I293" s="145">
        <f t="shared" si="324"/>
        <v>0</v>
      </c>
      <c r="J293" s="78"/>
      <c r="K293" s="78"/>
      <c r="L293" s="78"/>
      <c r="M293" s="146">
        <f t="shared" si="347"/>
        <v>0</v>
      </c>
      <c r="N293" s="158">
        <f t="shared" si="325"/>
        <v>0</v>
      </c>
      <c r="O293" s="153">
        <f t="shared" si="348"/>
        <v>0</v>
      </c>
      <c r="P293" s="158">
        <f t="shared" si="351"/>
        <v>0</v>
      </c>
      <c r="Q293" s="153">
        <f t="shared" si="349"/>
        <v>0</v>
      </c>
      <c r="R293" s="153">
        <f t="shared" si="349"/>
        <v>0</v>
      </c>
      <c r="S293" s="153">
        <f t="shared" si="349"/>
        <v>0</v>
      </c>
      <c r="T293" s="153">
        <f t="shared" si="350"/>
        <v>0</v>
      </c>
      <c r="U293" s="158">
        <f t="shared" si="352"/>
        <v>0</v>
      </c>
      <c r="V293" s="163">
        <f t="shared" si="353"/>
        <v>0</v>
      </c>
    </row>
    <row r="294" spans="1:22" s="29" customFormat="1" hidden="1">
      <c r="A294" s="100"/>
      <c r="B294" s="101" t="s">
        <v>2537</v>
      </c>
      <c r="C294" s="96"/>
      <c r="D294" s="175"/>
      <c r="E294" s="96"/>
      <c r="F294" s="96"/>
      <c r="G294" s="145">
        <f t="shared" si="330"/>
        <v>0</v>
      </c>
      <c r="H294" s="78"/>
      <c r="I294" s="145">
        <f t="shared" si="324"/>
        <v>0</v>
      </c>
      <c r="J294" s="78"/>
      <c r="K294" s="78"/>
      <c r="L294" s="78"/>
      <c r="M294" s="146">
        <f t="shared" si="347"/>
        <v>0</v>
      </c>
      <c r="N294" s="158">
        <f t="shared" si="325"/>
        <v>0</v>
      </c>
      <c r="O294" s="153">
        <f t="shared" si="348"/>
        <v>0</v>
      </c>
      <c r="P294" s="158">
        <f t="shared" si="351"/>
        <v>0</v>
      </c>
      <c r="Q294" s="153">
        <f t="shared" si="349"/>
        <v>0</v>
      </c>
      <c r="R294" s="153">
        <f t="shared" si="349"/>
        <v>0</v>
      </c>
      <c r="S294" s="153">
        <f t="shared" si="349"/>
        <v>0</v>
      </c>
      <c r="T294" s="153">
        <f t="shared" si="350"/>
        <v>0</v>
      </c>
      <c r="U294" s="158">
        <f t="shared" si="352"/>
        <v>0</v>
      </c>
      <c r="V294" s="163">
        <f t="shared" si="353"/>
        <v>0</v>
      </c>
    </row>
    <row r="295" spans="1:22" s="29" customFormat="1" hidden="1">
      <c r="A295" s="100"/>
      <c r="B295" s="101" t="s">
        <v>2492</v>
      </c>
      <c r="C295" s="96"/>
      <c r="D295" s="180"/>
      <c r="E295" s="96"/>
      <c r="F295" s="96"/>
      <c r="G295" s="145">
        <f t="shared" si="330"/>
        <v>0</v>
      </c>
      <c r="H295" s="78"/>
      <c r="I295" s="145">
        <f t="shared" si="324"/>
        <v>0</v>
      </c>
      <c r="J295" s="78"/>
      <c r="K295" s="78"/>
      <c r="L295" s="78"/>
      <c r="M295" s="146">
        <f t="shared" si="347"/>
        <v>0</v>
      </c>
      <c r="N295" s="158">
        <f t="shared" si="325"/>
        <v>0</v>
      </c>
      <c r="O295" s="153">
        <f t="shared" si="348"/>
        <v>0</v>
      </c>
      <c r="P295" s="158">
        <f t="shared" si="351"/>
        <v>0</v>
      </c>
      <c r="Q295" s="153">
        <f t="shared" si="349"/>
        <v>0</v>
      </c>
      <c r="R295" s="153">
        <f t="shared" si="349"/>
        <v>0</v>
      </c>
      <c r="S295" s="153">
        <f t="shared" si="349"/>
        <v>0</v>
      </c>
      <c r="T295" s="153">
        <f t="shared" si="350"/>
        <v>0</v>
      </c>
      <c r="U295" s="158">
        <f t="shared" si="352"/>
        <v>0</v>
      </c>
      <c r="V295" s="163">
        <f t="shared" si="353"/>
        <v>0</v>
      </c>
    </row>
    <row r="296" spans="1:22" s="29" customFormat="1" hidden="1">
      <c r="A296" s="98">
        <v>5</v>
      </c>
      <c r="B296" s="99" t="s">
        <v>2497</v>
      </c>
      <c r="C296" s="58">
        <f>SUM(C297:C306)</f>
        <v>0</v>
      </c>
      <c r="D296" s="176">
        <f t="shared" ref="D296:V296" si="354">SUM(D297:D306)</f>
        <v>0</v>
      </c>
      <c r="E296" s="58">
        <f t="shared" si="354"/>
        <v>0</v>
      </c>
      <c r="F296" s="58">
        <f t="shared" si="354"/>
        <v>0</v>
      </c>
      <c r="G296" s="144">
        <f t="shared" si="354"/>
        <v>0</v>
      </c>
      <c r="H296" s="59">
        <f t="shared" si="354"/>
        <v>0</v>
      </c>
      <c r="I296" s="144">
        <f t="shared" si="354"/>
        <v>0</v>
      </c>
      <c r="J296" s="59">
        <f t="shared" si="354"/>
        <v>0</v>
      </c>
      <c r="K296" s="59">
        <f t="shared" si="354"/>
        <v>0</v>
      </c>
      <c r="L296" s="59">
        <f t="shared" si="354"/>
        <v>0</v>
      </c>
      <c r="M296" s="144">
        <f t="shared" si="354"/>
        <v>0</v>
      </c>
      <c r="N296" s="155">
        <f t="shared" si="354"/>
        <v>0</v>
      </c>
      <c r="O296" s="155">
        <f t="shared" si="354"/>
        <v>0</v>
      </c>
      <c r="P296" s="155">
        <f t="shared" si="354"/>
        <v>0</v>
      </c>
      <c r="Q296" s="155">
        <f t="shared" si="354"/>
        <v>0</v>
      </c>
      <c r="R296" s="155">
        <f t="shared" si="354"/>
        <v>0</v>
      </c>
      <c r="S296" s="155">
        <f t="shared" si="354"/>
        <v>0</v>
      </c>
      <c r="T296" s="155">
        <f t="shared" si="354"/>
        <v>0</v>
      </c>
      <c r="U296" s="155">
        <f t="shared" si="354"/>
        <v>0</v>
      </c>
      <c r="V296" s="161">
        <f t="shared" si="354"/>
        <v>0</v>
      </c>
    </row>
    <row r="297" spans="1:22" s="29" customFormat="1" hidden="1">
      <c r="A297" s="100"/>
      <c r="B297" s="101" t="s">
        <v>2906</v>
      </c>
      <c r="C297" s="103"/>
      <c r="D297" s="175"/>
      <c r="E297" s="103"/>
      <c r="F297" s="103"/>
      <c r="G297" s="145">
        <f t="shared" si="330"/>
        <v>0</v>
      </c>
      <c r="H297" s="78"/>
      <c r="I297" s="145">
        <f t="shared" si="324"/>
        <v>0</v>
      </c>
      <c r="J297" s="78"/>
      <c r="K297" s="78"/>
      <c r="L297" s="78"/>
      <c r="M297" s="146">
        <f t="shared" ref="M297:M306" si="355">(H297+I297)*1%</f>
        <v>0</v>
      </c>
      <c r="N297" s="158">
        <f t="shared" si="325"/>
        <v>0</v>
      </c>
      <c r="O297" s="153">
        <f t="shared" ref="O297:O306" si="356">(H297/1.3)*1.39</f>
        <v>0</v>
      </c>
      <c r="P297" s="158">
        <f>SUM(Q297:S297)</f>
        <v>0</v>
      </c>
      <c r="Q297" s="153">
        <f t="shared" ref="Q297:S306" si="357">(J297/1.3)*1.39</f>
        <v>0</v>
      </c>
      <c r="R297" s="153">
        <f t="shared" si="357"/>
        <v>0</v>
      </c>
      <c r="S297" s="153">
        <f t="shared" si="357"/>
        <v>0</v>
      </c>
      <c r="T297" s="153">
        <f t="shared" ref="T297:T306" si="358">(O297+P297)*1%</f>
        <v>0</v>
      </c>
      <c r="U297" s="158">
        <f>T297-M297</f>
        <v>0</v>
      </c>
      <c r="V297" s="162">
        <f>U297*6</f>
        <v>0</v>
      </c>
    </row>
    <row r="298" spans="1:22" s="29" customFormat="1" hidden="1">
      <c r="A298" s="100"/>
      <c r="B298" s="101" t="s">
        <v>2907</v>
      </c>
      <c r="C298" s="103"/>
      <c r="D298" s="180"/>
      <c r="E298" s="103"/>
      <c r="F298" s="103"/>
      <c r="G298" s="145">
        <f t="shared" si="330"/>
        <v>0</v>
      </c>
      <c r="H298" s="78"/>
      <c r="I298" s="145">
        <f t="shared" si="324"/>
        <v>0</v>
      </c>
      <c r="J298" s="78"/>
      <c r="K298" s="78"/>
      <c r="L298" s="78"/>
      <c r="M298" s="146">
        <f t="shared" si="355"/>
        <v>0</v>
      </c>
      <c r="N298" s="158">
        <f t="shared" si="325"/>
        <v>0</v>
      </c>
      <c r="O298" s="153">
        <f t="shared" si="356"/>
        <v>0</v>
      </c>
      <c r="P298" s="158">
        <f t="shared" ref="P298:P306" si="359">SUM(Q298:S298)</f>
        <v>0</v>
      </c>
      <c r="Q298" s="153">
        <f t="shared" si="357"/>
        <v>0</v>
      </c>
      <c r="R298" s="153">
        <f t="shared" si="357"/>
        <v>0</v>
      </c>
      <c r="S298" s="153">
        <f t="shared" si="357"/>
        <v>0</v>
      </c>
      <c r="T298" s="153">
        <f t="shared" si="358"/>
        <v>0</v>
      </c>
      <c r="U298" s="158">
        <f t="shared" ref="U298:U306" si="360">T298-M298</f>
        <v>0</v>
      </c>
      <c r="V298" s="162">
        <f t="shared" ref="V298:V306" si="361">U298*6</f>
        <v>0</v>
      </c>
    </row>
    <row r="299" spans="1:22" s="29" customFormat="1" hidden="1">
      <c r="A299" s="100"/>
      <c r="B299" s="101" t="s">
        <v>2908</v>
      </c>
      <c r="C299" s="103"/>
      <c r="D299" s="180"/>
      <c r="E299" s="103"/>
      <c r="F299" s="103"/>
      <c r="G299" s="145">
        <f t="shared" si="330"/>
        <v>0</v>
      </c>
      <c r="H299" s="78"/>
      <c r="I299" s="145">
        <f t="shared" si="324"/>
        <v>0</v>
      </c>
      <c r="J299" s="78"/>
      <c r="K299" s="78"/>
      <c r="L299" s="78"/>
      <c r="M299" s="146">
        <f t="shared" si="355"/>
        <v>0</v>
      </c>
      <c r="N299" s="158">
        <f t="shared" si="325"/>
        <v>0</v>
      </c>
      <c r="O299" s="153">
        <f t="shared" si="356"/>
        <v>0</v>
      </c>
      <c r="P299" s="158">
        <f t="shared" si="359"/>
        <v>0</v>
      </c>
      <c r="Q299" s="153">
        <f t="shared" si="357"/>
        <v>0</v>
      </c>
      <c r="R299" s="153">
        <f t="shared" si="357"/>
        <v>0</v>
      </c>
      <c r="S299" s="153">
        <f t="shared" si="357"/>
        <v>0</v>
      </c>
      <c r="T299" s="153">
        <f t="shared" si="358"/>
        <v>0</v>
      </c>
      <c r="U299" s="158">
        <f t="shared" si="360"/>
        <v>0</v>
      </c>
      <c r="V299" s="162">
        <f t="shared" si="361"/>
        <v>0</v>
      </c>
    </row>
    <row r="300" spans="1:22" s="29" customFormat="1" hidden="1">
      <c r="A300" s="100"/>
      <c r="B300" s="101" t="s">
        <v>2909</v>
      </c>
      <c r="C300" s="103"/>
      <c r="D300" s="175"/>
      <c r="E300" s="103"/>
      <c r="F300" s="103"/>
      <c r="G300" s="145">
        <f t="shared" si="330"/>
        <v>0</v>
      </c>
      <c r="H300" s="78"/>
      <c r="I300" s="145">
        <f t="shared" si="324"/>
        <v>0</v>
      </c>
      <c r="J300" s="78"/>
      <c r="K300" s="78"/>
      <c r="L300" s="78"/>
      <c r="M300" s="146">
        <f t="shared" si="355"/>
        <v>0</v>
      </c>
      <c r="N300" s="158">
        <f t="shared" si="325"/>
        <v>0</v>
      </c>
      <c r="O300" s="153">
        <f t="shared" si="356"/>
        <v>0</v>
      </c>
      <c r="P300" s="158">
        <f t="shared" si="359"/>
        <v>0</v>
      </c>
      <c r="Q300" s="153">
        <f t="shared" si="357"/>
        <v>0</v>
      </c>
      <c r="R300" s="153">
        <f t="shared" si="357"/>
        <v>0</v>
      </c>
      <c r="S300" s="153">
        <f t="shared" si="357"/>
        <v>0</v>
      </c>
      <c r="T300" s="153">
        <f t="shared" si="358"/>
        <v>0</v>
      </c>
      <c r="U300" s="158">
        <f t="shared" si="360"/>
        <v>0</v>
      </c>
      <c r="V300" s="162">
        <f t="shared" si="361"/>
        <v>0</v>
      </c>
    </row>
    <row r="301" spans="1:22" s="29" customFormat="1" hidden="1">
      <c r="A301" s="100"/>
      <c r="B301" s="101" t="s">
        <v>2910</v>
      </c>
      <c r="C301" s="103"/>
      <c r="D301" s="180"/>
      <c r="E301" s="103"/>
      <c r="F301" s="103"/>
      <c r="G301" s="145">
        <f t="shared" si="330"/>
        <v>0</v>
      </c>
      <c r="H301" s="78"/>
      <c r="I301" s="145">
        <f t="shared" si="324"/>
        <v>0</v>
      </c>
      <c r="J301" s="78"/>
      <c r="K301" s="78"/>
      <c r="L301" s="78"/>
      <c r="M301" s="146">
        <f t="shared" si="355"/>
        <v>0</v>
      </c>
      <c r="N301" s="158">
        <f t="shared" si="325"/>
        <v>0</v>
      </c>
      <c r="O301" s="153">
        <f t="shared" si="356"/>
        <v>0</v>
      </c>
      <c r="P301" s="158">
        <f t="shared" si="359"/>
        <v>0</v>
      </c>
      <c r="Q301" s="153">
        <f t="shared" si="357"/>
        <v>0</v>
      </c>
      <c r="R301" s="153">
        <f t="shared" si="357"/>
        <v>0</v>
      </c>
      <c r="S301" s="153">
        <f t="shared" si="357"/>
        <v>0</v>
      </c>
      <c r="T301" s="153">
        <f t="shared" si="358"/>
        <v>0</v>
      </c>
      <c r="U301" s="158">
        <f t="shared" si="360"/>
        <v>0</v>
      </c>
      <c r="V301" s="162">
        <f t="shared" si="361"/>
        <v>0</v>
      </c>
    </row>
    <row r="302" spans="1:22" s="29" customFormat="1" hidden="1">
      <c r="A302" s="100"/>
      <c r="B302" s="101" t="s">
        <v>2911</v>
      </c>
      <c r="C302" s="103"/>
      <c r="D302" s="180"/>
      <c r="E302" s="103"/>
      <c r="F302" s="103"/>
      <c r="G302" s="145">
        <f t="shared" si="330"/>
        <v>0</v>
      </c>
      <c r="H302" s="78"/>
      <c r="I302" s="145">
        <f t="shared" si="324"/>
        <v>0</v>
      </c>
      <c r="J302" s="78"/>
      <c r="K302" s="78"/>
      <c r="L302" s="78"/>
      <c r="M302" s="146">
        <f t="shared" si="355"/>
        <v>0</v>
      </c>
      <c r="N302" s="158">
        <f t="shared" si="325"/>
        <v>0</v>
      </c>
      <c r="O302" s="153">
        <f t="shared" si="356"/>
        <v>0</v>
      </c>
      <c r="P302" s="158">
        <f t="shared" si="359"/>
        <v>0</v>
      </c>
      <c r="Q302" s="153">
        <f t="shared" si="357"/>
        <v>0</v>
      </c>
      <c r="R302" s="153">
        <f t="shared" si="357"/>
        <v>0</v>
      </c>
      <c r="S302" s="153">
        <f t="shared" si="357"/>
        <v>0</v>
      </c>
      <c r="T302" s="153">
        <f t="shared" si="358"/>
        <v>0</v>
      </c>
      <c r="U302" s="158">
        <f t="shared" si="360"/>
        <v>0</v>
      </c>
      <c r="V302" s="162">
        <f t="shared" si="361"/>
        <v>0</v>
      </c>
    </row>
    <row r="303" spans="1:22" s="29" customFormat="1" hidden="1">
      <c r="A303" s="100"/>
      <c r="B303" s="101" t="s">
        <v>2912</v>
      </c>
      <c r="C303" s="103"/>
      <c r="D303" s="180"/>
      <c r="E303" s="103"/>
      <c r="F303" s="103"/>
      <c r="G303" s="145">
        <f t="shared" si="330"/>
        <v>0</v>
      </c>
      <c r="H303" s="78"/>
      <c r="I303" s="145">
        <f t="shared" si="324"/>
        <v>0</v>
      </c>
      <c r="J303" s="78"/>
      <c r="K303" s="78"/>
      <c r="L303" s="78"/>
      <c r="M303" s="146">
        <f t="shared" si="355"/>
        <v>0</v>
      </c>
      <c r="N303" s="158">
        <f t="shared" si="325"/>
        <v>0</v>
      </c>
      <c r="O303" s="153">
        <f t="shared" si="356"/>
        <v>0</v>
      </c>
      <c r="P303" s="158">
        <f t="shared" si="359"/>
        <v>0</v>
      </c>
      <c r="Q303" s="153">
        <f t="shared" si="357"/>
        <v>0</v>
      </c>
      <c r="R303" s="153">
        <f t="shared" si="357"/>
        <v>0</v>
      </c>
      <c r="S303" s="153">
        <f t="shared" si="357"/>
        <v>0</v>
      </c>
      <c r="T303" s="153">
        <f t="shared" si="358"/>
        <v>0</v>
      </c>
      <c r="U303" s="158">
        <f t="shared" si="360"/>
        <v>0</v>
      </c>
      <c r="V303" s="162">
        <f t="shared" si="361"/>
        <v>0</v>
      </c>
    </row>
    <row r="304" spans="1:22" s="29" customFormat="1" hidden="1">
      <c r="A304" s="100"/>
      <c r="B304" s="101" t="s">
        <v>2536</v>
      </c>
      <c r="C304" s="103"/>
      <c r="D304" s="175"/>
      <c r="E304" s="103"/>
      <c r="F304" s="103"/>
      <c r="G304" s="145">
        <f t="shared" si="330"/>
        <v>0</v>
      </c>
      <c r="H304" s="78"/>
      <c r="I304" s="145">
        <f t="shared" si="324"/>
        <v>0</v>
      </c>
      <c r="J304" s="78"/>
      <c r="K304" s="78"/>
      <c r="L304" s="78"/>
      <c r="M304" s="146">
        <f t="shared" si="355"/>
        <v>0</v>
      </c>
      <c r="N304" s="158">
        <f t="shared" si="325"/>
        <v>0</v>
      </c>
      <c r="O304" s="153">
        <f t="shared" si="356"/>
        <v>0</v>
      </c>
      <c r="P304" s="158">
        <f t="shared" si="359"/>
        <v>0</v>
      </c>
      <c r="Q304" s="153">
        <f t="shared" si="357"/>
        <v>0</v>
      </c>
      <c r="R304" s="153">
        <f t="shared" si="357"/>
        <v>0</v>
      </c>
      <c r="S304" s="153">
        <f t="shared" si="357"/>
        <v>0</v>
      </c>
      <c r="T304" s="153">
        <f t="shared" si="358"/>
        <v>0</v>
      </c>
      <c r="U304" s="158">
        <f t="shared" si="360"/>
        <v>0</v>
      </c>
      <c r="V304" s="162">
        <f t="shared" si="361"/>
        <v>0</v>
      </c>
    </row>
    <row r="305" spans="1:22" s="29" customFormat="1" hidden="1">
      <c r="A305" s="100"/>
      <c r="B305" s="101" t="s">
        <v>2537</v>
      </c>
      <c r="C305" s="103"/>
      <c r="D305" s="175"/>
      <c r="E305" s="103"/>
      <c r="F305" s="103"/>
      <c r="G305" s="145">
        <f t="shared" si="330"/>
        <v>0</v>
      </c>
      <c r="H305" s="78"/>
      <c r="I305" s="145">
        <f t="shared" si="324"/>
        <v>0</v>
      </c>
      <c r="J305" s="78"/>
      <c r="K305" s="78"/>
      <c r="L305" s="78"/>
      <c r="M305" s="146">
        <f t="shared" si="355"/>
        <v>0</v>
      </c>
      <c r="N305" s="158">
        <f t="shared" si="325"/>
        <v>0</v>
      </c>
      <c r="O305" s="153">
        <f t="shared" si="356"/>
        <v>0</v>
      </c>
      <c r="P305" s="158">
        <f t="shared" si="359"/>
        <v>0</v>
      </c>
      <c r="Q305" s="153">
        <f t="shared" si="357"/>
        <v>0</v>
      </c>
      <c r="R305" s="153">
        <f t="shared" si="357"/>
        <v>0</v>
      </c>
      <c r="S305" s="153">
        <f t="shared" si="357"/>
        <v>0</v>
      </c>
      <c r="T305" s="153">
        <f t="shared" si="358"/>
        <v>0</v>
      </c>
      <c r="U305" s="158">
        <f t="shared" si="360"/>
        <v>0</v>
      </c>
      <c r="V305" s="162">
        <f t="shared" si="361"/>
        <v>0</v>
      </c>
    </row>
    <row r="306" spans="1:22" s="29" customFormat="1" hidden="1">
      <c r="A306" s="100"/>
      <c r="B306" s="101" t="s">
        <v>2492</v>
      </c>
      <c r="C306" s="103"/>
      <c r="D306" s="180"/>
      <c r="E306" s="103"/>
      <c r="F306" s="103"/>
      <c r="G306" s="145">
        <f t="shared" si="330"/>
        <v>0</v>
      </c>
      <c r="H306" s="78"/>
      <c r="I306" s="145">
        <f t="shared" si="324"/>
        <v>0</v>
      </c>
      <c r="J306" s="78"/>
      <c r="K306" s="78"/>
      <c r="L306" s="78"/>
      <c r="M306" s="146">
        <f t="shared" si="355"/>
        <v>0</v>
      </c>
      <c r="N306" s="158">
        <f t="shared" si="325"/>
        <v>0</v>
      </c>
      <c r="O306" s="153">
        <f t="shared" si="356"/>
        <v>0</v>
      </c>
      <c r="P306" s="158">
        <f t="shared" si="359"/>
        <v>0</v>
      </c>
      <c r="Q306" s="153">
        <f t="shared" si="357"/>
        <v>0</v>
      </c>
      <c r="R306" s="153">
        <f t="shared" si="357"/>
        <v>0</v>
      </c>
      <c r="S306" s="153">
        <f t="shared" si="357"/>
        <v>0</v>
      </c>
      <c r="T306" s="153">
        <f t="shared" si="358"/>
        <v>0</v>
      </c>
      <c r="U306" s="158">
        <f t="shared" si="360"/>
        <v>0</v>
      </c>
      <c r="V306" s="162">
        <f t="shared" si="361"/>
        <v>0</v>
      </c>
    </row>
    <row r="307" spans="1:22" s="29" customFormat="1" hidden="1">
      <c r="A307" s="98">
        <v>6</v>
      </c>
      <c r="B307" s="99" t="s">
        <v>2498</v>
      </c>
      <c r="C307" s="58">
        <f>SUM(C308:C317)</f>
        <v>0</v>
      </c>
      <c r="D307" s="176">
        <f t="shared" ref="D307:V307" si="362">SUM(D308:D317)</f>
        <v>0</v>
      </c>
      <c r="E307" s="58">
        <f t="shared" si="362"/>
        <v>0</v>
      </c>
      <c r="F307" s="58">
        <f t="shared" si="362"/>
        <v>0</v>
      </c>
      <c r="G307" s="144">
        <f t="shared" si="362"/>
        <v>0</v>
      </c>
      <c r="H307" s="59">
        <f t="shared" si="362"/>
        <v>0</v>
      </c>
      <c r="I307" s="144">
        <f t="shared" si="362"/>
        <v>0</v>
      </c>
      <c r="J307" s="59">
        <f t="shared" si="362"/>
        <v>0</v>
      </c>
      <c r="K307" s="59">
        <f t="shared" si="362"/>
        <v>0</v>
      </c>
      <c r="L307" s="59">
        <f t="shared" si="362"/>
        <v>0</v>
      </c>
      <c r="M307" s="144">
        <f t="shared" si="362"/>
        <v>0</v>
      </c>
      <c r="N307" s="155">
        <f t="shared" si="362"/>
        <v>0</v>
      </c>
      <c r="O307" s="155">
        <f t="shared" si="362"/>
        <v>0</v>
      </c>
      <c r="P307" s="155">
        <f t="shared" si="362"/>
        <v>0</v>
      </c>
      <c r="Q307" s="155">
        <f t="shared" si="362"/>
        <v>0</v>
      </c>
      <c r="R307" s="155">
        <f t="shared" si="362"/>
        <v>0</v>
      </c>
      <c r="S307" s="155">
        <f t="shared" si="362"/>
        <v>0</v>
      </c>
      <c r="T307" s="155">
        <f t="shared" si="362"/>
        <v>0</v>
      </c>
      <c r="U307" s="155">
        <f t="shared" si="362"/>
        <v>0</v>
      </c>
      <c r="V307" s="161">
        <f t="shared" si="362"/>
        <v>0</v>
      </c>
    </row>
    <row r="308" spans="1:22" s="65" customFormat="1" hidden="1">
      <c r="A308" s="100"/>
      <c r="B308" s="101" t="s">
        <v>2906</v>
      </c>
      <c r="C308" s="96"/>
      <c r="D308" s="180"/>
      <c r="E308" s="96"/>
      <c r="F308" s="96"/>
      <c r="G308" s="145">
        <f t="shared" si="330"/>
        <v>0</v>
      </c>
      <c r="H308" s="78"/>
      <c r="I308" s="145">
        <f t="shared" si="324"/>
        <v>0</v>
      </c>
      <c r="J308" s="78"/>
      <c r="K308" s="78"/>
      <c r="L308" s="78"/>
      <c r="M308" s="146">
        <f t="shared" ref="M308:M317" si="363">(H308+I308)*1%</f>
        <v>0</v>
      </c>
      <c r="N308" s="158">
        <f t="shared" si="325"/>
        <v>0</v>
      </c>
      <c r="O308" s="153">
        <f t="shared" ref="O308:O317" si="364">(H308/1.3)*1.39</f>
        <v>0</v>
      </c>
      <c r="P308" s="158">
        <f>SUM(Q308:S308)</f>
        <v>0</v>
      </c>
      <c r="Q308" s="153">
        <f t="shared" ref="Q308:S317" si="365">(J308/1.3)*1.39</f>
        <v>0</v>
      </c>
      <c r="R308" s="153">
        <f t="shared" si="365"/>
        <v>0</v>
      </c>
      <c r="S308" s="153">
        <f t="shared" si="365"/>
        <v>0</v>
      </c>
      <c r="T308" s="153">
        <f t="shared" ref="T308:T317" si="366">(O308+P308)*1%</f>
        <v>0</v>
      </c>
      <c r="U308" s="158">
        <f>T308-M308</f>
        <v>0</v>
      </c>
      <c r="V308" s="162">
        <f>U308*6</f>
        <v>0</v>
      </c>
    </row>
    <row r="309" spans="1:22" s="29" customFormat="1" hidden="1">
      <c r="A309" s="100"/>
      <c r="B309" s="101" t="s">
        <v>2907</v>
      </c>
      <c r="C309" s="96"/>
      <c r="D309" s="180"/>
      <c r="E309" s="96"/>
      <c r="F309" s="96"/>
      <c r="G309" s="145">
        <f t="shared" si="330"/>
        <v>0</v>
      </c>
      <c r="H309" s="78"/>
      <c r="I309" s="145">
        <f t="shared" si="324"/>
        <v>0</v>
      </c>
      <c r="J309" s="78"/>
      <c r="K309" s="78"/>
      <c r="L309" s="78"/>
      <c r="M309" s="146">
        <f t="shared" si="363"/>
        <v>0</v>
      </c>
      <c r="N309" s="158">
        <f t="shared" si="325"/>
        <v>0</v>
      </c>
      <c r="O309" s="153">
        <f t="shared" si="364"/>
        <v>0</v>
      </c>
      <c r="P309" s="158">
        <f t="shared" ref="P309:P317" si="367">SUM(Q309:S309)</f>
        <v>0</v>
      </c>
      <c r="Q309" s="153">
        <f t="shared" si="365"/>
        <v>0</v>
      </c>
      <c r="R309" s="153">
        <f t="shared" si="365"/>
        <v>0</v>
      </c>
      <c r="S309" s="153">
        <f t="shared" si="365"/>
        <v>0</v>
      </c>
      <c r="T309" s="153">
        <f t="shared" si="366"/>
        <v>0</v>
      </c>
      <c r="U309" s="158">
        <f t="shared" ref="U309:U317" si="368">T309-M309</f>
        <v>0</v>
      </c>
      <c r="V309" s="162">
        <f t="shared" ref="V309:V317" si="369">U309*6</f>
        <v>0</v>
      </c>
    </row>
    <row r="310" spans="1:22" s="29" customFormat="1" hidden="1">
      <c r="A310" s="100"/>
      <c r="B310" s="101" t="s">
        <v>2908</v>
      </c>
      <c r="C310" s="96"/>
      <c r="D310" s="180"/>
      <c r="E310" s="96"/>
      <c r="F310" s="96"/>
      <c r="G310" s="145">
        <f t="shared" si="330"/>
        <v>0</v>
      </c>
      <c r="H310" s="78"/>
      <c r="I310" s="145">
        <f t="shared" si="324"/>
        <v>0</v>
      </c>
      <c r="J310" s="78"/>
      <c r="K310" s="78"/>
      <c r="L310" s="78"/>
      <c r="M310" s="146">
        <f t="shared" si="363"/>
        <v>0</v>
      </c>
      <c r="N310" s="158">
        <f t="shared" si="325"/>
        <v>0</v>
      </c>
      <c r="O310" s="153">
        <f t="shared" si="364"/>
        <v>0</v>
      </c>
      <c r="P310" s="158">
        <f t="shared" si="367"/>
        <v>0</v>
      </c>
      <c r="Q310" s="153">
        <f t="shared" si="365"/>
        <v>0</v>
      </c>
      <c r="R310" s="153">
        <f t="shared" si="365"/>
        <v>0</v>
      </c>
      <c r="S310" s="153">
        <f t="shared" si="365"/>
        <v>0</v>
      </c>
      <c r="T310" s="153">
        <f t="shared" si="366"/>
        <v>0</v>
      </c>
      <c r="U310" s="158">
        <f t="shared" si="368"/>
        <v>0</v>
      </c>
      <c r="V310" s="162">
        <f t="shared" si="369"/>
        <v>0</v>
      </c>
    </row>
    <row r="311" spans="1:22" s="29" customFormat="1" hidden="1">
      <c r="A311" s="100"/>
      <c r="B311" s="101" t="s">
        <v>2909</v>
      </c>
      <c r="C311" s="96"/>
      <c r="D311" s="180"/>
      <c r="E311" s="96"/>
      <c r="F311" s="96"/>
      <c r="G311" s="145">
        <f t="shared" si="330"/>
        <v>0</v>
      </c>
      <c r="H311" s="78"/>
      <c r="I311" s="145">
        <f t="shared" si="324"/>
        <v>0</v>
      </c>
      <c r="J311" s="78"/>
      <c r="K311" s="78"/>
      <c r="L311" s="78"/>
      <c r="M311" s="146">
        <f t="shared" si="363"/>
        <v>0</v>
      </c>
      <c r="N311" s="158">
        <f t="shared" si="325"/>
        <v>0</v>
      </c>
      <c r="O311" s="153">
        <f t="shared" si="364"/>
        <v>0</v>
      </c>
      <c r="P311" s="158">
        <f t="shared" si="367"/>
        <v>0</v>
      </c>
      <c r="Q311" s="153">
        <f t="shared" si="365"/>
        <v>0</v>
      </c>
      <c r="R311" s="153">
        <f t="shared" si="365"/>
        <v>0</v>
      </c>
      <c r="S311" s="153">
        <f t="shared" si="365"/>
        <v>0</v>
      </c>
      <c r="T311" s="153">
        <f t="shared" si="366"/>
        <v>0</v>
      </c>
      <c r="U311" s="158">
        <f t="shared" si="368"/>
        <v>0</v>
      </c>
      <c r="V311" s="162">
        <f t="shared" si="369"/>
        <v>0</v>
      </c>
    </row>
    <row r="312" spans="1:22" s="29" customFormat="1" hidden="1">
      <c r="A312" s="100"/>
      <c r="B312" s="101" t="s">
        <v>2910</v>
      </c>
      <c r="C312" s="96"/>
      <c r="D312" s="180"/>
      <c r="E312" s="96"/>
      <c r="F312" s="96"/>
      <c r="G312" s="145">
        <f t="shared" si="330"/>
        <v>0</v>
      </c>
      <c r="H312" s="78"/>
      <c r="I312" s="145">
        <f t="shared" si="324"/>
        <v>0</v>
      </c>
      <c r="J312" s="78"/>
      <c r="K312" s="78"/>
      <c r="L312" s="78"/>
      <c r="M312" s="146">
        <f t="shared" si="363"/>
        <v>0</v>
      </c>
      <c r="N312" s="158">
        <f t="shared" si="325"/>
        <v>0</v>
      </c>
      <c r="O312" s="153">
        <f t="shared" si="364"/>
        <v>0</v>
      </c>
      <c r="P312" s="158">
        <f t="shared" si="367"/>
        <v>0</v>
      </c>
      <c r="Q312" s="153">
        <f t="shared" si="365"/>
        <v>0</v>
      </c>
      <c r="R312" s="153">
        <f t="shared" si="365"/>
        <v>0</v>
      </c>
      <c r="S312" s="153">
        <f t="shared" si="365"/>
        <v>0</v>
      </c>
      <c r="T312" s="153">
        <f t="shared" si="366"/>
        <v>0</v>
      </c>
      <c r="U312" s="158">
        <f t="shared" si="368"/>
        <v>0</v>
      </c>
      <c r="V312" s="162">
        <f t="shared" si="369"/>
        <v>0</v>
      </c>
    </row>
    <row r="313" spans="1:22" s="29" customFormat="1" hidden="1">
      <c r="A313" s="100"/>
      <c r="B313" s="101" t="s">
        <v>2911</v>
      </c>
      <c r="C313" s="96"/>
      <c r="D313" s="180"/>
      <c r="E313" s="96"/>
      <c r="F313" s="96"/>
      <c r="G313" s="145">
        <f t="shared" si="330"/>
        <v>0</v>
      </c>
      <c r="H313" s="78"/>
      <c r="I313" s="145">
        <f t="shared" si="324"/>
        <v>0</v>
      </c>
      <c r="J313" s="78"/>
      <c r="K313" s="78"/>
      <c r="L313" s="78"/>
      <c r="M313" s="146">
        <f t="shared" si="363"/>
        <v>0</v>
      </c>
      <c r="N313" s="158">
        <f t="shared" si="325"/>
        <v>0</v>
      </c>
      <c r="O313" s="153">
        <f t="shared" si="364"/>
        <v>0</v>
      </c>
      <c r="P313" s="158">
        <f t="shared" si="367"/>
        <v>0</v>
      </c>
      <c r="Q313" s="153">
        <f t="shared" si="365"/>
        <v>0</v>
      </c>
      <c r="R313" s="153">
        <f t="shared" si="365"/>
        <v>0</v>
      </c>
      <c r="S313" s="153">
        <f t="shared" si="365"/>
        <v>0</v>
      </c>
      <c r="T313" s="153">
        <f t="shared" si="366"/>
        <v>0</v>
      </c>
      <c r="U313" s="158">
        <f t="shared" si="368"/>
        <v>0</v>
      </c>
      <c r="V313" s="162">
        <f t="shared" si="369"/>
        <v>0</v>
      </c>
    </row>
    <row r="314" spans="1:22" s="29" customFormat="1" hidden="1">
      <c r="A314" s="100"/>
      <c r="B314" s="101" t="s">
        <v>2912</v>
      </c>
      <c r="C314" s="96"/>
      <c r="D314" s="180"/>
      <c r="E314" s="96"/>
      <c r="F314" s="96"/>
      <c r="G314" s="145">
        <f t="shared" si="330"/>
        <v>0</v>
      </c>
      <c r="H314" s="78"/>
      <c r="I314" s="145">
        <f t="shared" si="324"/>
        <v>0</v>
      </c>
      <c r="J314" s="78"/>
      <c r="K314" s="78"/>
      <c r="L314" s="78"/>
      <c r="M314" s="146">
        <f t="shared" si="363"/>
        <v>0</v>
      </c>
      <c r="N314" s="158">
        <f t="shared" si="325"/>
        <v>0</v>
      </c>
      <c r="O314" s="153">
        <f t="shared" si="364"/>
        <v>0</v>
      </c>
      <c r="P314" s="158">
        <f t="shared" si="367"/>
        <v>0</v>
      </c>
      <c r="Q314" s="153">
        <f t="shared" si="365"/>
        <v>0</v>
      </c>
      <c r="R314" s="153">
        <f t="shared" si="365"/>
        <v>0</v>
      </c>
      <c r="S314" s="153">
        <f t="shared" si="365"/>
        <v>0</v>
      </c>
      <c r="T314" s="153">
        <f t="shared" si="366"/>
        <v>0</v>
      </c>
      <c r="U314" s="158">
        <f t="shared" si="368"/>
        <v>0</v>
      </c>
      <c r="V314" s="162">
        <f t="shared" si="369"/>
        <v>0</v>
      </c>
    </row>
    <row r="315" spans="1:22" s="29" customFormat="1" hidden="1">
      <c r="A315" s="100"/>
      <c r="B315" s="101" t="s">
        <v>2536</v>
      </c>
      <c r="C315" s="96"/>
      <c r="D315" s="175"/>
      <c r="E315" s="96"/>
      <c r="F315" s="96"/>
      <c r="G315" s="145">
        <f t="shared" si="330"/>
        <v>0</v>
      </c>
      <c r="H315" s="78"/>
      <c r="I315" s="145">
        <f t="shared" si="324"/>
        <v>0</v>
      </c>
      <c r="J315" s="78"/>
      <c r="K315" s="78"/>
      <c r="L315" s="78"/>
      <c r="M315" s="146">
        <f t="shared" si="363"/>
        <v>0</v>
      </c>
      <c r="N315" s="158">
        <f t="shared" si="325"/>
        <v>0</v>
      </c>
      <c r="O315" s="153">
        <f t="shared" si="364"/>
        <v>0</v>
      </c>
      <c r="P315" s="158">
        <f t="shared" si="367"/>
        <v>0</v>
      </c>
      <c r="Q315" s="153">
        <f t="shared" si="365"/>
        <v>0</v>
      </c>
      <c r="R315" s="153">
        <f t="shared" si="365"/>
        <v>0</v>
      </c>
      <c r="S315" s="153">
        <f t="shared" si="365"/>
        <v>0</v>
      </c>
      <c r="T315" s="153">
        <f t="shared" si="366"/>
        <v>0</v>
      </c>
      <c r="U315" s="158">
        <f t="shared" si="368"/>
        <v>0</v>
      </c>
      <c r="V315" s="162">
        <f t="shared" si="369"/>
        <v>0</v>
      </c>
    </row>
    <row r="316" spans="1:22" s="29" customFormat="1" hidden="1">
      <c r="A316" s="100"/>
      <c r="B316" s="101" t="s">
        <v>2537</v>
      </c>
      <c r="C316" s="96"/>
      <c r="D316" s="175"/>
      <c r="E316" s="96"/>
      <c r="F316" s="96"/>
      <c r="G316" s="145">
        <f t="shared" si="330"/>
        <v>0</v>
      </c>
      <c r="H316" s="78"/>
      <c r="I316" s="145">
        <f t="shared" si="324"/>
        <v>0</v>
      </c>
      <c r="J316" s="78"/>
      <c r="K316" s="78"/>
      <c r="L316" s="78"/>
      <c r="M316" s="146">
        <f t="shared" si="363"/>
        <v>0</v>
      </c>
      <c r="N316" s="158">
        <f t="shared" si="325"/>
        <v>0</v>
      </c>
      <c r="O316" s="153">
        <f t="shared" si="364"/>
        <v>0</v>
      </c>
      <c r="P316" s="158">
        <f t="shared" si="367"/>
        <v>0</v>
      </c>
      <c r="Q316" s="153">
        <f t="shared" si="365"/>
        <v>0</v>
      </c>
      <c r="R316" s="153">
        <f t="shared" si="365"/>
        <v>0</v>
      </c>
      <c r="S316" s="153">
        <f t="shared" si="365"/>
        <v>0</v>
      </c>
      <c r="T316" s="153">
        <f t="shared" si="366"/>
        <v>0</v>
      </c>
      <c r="U316" s="158">
        <f t="shared" si="368"/>
        <v>0</v>
      </c>
      <c r="V316" s="162">
        <f t="shared" si="369"/>
        <v>0</v>
      </c>
    </row>
    <row r="317" spans="1:22" s="29" customFormat="1" hidden="1">
      <c r="A317" s="100"/>
      <c r="B317" s="101" t="s">
        <v>2492</v>
      </c>
      <c r="C317" s="96"/>
      <c r="D317" s="180"/>
      <c r="E317" s="96"/>
      <c r="F317" s="96"/>
      <c r="G317" s="145">
        <f t="shared" si="330"/>
        <v>0</v>
      </c>
      <c r="H317" s="78"/>
      <c r="I317" s="145">
        <f t="shared" si="324"/>
        <v>0</v>
      </c>
      <c r="J317" s="78"/>
      <c r="K317" s="78"/>
      <c r="L317" s="78"/>
      <c r="M317" s="146">
        <f t="shared" si="363"/>
        <v>0</v>
      </c>
      <c r="N317" s="158">
        <f t="shared" si="325"/>
        <v>0</v>
      </c>
      <c r="O317" s="153">
        <f t="shared" si="364"/>
        <v>0</v>
      </c>
      <c r="P317" s="158">
        <f t="shared" si="367"/>
        <v>0</v>
      </c>
      <c r="Q317" s="153">
        <f t="shared" si="365"/>
        <v>0</v>
      </c>
      <c r="R317" s="153">
        <f t="shared" si="365"/>
        <v>0</v>
      </c>
      <c r="S317" s="153">
        <f t="shared" si="365"/>
        <v>0</v>
      </c>
      <c r="T317" s="153">
        <f t="shared" si="366"/>
        <v>0</v>
      </c>
      <c r="U317" s="158">
        <f t="shared" si="368"/>
        <v>0</v>
      </c>
      <c r="V317" s="162">
        <f t="shared" si="369"/>
        <v>0</v>
      </c>
    </row>
    <row r="318" spans="1:22" s="29" customFormat="1" hidden="1">
      <c r="A318" s="98">
        <v>7</v>
      </c>
      <c r="B318" s="99" t="s">
        <v>2913</v>
      </c>
      <c r="C318" s="58">
        <f>SUM(C319:C328)</f>
        <v>0</v>
      </c>
      <c r="D318" s="176">
        <f t="shared" ref="D318:V318" si="370">SUM(D319:D328)</f>
        <v>0</v>
      </c>
      <c r="E318" s="58">
        <f t="shared" si="370"/>
        <v>0</v>
      </c>
      <c r="F318" s="58">
        <f t="shared" si="370"/>
        <v>0</v>
      </c>
      <c r="G318" s="144">
        <f t="shared" si="370"/>
        <v>0</v>
      </c>
      <c r="H318" s="59">
        <f t="shared" si="370"/>
        <v>0</v>
      </c>
      <c r="I318" s="144">
        <f t="shared" si="370"/>
        <v>0</v>
      </c>
      <c r="J318" s="59">
        <f t="shared" si="370"/>
        <v>0</v>
      </c>
      <c r="K318" s="59">
        <f t="shared" si="370"/>
        <v>0</v>
      </c>
      <c r="L318" s="59">
        <f t="shared" si="370"/>
        <v>0</v>
      </c>
      <c r="M318" s="144">
        <f t="shared" si="370"/>
        <v>0</v>
      </c>
      <c r="N318" s="155">
        <f t="shared" si="370"/>
        <v>0</v>
      </c>
      <c r="O318" s="155">
        <f t="shared" si="370"/>
        <v>0</v>
      </c>
      <c r="P318" s="155">
        <f t="shared" si="370"/>
        <v>0</v>
      </c>
      <c r="Q318" s="155">
        <f t="shared" si="370"/>
        <v>0</v>
      </c>
      <c r="R318" s="155">
        <f t="shared" si="370"/>
        <v>0</v>
      </c>
      <c r="S318" s="155">
        <f t="shared" si="370"/>
        <v>0</v>
      </c>
      <c r="T318" s="155">
        <f t="shared" si="370"/>
        <v>0</v>
      </c>
      <c r="U318" s="155">
        <f t="shared" si="370"/>
        <v>0</v>
      </c>
      <c r="V318" s="161">
        <f t="shared" si="370"/>
        <v>0</v>
      </c>
    </row>
    <row r="319" spans="1:22" s="29" customFormat="1" hidden="1">
      <c r="A319" s="100"/>
      <c r="B319" s="101" t="s">
        <v>2906</v>
      </c>
      <c r="C319" s="96"/>
      <c r="D319" s="175"/>
      <c r="E319" s="96"/>
      <c r="F319" s="96"/>
      <c r="G319" s="145">
        <f t="shared" si="330"/>
        <v>0</v>
      </c>
      <c r="H319" s="78"/>
      <c r="I319" s="145">
        <f t="shared" si="324"/>
        <v>0</v>
      </c>
      <c r="J319" s="78"/>
      <c r="K319" s="78"/>
      <c r="L319" s="78"/>
      <c r="M319" s="146">
        <f t="shared" ref="M319:M328" si="371">(H319+I319)*1%</f>
        <v>0</v>
      </c>
      <c r="N319" s="158">
        <f t="shared" si="325"/>
        <v>0</v>
      </c>
      <c r="O319" s="153">
        <f t="shared" ref="O319:O328" si="372">(H319/1.3)*1.39</f>
        <v>0</v>
      </c>
      <c r="P319" s="158">
        <f>SUM(Q319:S319)</f>
        <v>0</v>
      </c>
      <c r="Q319" s="153">
        <f t="shared" ref="Q319:S328" si="373">(J319/1.3)*1.39</f>
        <v>0</v>
      </c>
      <c r="R319" s="153">
        <f t="shared" si="373"/>
        <v>0</v>
      </c>
      <c r="S319" s="153">
        <f t="shared" si="373"/>
        <v>0</v>
      </c>
      <c r="T319" s="153">
        <f t="shared" ref="T319:T328" si="374">(O319+P319)*1%</f>
        <v>0</v>
      </c>
      <c r="U319" s="158">
        <f>T319-M319</f>
        <v>0</v>
      </c>
      <c r="V319" s="162">
        <f>U319*6</f>
        <v>0</v>
      </c>
    </row>
    <row r="320" spans="1:22" s="29" customFormat="1" hidden="1">
      <c r="A320" s="100"/>
      <c r="B320" s="101" t="s">
        <v>2907</v>
      </c>
      <c r="C320" s="96"/>
      <c r="D320" s="180"/>
      <c r="E320" s="96"/>
      <c r="F320" s="96"/>
      <c r="G320" s="145">
        <f t="shared" si="330"/>
        <v>0</v>
      </c>
      <c r="H320" s="78"/>
      <c r="I320" s="145">
        <f t="shared" si="324"/>
        <v>0</v>
      </c>
      <c r="J320" s="78"/>
      <c r="K320" s="78"/>
      <c r="L320" s="78"/>
      <c r="M320" s="146">
        <f t="shared" si="371"/>
        <v>0</v>
      </c>
      <c r="N320" s="158">
        <f t="shared" si="325"/>
        <v>0</v>
      </c>
      <c r="O320" s="153">
        <f t="shared" si="372"/>
        <v>0</v>
      </c>
      <c r="P320" s="158">
        <f t="shared" ref="P320:P328" si="375">SUM(Q320:S320)</f>
        <v>0</v>
      </c>
      <c r="Q320" s="153">
        <f t="shared" si="373"/>
        <v>0</v>
      </c>
      <c r="R320" s="153">
        <f t="shared" si="373"/>
        <v>0</v>
      </c>
      <c r="S320" s="153">
        <f t="shared" si="373"/>
        <v>0</v>
      </c>
      <c r="T320" s="153">
        <f t="shared" si="374"/>
        <v>0</v>
      </c>
      <c r="U320" s="158">
        <f t="shared" ref="U320:U328" si="376">T320-M320</f>
        <v>0</v>
      </c>
      <c r="V320" s="162">
        <f t="shared" ref="V320:V328" si="377">U320*6</f>
        <v>0</v>
      </c>
    </row>
    <row r="321" spans="1:22" s="29" customFormat="1" hidden="1">
      <c r="A321" s="100"/>
      <c r="B321" s="101" t="s">
        <v>2908</v>
      </c>
      <c r="C321" s="96"/>
      <c r="D321" s="180"/>
      <c r="E321" s="96"/>
      <c r="F321" s="96"/>
      <c r="G321" s="145">
        <f t="shared" si="330"/>
        <v>0</v>
      </c>
      <c r="H321" s="78"/>
      <c r="I321" s="145">
        <f t="shared" si="324"/>
        <v>0</v>
      </c>
      <c r="J321" s="78"/>
      <c r="K321" s="78"/>
      <c r="L321" s="78"/>
      <c r="M321" s="146">
        <f t="shared" si="371"/>
        <v>0</v>
      </c>
      <c r="N321" s="158">
        <f t="shared" si="325"/>
        <v>0</v>
      </c>
      <c r="O321" s="153">
        <f t="shared" si="372"/>
        <v>0</v>
      </c>
      <c r="P321" s="158">
        <f t="shared" si="375"/>
        <v>0</v>
      </c>
      <c r="Q321" s="153">
        <f t="shared" si="373"/>
        <v>0</v>
      </c>
      <c r="R321" s="153">
        <f t="shared" si="373"/>
        <v>0</v>
      </c>
      <c r="S321" s="153">
        <f t="shared" si="373"/>
        <v>0</v>
      </c>
      <c r="T321" s="153">
        <f t="shared" si="374"/>
        <v>0</v>
      </c>
      <c r="U321" s="158">
        <f t="shared" si="376"/>
        <v>0</v>
      </c>
      <c r="V321" s="162">
        <f t="shared" si="377"/>
        <v>0</v>
      </c>
    </row>
    <row r="322" spans="1:22" s="29" customFormat="1" hidden="1">
      <c r="A322" s="100"/>
      <c r="B322" s="101" t="s">
        <v>2909</v>
      </c>
      <c r="C322" s="96"/>
      <c r="D322" s="180"/>
      <c r="E322" s="96"/>
      <c r="F322" s="96"/>
      <c r="G322" s="145">
        <f t="shared" si="330"/>
        <v>0</v>
      </c>
      <c r="H322" s="78"/>
      <c r="I322" s="145">
        <f t="shared" si="324"/>
        <v>0</v>
      </c>
      <c r="J322" s="64"/>
      <c r="K322" s="78"/>
      <c r="L322" s="78"/>
      <c r="M322" s="146">
        <f t="shared" si="371"/>
        <v>0</v>
      </c>
      <c r="N322" s="158">
        <f t="shared" si="325"/>
        <v>0</v>
      </c>
      <c r="O322" s="153">
        <f t="shared" si="372"/>
        <v>0</v>
      </c>
      <c r="P322" s="158">
        <f t="shared" si="375"/>
        <v>0</v>
      </c>
      <c r="Q322" s="153">
        <f t="shared" si="373"/>
        <v>0</v>
      </c>
      <c r="R322" s="153">
        <f t="shared" si="373"/>
        <v>0</v>
      </c>
      <c r="S322" s="153">
        <f t="shared" si="373"/>
        <v>0</v>
      </c>
      <c r="T322" s="153">
        <f t="shared" si="374"/>
        <v>0</v>
      </c>
      <c r="U322" s="158">
        <f t="shared" si="376"/>
        <v>0</v>
      </c>
      <c r="V322" s="162">
        <f t="shared" si="377"/>
        <v>0</v>
      </c>
    </row>
    <row r="323" spans="1:22" s="29" customFormat="1" hidden="1">
      <c r="A323" s="100"/>
      <c r="B323" s="101" t="s">
        <v>2910</v>
      </c>
      <c r="C323" s="96"/>
      <c r="D323" s="180"/>
      <c r="E323" s="96"/>
      <c r="F323" s="96"/>
      <c r="G323" s="145">
        <f t="shared" si="330"/>
        <v>0</v>
      </c>
      <c r="H323" s="78"/>
      <c r="I323" s="145">
        <f t="shared" si="324"/>
        <v>0</v>
      </c>
      <c r="J323" s="78"/>
      <c r="K323" s="78"/>
      <c r="L323" s="78"/>
      <c r="M323" s="146">
        <f t="shared" si="371"/>
        <v>0</v>
      </c>
      <c r="N323" s="158">
        <f t="shared" si="325"/>
        <v>0</v>
      </c>
      <c r="O323" s="153">
        <f t="shared" si="372"/>
        <v>0</v>
      </c>
      <c r="P323" s="158">
        <f t="shared" si="375"/>
        <v>0</v>
      </c>
      <c r="Q323" s="153">
        <f t="shared" si="373"/>
        <v>0</v>
      </c>
      <c r="R323" s="153">
        <f t="shared" si="373"/>
        <v>0</v>
      </c>
      <c r="S323" s="153">
        <f t="shared" si="373"/>
        <v>0</v>
      </c>
      <c r="T323" s="153">
        <f t="shared" si="374"/>
        <v>0</v>
      </c>
      <c r="U323" s="158">
        <f t="shared" si="376"/>
        <v>0</v>
      </c>
      <c r="V323" s="162">
        <f t="shared" si="377"/>
        <v>0</v>
      </c>
    </row>
    <row r="324" spans="1:22" s="29" customFormat="1" hidden="1">
      <c r="A324" s="100"/>
      <c r="B324" s="101" t="s">
        <v>2911</v>
      </c>
      <c r="C324" s="96"/>
      <c r="D324" s="180"/>
      <c r="E324" s="96"/>
      <c r="F324" s="96"/>
      <c r="G324" s="145">
        <f t="shared" si="330"/>
        <v>0</v>
      </c>
      <c r="H324" s="78"/>
      <c r="I324" s="145">
        <f t="shared" si="324"/>
        <v>0</v>
      </c>
      <c r="J324" s="78"/>
      <c r="K324" s="78"/>
      <c r="L324" s="78"/>
      <c r="M324" s="146">
        <f t="shared" si="371"/>
        <v>0</v>
      </c>
      <c r="N324" s="158">
        <f t="shared" si="325"/>
        <v>0</v>
      </c>
      <c r="O324" s="153">
        <f t="shared" si="372"/>
        <v>0</v>
      </c>
      <c r="P324" s="158">
        <f t="shared" si="375"/>
        <v>0</v>
      </c>
      <c r="Q324" s="153">
        <f t="shared" si="373"/>
        <v>0</v>
      </c>
      <c r="R324" s="153">
        <f t="shared" si="373"/>
        <v>0</v>
      </c>
      <c r="S324" s="153">
        <f t="shared" si="373"/>
        <v>0</v>
      </c>
      <c r="T324" s="153">
        <f t="shared" si="374"/>
        <v>0</v>
      </c>
      <c r="U324" s="158">
        <f t="shared" si="376"/>
        <v>0</v>
      </c>
      <c r="V324" s="162">
        <f t="shared" si="377"/>
        <v>0</v>
      </c>
    </row>
    <row r="325" spans="1:22" s="29" customFormat="1" hidden="1">
      <c r="A325" s="100"/>
      <c r="B325" s="101" t="s">
        <v>2912</v>
      </c>
      <c r="C325" s="96"/>
      <c r="D325" s="180"/>
      <c r="E325" s="96"/>
      <c r="F325" s="96"/>
      <c r="G325" s="145">
        <f t="shared" si="330"/>
        <v>0</v>
      </c>
      <c r="H325" s="78"/>
      <c r="I325" s="145">
        <f t="shared" si="324"/>
        <v>0</v>
      </c>
      <c r="J325" s="78"/>
      <c r="K325" s="78"/>
      <c r="L325" s="78"/>
      <c r="M325" s="146">
        <f t="shared" si="371"/>
        <v>0</v>
      </c>
      <c r="N325" s="158">
        <f t="shared" si="325"/>
        <v>0</v>
      </c>
      <c r="O325" s="153">
        <f t="shared" si="372"/>
        <v>0</v>
      </c>
      <c r="P325" s="158">
        <f t="shared" si="375"/>
        <v>0</v>
      </c>
      <c r="Q325" s="153">
        <f t="shared" si="373"/>
        <v>0</v>
      </c>
      <c r="R325" s="153">
        <f t="shared" si="373"/>
        <v>0</v>
      </c>
      <c r="S325" s="153">
        <f t="shared" si="373"/>
        <v>0</v>
      </c>
      <c r="T325" s="153">
        <f t="shared" si="374"/>
        <v>0</v>
      </c>
      <c r="U325" s="158">
        <f t="shared" si="376"/>
        <v>0</v>
      </c>
      <c r="V325" s="162">
        <f t="shared" si="377"/>
        <v>0</v>
      </c>
    </row>
    <row r="326" spans="1:22" s="29" customFormat="1" hidden="1">
      <c r="A326" s="100"/>
      <c r="B326" s="101" t="s">
        <v>2536</v>
      </c>
      <c r="C326" s="96"/>
      <c r="D326" s="175"/>
      <c r="E326" s="96"/>
      <c r="F326" s="96"/>
      <c r="G326" s="145">
        <f t="shared" si="330"/>
        <v>0</v>
      </c>
      <c r="H326" s="78"/>
      <c r="I326" s="145">
        <f t="shared" si="324"/>
        <v>0</v>
      </c>
      <c r="J326" s="78"/>
      <c r="K326" s="78"/>
      <c r="L326" s="78"/>
      <c r="M326" s="146">
        <f t="shared" si="371"/>
        <v>0</v>
      </c>
      <c r="N326" s="158">
        <f t="shared" si="325"/>
        <v>0</v>
      </c>
      <c r="O326" s="153">
        <f t="shared" si="372"/>
        <v>0</v>
      </c>
      <c r="P326" s="158">
        <f t="shared" si="375"/>
        <v>0</v>
      </c>
      <c r="Q326" s="153">
        <f t="shared" si="373"/>
        <v>0</v>
      </c>
      <c r="R326" s="153">
        <f t="shared" si="373"/>
        <v>0</v>
      </c>
      <c r="S326" s="153">
        <f t="shared" si="373"/>
        <v>0</v>
      </c>
      <c r="T326" s="153">
        <f t="shared" si="374"/>
        <v>0</v>
      </c>
      <c r="U326" s="158">
        <f t="shared" si="376"/>
        <v>0</v>
      </c>
      <c r="V326" s="162">
        <f t="shared" si="377"/>
        <v>0</v>
      </c>
    </row>
    <row r="327" spans="1:22" s="29" customFormat="1" hidden="1">
      <c r="A327" s="100"/>
      <c r="B327" s="101" t="s">
        <v>2537</v>
      </c>
      <c r="C327" s="96"/>
      <c r="D327" s="175"/>
      <c r="E327" s="96"/>
      <c r="F327" s="96"/>
      <c r="G327" s="145">
        <f t="shared" si="330"/>
        <v>0</v>
      </c>
      <c r="H327" s="78"/>
      <c r="I327" s="145">
        <f t="shared" si="324"/>
        <v>0</v>
      </c>
      <c r="J327" s="78"/>
      <c r="K327" s="78"/>
      <c r="L327" s="78"/>
      <c r="M327" s="146">
        <f t="shared" si="371"/>
        <v>0</v>
      </c>
      <c r="N327" s="158">
        <f t="shared" si="325"/>
        <v>0</v>
      </c>
      <c r="O327" s="153">
        <f t="shared" si="372"/>
        <v>0</v>
      </c>
      <c r="P327" s="158">
        <f t="shared" si="375"/>
        <v>0</v>
      </c>
      <c r="Q327" s="153">
        <f t="shared" si="373"/>
        <v>0</v>
      </c>
      <c r="R327" s="153">
        <f t="shared" si="373"/>
        <v>0</v>
      </c>
      <c r="S327" s="153">
        <f t="shared" si="373"/>
        <v>0</v>
      </c>
      <c r="T327" s="153">
        <f t="shared" si="374"/>
        <v>0</v>
      </c>
      <c r="U327" s="158">
        <f t="shared" si="376"/>
        <v>0</v>
      </c>
      <c r="V327" s="162">
        <f t="shared" si="377"/>
        <v>0</v>
      </c>
    </row>
    <row r="328" spans="1:22" s="29" customFormat="1" hidden="1">
      <c r="A328" s="100"/>
      <c r="B328" s="101" t="s">
        <v>2492</v>
      </c>
      <c r="C328" s="96"/>
      <c r="D328" s="180"/>
      <c r="E328" s="96"/>
      <c r="F328" s="96"/>
      <c r="G328" s="145">
        <f t="shared" si="330"/>
        <v>0</v>
      </c>
      <c r="H328" s="78"/>
      <c r="I328" s="145">
        <f t="shared" si="324"/>
        <v>0</v>
      </c>
      <c r="J328" s="78"/>
      <c r="K328" s="78"/>
      <c r="L328" s="78"/>
      <c r="M328" s="146">
        <f t="shared" si="371"/>
        <v>0</v>
      </c>
      <c r="N328" s="158">
        <f t="shared" si="325"/>
        <v>0</v>
      </c>
      <c r="O328" s="153">
        <f t="shared" si="372"/>
        <v>0</v>
      </c>
      <c r="P328" s="158">
        <f t="shared" si="375"/>
        <v>0</v>
      </c>
      <c r="Q328" s="153">
        <f t="shared" si="373"/>
        <v>0</v>
      </c>
      <c r="R328" s="153">
        <f t="shared" si="373"/>
        <v>0</v>
      </c>
      <c r="S328" s="153">
        <f t="shared" si="373"/>
        <v>0</v>
      </c>
      <c r="T328" s="153">
        <f t="shared" si="374"/>
        <v>0</v>
      </c>
      <c r="U328" s="158">
        <f t="shared" si="376"/>
        <v>0</v>
      </c>
      <c r="V328" s="162">
        <f t="shared" si="377"/>
        <v>0</v>
      </c>
    </row>
    <row r="329" spans="1:22" s="29" customFormat="1" hidden="1">
      <c r="A329" s="98">
        <v>8</v>
      </c>
      <c r="B329" s="99" t="s">
        <v>2500</v>
      </c>
      <c r="C329" s="58">
        <f>SUM(C330:C339)</f>
        <v>0</v>
      </c>
      <c r="D329" s="176">
        <f t="shared" ref="D329:V329" si="378">SUM(D330:D339)</f>
        <v>0</v>
      </c>
      <c r="E329" s="58">
        <f t="shared" si="378"/>
        <v>0</v>
      </c>
      <c r="F329" s="58">
        <f t="shared" si="378"/>
        <v>0</v>
      </c>
      <c r="G329" s="144">
        <f t="shared" si="378"/>
        <v>0</v>
      </c>
      <c r="H329" s="59">
        <f t="shared" si="378"/>
        <v>0</v>
      </c>
      <c r="I329" s="144">
        <f t="shared" si="378"/>
        <v>0</v>
      </c>
      <c r="J329" s="59">
        <f t="shared" si="378"/>
        <v>0</v>
      </c>
      <c r="K329" s="59">
        <f t="shared" si="378"/>
        <v>0</v>
      </c>
      <c r="L329" s="59">
        <f t="shared" si="378"/>
        <v>0</v>
      </c>
      <c r="M329" s="144">
        <f t="shared" si="378"/>
        <v>0</v>
      </c>
      <c r="N329" s="155">
        <f t="shared" si="378"/>
        <v>0</v>
      </c>
      <c r="O329" s="155">
        <f t="shared" si="378"/>
        <v>0</v>
      </c>
      <c r="P329" s="155">
        <f t="shared" si="378"/>
        <v>0</v>
      </c>
      <c r="Q329" s="155">
        <f t="shared" si="378"/>
        <v>0</v>
      </c>
      <c r="R329" s="155">
        <f t="shared" si="378"/>
        <v>0</v>
      </c>
      <c r="S329" s="155">
        <f t="shared" si="378"/>
        <v>0</v>
      </c>
      <c r="T329" s="155">
        <f t="shared" si="378"/>
        <v>0</v>
      </c>
      <c r="U329" s="155">
        <f t="shared" si="378"/>
        <v>0</v>
      </c>
      <c r="V329" s="161">
        <f t="shared" si="378"/>
        <v>0</v>
      </c>
    </row>
    <row r="330" spans="1:22" s="29" customFormat="1" hidden="1">
      <c r="A330" s="100"/>
      <c r="B330" s="101" t="s">
        <v>2906</v>
      </c>
      <c r="C330" s="96"/>
      <c r="D330" s="175"/>
      <c r="E330" s="96"/>
      <c r="F330" s="96"/>
      <c r="G330" s="145">
        <f t="shared" si="330"/>
        <v>0</v>
      </c>
      <c r="H330" s="78"/>
      <c r="I330" s="145">
        <f t="shared" si="324"/>
        <v>0</v>
      </c>
      <c r="J330" s="78"/>
      <c r="K330" s="78"/>
      <c r="L330" s="78"/>
      <c r="M330" s="146">
        <f t="shared" ref="M330:M339" si="379">(H330+I330)*1%</f>
        <v>0</v>
      </c>
      <c r="N330" s="158">
        <f t="shared" si="325"/>
        <v>0</v>
      </c>
      <c r="O330" s="153">
        <f t="shared" ref="O330:O339" si="380">(H330/1.3)*1.39</f>
        <v>0</v>
      </c>
      <c r="P330" s="158">
        <f>SUM(Q330:S330)</f>
        <v>0</v>
      </c>
      <c r="Q330" s="153">
        <f t="shared" ref="Q330:S339" si="381">(J330/1.3)*1.39</f>
        <v>0</v>
      </c>
      <c r="R330" s="153">
        <f t="shared" si="381"/>
        <v>0</v>
      </c>
      <c r="S330" s="153">
        <f t="shared" si="381"/>
        <v>0</v>
      </c>
      <c r="T330" s="153">
        <f t="shared" ref="T330:T339" si="382">(O330+P330)*1%</f>
        <v>0</v>
      </c>
      <c r="U330" s="158">
        <f>T330-M330</f>
        <v>0</v>
      </c>
      <c r="V330" s="162">
        <f>U330*6</f>
        <v>0</v>
      </c>
    </row>
    <row r="331" spans="1:22" s="29" customFormat="1" hidden="1">
      <c r="A331" s="100"/>
      <c r="B331" s="101" t="s">
        <v>2907</v>
      </c>
      <c r="C331" s="96"/>
      <c r="D331" s="175"/>
      <c r="E331" s="96"/>
      <c r="F331" s="96"/>
      <c r="G331" s="145">
        <f t="shared" si="330"/>
        <v>0</v>
      </c>
      <c r="H331" s="78"/>
      <c r="I331" s="145">
        <f t="shared" si="324"/>
        <v>0</v>
      </c>
      <c r="J331" s="78"/>
      <c r="K331" s="78"/>
      <c r="L331" s="78"/>
      <c r="M331" s="146">
        <f t="shared" si="379"/>
        <v>0</v>
      </c>
      <c r="N331" s="158">
        <f t="shared" si="325"/>
        <v>0</v>
      </c>
      <c r="O331" s="153">
        <f t="shared" si="380"/>
        <v>0</v>
      </c>
      <c r="P331" s="158">
        <f t="shared" ref="P331:P339" si="383">SUM(Q331:S331)</f>
        <v>0</v>
      </c>
      <c r="Q331" s="153">
        <f t="shared" si="381"/>
        <v>0</v>
      </c>
      <c r="R331" s="153">
        <f t="shared" si="381"/>
        <v>0</v>
      </c>
      <c r="S331" s="153">
        <f t="shared" si="381"/>
        <v>0</v>
      </c>
      <c r="T331" s="153">
        <f t="shared" si="382"/>
        <v>0</v>
      </c>
      <c r="U331" s="158">
        <f t="shared" ref="U331:U339" si="384">T331-M331</f>
        <v>0</v>
      </c>
      <c r="V331" s="162">
        <f t="shared" ref="V331:V339" si="385">U331*6</f>
        <v>0</v>
      </c>
    </row>
    <row r="332" spans="1:22" s="29" customFormat="1" hidden="1">
      <c r="A332" s="100"/>
      <c r="B332" s="101" t="s">
        <v>2908</v>
      </c>
      <c r="C332" s="96"/>
      <c r="D332" s="175"/>
      <c r="E332" s="96"/>
      <c r="F332" s="96"/>
      <c r="G332" s="145">
        <f t="shared" ref="G332:G339" si="386">H332+I332+M332</f>
        <v>0</v>
      </c>
      <c r="H332" s="78"/>
      <c r="I332" s="145">
        <f t="shared" ref="I332:I339" si="387">SUM(J332:L332)</f>
        <v>0</v>
      </c>
      <c r="J332" s="78"/>
      <c r="K332" s="78"/>
      <c r="L332" s="78"/>
      <c r="M332" s="146">
        <f t="shared" si="379"/>
        <v>0</v>
      </c>
      <c r="N332" s="158">
        <f t="shared" ref="N332:N339" si="388">O332+P332+T332</f>
        <v>0</v>
      </c>
      <c r="O332" s="153">
        <f t="shared" si="380"/>
        <v>0</v>
      </c>
      <c r="P332" s="158">
        <f t="shared" si="383"/>
        <v>0</v>
      </c>
      <c r="Q332" s="153">
        <f t="shared" si="381"/>
        <v>0</v>
      </c>
      <c r="R332" s="153">
        <f t="shared" si="381"/>
        <v>0</v>
      </c>
      <c r="S332" s="153">
        <f t="shared" si="381"/>
        <v>0</v>
      </c>
      <c r="T332" s="153">
        <f t="shared" si="382"/>
        <v>0</v>
      </c>
      <c r="U332" s="158">
        <f t="shared" si="384"/>
        <v>0</v>
      </c>
      <c r="V332" s="162">
        <f t="shared" si="385"/>
        <v>0</v>
      </c>
    </row>
    <row r="333" spans="1:22" s="29" customFormat="1" hidden="1">
      <c r="A333" s="100"/>
      <c r="B333" s="101" t="s">
        <v>2909</v>
      </c>
      <c r="C333" s="96"/>
      <c r="D333" s="175"/>
      <c r="E333" s="96"/>
      <c r="F333" s="96"/>
      <c r="G333" s="145">
        <f t="shared" si="386"/>
        <v>0</v>
      </c>
      <c r="H333" s="78"/>
      <c r="I333" s="145">
        <f t="shared" si="387"/>
        <v>0</v>
      </c>
      <c r="J333" s="78"/>
      <c r="K333" s="78"/>
      <c r="L333" s="78"/>
      <c r="M333" s="146">
        <f t="shared" si="379"/>
        <v>0</v>
      </c>
      <c r="N333" s="158">
        <f t="shared" si="388"/>
        <v>0</v>
      </c>
      <c r="O333" s="153">
        <f t="shared" si="380"/>
        <v>0</v>
      </c>
      <c r="P333" s="158">
        <f t="shared" si="383"/>
        <v>0</v>
      </c>
      <c r="Q333" s="153">
        <f t="shared" si="381"/>
        <v>0</v>
      </c>
      <c r="R333" s="153">
        <f t="shared" si="381"/>
        <v>0</v>
      </c>
      <c r="S333" s="153">
        <f t="shared" si="381"/>
        <v>0</v>
      </c>
      <c r="T333" s="153">
        <f t="shared" si="382"/>
        <v>0</v>
      </c>
      <c r="U333" s="158">
        <f t="shared" si="384"/>
        <v>0</v>
      </c>
      <c r="V333" s="162">
        <f t="shared" si="385"/>
        <v>0</v>
      </c>
    </row>
    <row r="334" spans="1:22" s="29" customFormat="1" hidden="1">
      <c r="A334" s="100"/>
      <c r="B334" s="101" t="s">
        <v>2910</v>
      </c>
      <c r="C334" s="96"/>
      <c r="D334" s="175"/>
      <c r="E334" s="96"/>
      <c r="F334" s="96"/>
      <c r="G334" s="145">
        <f t="shared" si="386"/>
        <v>0</v>
      </c>
      <c r="H334" s="78"/>
      <c r="I334" s="145">
        <f t="shared" si="387"/>
        <v>0</v>
      </c>
      <c r="J334" s="78"/>
      <c r="K334" s="78"/>
      <c r="L334" s="78"/>
      <c r="M334" s="146">
        <f t="shared" si="379"/>
        <v>0</v>
      </c>
      <c r="N334" s="158">
        <f t="shared" si="388"/>
        <v>0</v>
      </c>
      <c r="O334" s="153">
        <f t="shared" si="380"/>
        <v>0</v>
      </c>
      <c r="P334" s="158">
        <f t="shared" si="383"/>
        <v>0</v>
      </c>
      <c r="Q334" s="153">
        <f t="shared" si="381"/>
        <v>0</v>
      </c>
      <c r="R334" s="153">
        <f t="shared" si="381"/>
        <v>0</v>
      </c>
      <c r="S334" s="153">
        <f t="shared" si="381"/>
        <v>0</v>
      </c>
      <c r="T334" s="153">
        <f t="shared" si="382"/>
        <v>0</v>
      </c>
      <c r="U334" s="158">
        <f t="shared" si="384"/>
        <v>0</v>
      </c>
      <c r="V334" s="162">
        <f t="shared" si="385"/>
        <v>0</v>
      </c>
    </row>
    <row r="335" spans="1:22" s="29" customFormat="1" hidden="1">
      <c r="A335" s="100"/>
      <c r="B335" s="101" t="s">
        <v>2911</v>
      </c>
      <c r="C335" s="96"/>
      <c r="D335" s="175"/>
      <c r="E335" s="96"/>
      <c r="F335" s="96"/>
      <c r="G335" s="145">
        <f t="shared" si="386"/>
        <v>0</v>
      </c>
      <c r="H335" s="78"/>
      <c r="I335" s="145">
        <f t="shared" si="387"/>
        <v>0</v>
      </c>
      <c r="J335" s="78"/>
      <c r="K335" s="78"/>
      <c r="L335" s="78"/>
      <c r="M335" s="146">
        <f t="shared" si="379"/>
        <v>0</v>
      </c>
      <c r="N335" s="158">
        <f t="shared" si="388"/>
        <v>0</v>
      </c>
      <c r="O335" s="153">
        <f t="shared" si="380"/>
        <v>0</v>
      </c>
      <c r="P335" s="158">
        <f t="shared" si="383"/>
        <v>0</v>
      </c>
      <c r="Q335" s="153">
        <f t="shared" si="381"/>
        <v>0</v>
      </c>
      <c r="R335" s="153">
        <f t="shared" si="381"/>
        <v>0</v>
      </c>
      <c r="S335" s="153">
        <f t="shared" si="381"/>
        <v>0</v>
      </c>
      <c r="T335" s="153">
        <f t="shared" si="382"/>
        <v>0</v>
      </c>
      <c r="U335" s="158">
        <f t="shared" si="384"/>
        <v>0</v>
      </c>
      <c r="V335" s="162">
        <f t="shared" si="385"/>
        <v>0</v>
      </c>
    </row>
    <row r="336" spans="1:22" s="29" customFormat="1" hidden="1">
      <c r="A336" s="100"/>
      <c r="B336" s="101" t="s">
        <v>2912</v>
      </c>
      <c r="C336" s="96"/>
      <c r="D336" s="175"/>
      <c r="E336" s="96"/>
      <c r="F336" s="96"/>
      <c r="G336" s="145">
        <f t="shared" si="386"/>
        <v>0</v>
      </c>
      <c r="H336" s="78"/>
      <c r="I336" s="145">
        <f t="shared" si="387"/>
        <v>0</v>
      </c>
      <c r="J336" s="78"/>
      <c r="K336" s="78"/>
      <c r="L336" s="78"/>
      <c r="M336" s="146">
        <f t="shared" si="379"/>
        <v>0</v>
      </c>
      <c r="N336" s="158">
        <f t="shared" si="388"/>
        <v>0</v>
      </c>
      <c r="O336" s="153">
        <f t="shared" si="380"/>
        <v>0</v>
      </c>
      <c r="P336" s="158">
        <f t="shared" si="383"/>
        <v>0</v>
      </c>
      <c r="Q336" s="153">
        <f t="shared" si="381"/>
        <v>0</v>
      </c>
      <c r="R336" s="153">
        <f t="shared" si="381"/>
        <v>0</v>
      </c>
      <c r="S336" s="153">
        <f t="shared" si="381"/>
        <v>0</v>
      </c>
      <c r="T336" s="153">
        <f t="shared" si="382"/>
        <v>0</v>
      </c>
      <c r="U336" s="158">
        <f t="shared" si="384"/>
        <v>0</v>
      </c>
      <c r="V336" s="162">
        <f t="shared" si="385"/>
        <v>0</v>
      </c>
    </row>
    <row r="337" spans="1:25" s="29" customFormat="1" hidden="1">
      <c r="A337" s="100"/>
      <c r="B337" s="101" t="s">
        <v>2536</v>
      </c>
      <c r="C337" s="96"/>
      <c r="D337" s="175"/>
      <c r="E337" s="96"/>
      <c r="F337" s="96"/>
      <c r="G337" s="145">
        <f t="shared" si="386"/>
        <v>0</v>
      </c>
      <c r="H337" s="78"/>
      <c r="I337" s="145">
        <f t="shared" si="387"/>
        <v>0</v>
      </c>
      <c r="J337" s="78"/>
      <c r="K337" s="78"/>
      <c r="L337" s="78"/>
      <c r="M337" s="146">
        <f t="shared" si="379"/>
        <v>0</v>
      </c>
      <c r="N337" s="158">
        <f t="shared" si="388"/>
        <v>0</v>
      </c>
      <c r="O337" s="153">
        <f t="shared" si="380"/>
        <v>0</v>
      </c>
      <c r="P337" s="158">
        <f t="shared" si="383"/>
        <v>0</v>
      </c>
      <c r="Q337" s="153">
        <f t="shared" si="381"/>
        <v>0</v>
      </c>
      <c r="R337" s="153">
        <f t="shared" si="381"/>
        <v>0</v>
      </c>
      <c r="S337" s="153">
        <f t="shared" si="381"/>
        <v>0</v>
      </c>
      <c r="T337" s="153">
        <f t="shared" si="382"/>
        <v>0</v>
      </c>
      <c r="U337" s="158">
        <f t="shared" si="384"/>
        <v>0</v>
      </c>
      <c r="V337" s="162">
        <f t="shared" si="385"/>
        <v>0</v>
      </c>
    </row>
    <row r="338" spans="1:25" s="29" customFormat="1" hidden="1">
      <c r="A338" s="100"/>
      <c r="B338" s="101" t="s">
        <v>2537</v>
      </c>
      <c r="C338" s="96"/>
      <c r="D338" s="175"/>
      <c r="E338" s="96"/>
      <c r="F338" s="96"/>
      <c r="G338" s="145">
        <f t="shared" si="386"/>
        <v>0</v>
      </c>
      <c r="H338" s="78"/>
      <c r="I338" s="145">
        <f t="shared" si="387"/>
        <v>0</v>
      </c>
      <c r="J338" s="78"/>
      <c r="K338" s="78"/>
      <c r="L338" s="78"/>
      <c r="M338" s="146">
        <f t="shared" si="379"/>
        <v>0</v>
      </c>
      <c r="N338" s="158">
        <f t="shared" si="388"/>
        <v>0</v>
      </c>
      <c r="O338" s="153">
        <f t="shared" si="380"/>
        <v>0</v>
      </c>
      <c r="P338" s="158">
        <f t="shared" si="383"/>
        <v>0</v>
      </c>
      <c r="Q338" s="153">
        <f t="shared" si="381"/>
        <v>0</v>
      </c>
      <c r="R338" s="153">
        <f t="shared" si="381"/>
        <v>0</v>
      </c>
      <c r="S338" s="153">
        <f t="shared" si="381"/>
        <v>0</v>
      </c>
      <c r="T338" s="153">
        <f t="shared" si="382"/>
        <v>0</v>
      </c>
      <c r="U338" s="158">
        <f t="shared" si="384"/>
        <v>0</v>
      </c>
      <c r="V338" s="162">
        <f t="shared" si="385"/>
        <v>0</v>
      </c>
    </row>
    <row r="339" spans="1:25" s="29" customFormat="1" hidden="1">
      <c r="A339" s="100"/>
      <c r="B339" s="101" t="s">
        <v>2492</v>
      </c>
      <c r="C339" s="96"/>
      <c r="D339" s="175"/>
      <c r="E339" s="96"/>
      <c r="F339" s="96"/>
      <c r="G339" s="145">
        <f t="shared" si="386"/>
        <v>0</v>
      </c>
      <c r="H339" s="78"/>
      <c r="I339" s="145">
        <f t="shared" si="387"/>
        <v>0</v>
      </c>
      <c r="J339" s="78"/>
      <c r="K339" s="78"/>
      <c r="L339" s="78"/>
      <c r="M339" s="146">
        <f t="shared" si="379"/>
        <v>0</v>
      </c>
      <c r="N339" s="158">
        <f t="shared" si="388"/>
        <v>0</v>
      </c>
      <c r="O339" s="153">
        <f t="shared" si="380"/>
        <v>0</v>
      </c>
      <c r="P339" s="158">
        <f t="shared" si="383"/>
        <v>0</v>
      </c>
      <c r="Q339" s="153">
        <f t="shared" si="381"/>
        <v>0</v>
      </c>
      <c r="R339" s="153">
        <f t="shared" si="381"/>
        <v>0</v>
      </c>
      <c r="S339" s="153">
        <f t="shared" si="381"/>
        <v>0</v>
      </c>
      <c r="T339" s="153">
        <f t="shared" si="382"/>
        <v>0</v>
      </c>
      <c r="U339" s="158">
        <f t="shared" si="384"/>
        <v>0</v>
      </c>
      <c r="V339" s="163">
        <f t="shared" si="385"/>
        <v>0</v>
      </c>
    </row>
    <row r="340" spans="1:25" s="29" customFormat="1" hidden="1">
      <c r="A340" s="98">
        <v>9</v>
      </c>
      <c r="B340" s="99" t="s">
        <v>2501</v>
      </c>
      <c r="C340" s="58">
        <f>SUM(C341:C350)</f>
        <v>0</v>
      </c>
      <c r="D340" s="176">
        <f t="shared" ref="D340:V340" si="389">SUM(D341:D350)</f>
        <v>0</v>
      </c>
      <c r="E340" s="58">
        <f t="shared" si="389"/>
        <v>0</v>
      </c>
      <c r="F340" s="58">
        <f t="shared" si="389"/>
        <v>0</v>
      </c>
      <c r="G340" s="144">
        <f t="shared" si="389"/>
        <v>0</v>
      </c>
      <c r="H340" s="59">
        <f t="shared" si="389"/>
        <v>0</v>
      </c>
      <c r="I340" s="144">
        <f t="shared" si="389"/>
        <v>0</v>
      </c>
      <c r="J340" s="59">
        <f t="shared" si="389"/>
        <v>0</v>
      </c>
      <c r="K340" s="59">
        <f t="shared" si="389"/>
        <v>0</v>
      </c>
      <c r="L340" s="59">
        <f t="shared" si="389"/>
        <v>0</v>
      </c>
      <c r="M340" s="144">
        <f t="shared" si="389"/>
        <v>0</v>
      </c>
      <c r="N340" s="155">
        <f t="shared" si="389"/>
        <v>0</v>
      </c>
      <c r="O340" s="155">
        <f t="shared" si="389"/>
        <v>0</v>
      </c>
      <c r="P340" s="155">
        <f t="shared" si="389"/>
        <v>0</v>
      </c>
      <c r="Q340" s="155">
        <f t="shared" si="389"/>
        <v>0</v>
      </c>
      <c r="R340" s="155">
        <f t="shared" si="389"/>
        <v>0</v>
      </c>
      <c r="S340" s="155">
        <f t="shared" si="389"/>
        <v>0</v>
      </c>
      <c r="T340" s="155">
        <f t="shared" si="389"/>
        <v>0</v>
      </c>
      <c r="U340" s="155">
        <f t="shared" si="389"/>
        <v>0</v>
      </c>
      <c r="V340" s="161">
        <f t="shared" si="389"/>
        <v>0</v>
      </c>
    </row>
    <row r="341" spans="1:25" s="29" customFormat="1" hidden="1">
      <c r="A341" s="100"/>
      <c r="B341" s="101" t="s">
        <v>2906</v>
      </c>
      <c r="C341" s="96"/>
      <c r="D341" s="175"/>
      <c r="E341" s="96"/>
      <c r="F341" s="96"/>
      <c r="G341" s="145">
        <f t="shared" ref="G341:G350" si="390">H341+I341+M341</f>
        <v>0</v>
      </c>
      <c r="H341" s="78"/>
      <c r="I341" s="145">
        <f t="shared" ref="I341:I350" si="391">SUM(J341:L341)</f>
        <v>0</v>
      </c>
      <c r="J341" s="78"/>
      <c r="K341" s="78"/>
      <c r="L341" s="78"/>
      <c r="M341" s="146">
        <f t="shared" ref="M341:M350" si="392">(H341+I341)*1%</f>
        <v>0</v>
      </c>
      <c r="N341" s="158">
        <f t="shared" ref="N341:N350" si="393">O341+P341+T341</f>
        <v>0</v>
      </c>
      <c r="O341" s="153">
        <f t="shared" ref="O341:O350" si="394">(H341/1.3)*1.39</f>
        <v>0</v>
      </c>
      <c r="P341" s="158">
        <f>SUM(Q341:S341)</f>
        <v>0</v>
      </c>
      <c r="Q341" s="153">
        <f t="shared" ref="Q341:S350" si="395">(J341/1.3)*1.39</f>
        <v>0</v>
      </c>
      <c r="R341" s="153">
        <f t="shared" si="395"/>
        <v>0</v>
      </c>
      <c r="S341" s="153">
        <f t="shared" si="395"/>
        <v>0</v>
      </c>
      <c r="T341" s="153">
        <f t="shared" ref="T341:T350" si="396">(O341+P341)*1%</f>
        <v>0</v>
      </c>
      <c r="U341" s="158">
        <f>T341-M341</f>
        <v>0</v>
      </c>
      <c r="V341" s="162">
        <f>U341*6</f>
        <v>0</v>
      </c>
    </row>
    <row r="342" spans="1:25" s="29" customFormat="1" hidden="1">
      <c r="A342" s="100"/>
      <c r="B342" s="101" t="s">
        <v>2907</v>
      </c>
      <c r="C342" s="96"/>
      <c r="D342" s="175"/>
      <c r="E342" s="96"/>
      <c r="F342" s="96"/>
      <c r="G342" s="145">
        <f t="shared" si="390"/>
        <v>0</v>
      </c>
      <c r="H342" s="78"/>
      <c r="I342" s="145">
        <f t="shared" si="391"/>
        <v>0</v>
      </c>
      <c r="J342" s="78"/>
      <c r="K342" s="78"/>
      <c r="L342" s="78"/>
      <c r="M342" s="146">
        <f t="shared" si="392"/>
        <v>0</v>
      </c>
      <c r="N342" s="158">
        <f t="shared" si="393"/>
        <v>0</v>
      </c>
      <c r="O342" s="153">
        <f t="shared" si="394"/>
        <v>0</v>
      </c>
      <c r="P342" s="158">
        <f t="shared" ref="P342:P350" si="397">SUM(Q342:S342)</f>
        <v>0</v>
      </c>
      <c r="Q342" s="153">
        <f t="shared" si="395"/>
        <v>0</v>
      </c>
      <c r="R342" s="153">
        <f t="shared" si="395"/>
        <v>0</v>
      </c>
      <c r="S342" s="153">
        <f t="shared" si="395"/>
        <v>0</v>
      </c>
      <c r="T342" s="153">
        <f t="shared" si="396"/>
        <v>0</v>
      </c>
      <c r="U342" s="158">
        <f t="shared" ref="U342:U350" si="398">T342-M342</f>
        <v>0</v>
      </c>
      <c r="V342" s="162">
        <f t="shared" ref="V342:V350" si="399">U342*6</f>
        <v>0</v>
      </c>
    </row>
    <row r="343" spans="1:25" s="29" customFormat="1" hidden="1">
      <c r="A343" s="100"/>
      <c r="B343" s="101" t="s">
        <v>2908</v>
      </c>
      <c r="C343" s="96"/>
      <c r="D343" s="180"/>
      <c r="E343" s="96"/>
      <c r="F343" s="96"/>
      <c r="G343" s="145">
        <f t="shared" si="390"/>
        <v>0</v>
      </c>
      <c r="H343" s="78"/>
      <c r="I343" s="145">
        <f t="shared" si="391"/>
        <v>0</v>
      </c>
      <c r="J343" s="78"/>
      <c r="K343" s="78"/>
      <c r="L343" s="78"/>
      <c r="M343" s="146">
        <f t="shared" si="392"/>
        <v>0</v>
      </c>
      <c r="N343" s="158">
        <f t="shared" si="393"/>
        <v>0</v>
      </c>
      <c r="O343" s="153">
        <f t="shared" si="394"/>
        <v>0</v>
      </c>
      <c r="P343" s="158">
        <f t="shared" si="397"/>
        <v>0</v>
      </c>
      <c r="Q343" s="153">
        <f t="shared" si="395"/>
        <v>0</v>
      </c>
      <c r="R343" s="153">
        <f t="shared" si="395"/>
        <v>0</v>
      </c>
      <c r="S343" s="153">
        <f t="shared" si="395"/>
        <v>0</v>
      </c>
      <c r="T343" s="153">
        <f t="shared" si="396"/>
        <v>0</v>
      </c>
      <c r="U343" s="158">
        <f t="shared" si="398"/>
        <v>0</v>
      </c>
      <c r="V343" s="162">
        <f t="shared" si="399"/>
        <v>0</v>
      </c>
    </row>
    <row r="344" spans="1:25" s="29" customFormat="1" hidden="1">
      <c r="A344" s="100"/>
      <c r="B344" s="101" t="s">
        <v>2909</v>
      </c>
      <c r="C344" s="96"/>
      <c r="D344" s="175"/>
      <c r="E344" s="96"/>
      <c r="F344" s="96"/>
      <c r="G344" s="145">
        <f t="shared" si="390"/>
        <v>0</v>
      </c>
      <c r="H344" s="78"/>
      <c r="I344" s="145">
        <f t="shared" si="391"/>
        <v>0</v>
      </c>
      <c r="J344" s="78"/>
      <c r="K344" s="78"/>
      <c r="L344" s="78"/>
      <c r="M344" s="146">
        <f t="shared" si="392"/>
        <v>0</v>
      </c>
      <c r="N344" s="158">
        <f t="shared" si="393"/>
        <v>0</v>
      </c>
      <c r="O344" s="153">
        <f t="shared" si="394"/>
        <v>0</v>
      </c>
      <c r="P344" s="158">
        <f t="shared" si="397"/>
        <v>0</v>
      </c>
      <c r="Q344" s="153">
        <f t="shared" si="395"/>
        <v>0</v>
      </c>
      <c r="R344" s="153">
        <f t="shared" si="395"/>
        <v>0</v>
      </c>
      <c r="S344" s="153">
        <f t="shared" si="395"/>
        <v>0</v>
      </c>
      <c r="T344" s="153">
        <f t="shared" si="396"/>
        <v>0</v>
      </c>
      <c r="U344" s="158">
        <f t="shared" si="398"/>
        <v>0</v>
      </c>
      <c r="V344" s="162">
        <f t="shared" si="399"/>
        <v>0</v>
      </c>
    </row>
    <row r="345" spans="1:25" s="29" customFormat="1" hidden="1">
      <c r="A345" s="100"/>
      <c r="B345" s="101" t="s">
        <v>2910</v>
      </c>
      <c r="C345" s="96"/>
      <c r="D345" s="180"/>
      <c r="E345" s="96"/>
      <c r="F345" s="96"/>
      <c r="G345" s="145">
        <f t="shared" si="390"/>
        <v>0</v>
      </c>
      <c r="H345" s="78"/>
      <c r="I345" s="145">
        <f t="shared" si="391"/>
        <v>0</v>
      </c>
      <c r="J345" s="78"/>
      <c r="K345" s="78"/>
      <c r="L345" s="78"/>
      <c r="M345" s="146">
        <f t="shared" si="392"/>
        <v>0</v>
      </c>
      <c r="N345" s="158">
        <f t="shared" si="393"/>
        <v>0</v>
      </c>
      <c r="O345" s="153">
        <f t="shared" si="394"/>
        <v>0</v>
      </c>
      <c r="P345" s="158">
        <f t="shared" si="397"/>
        <v>0</v>
      </c>
      <c r="Q345" s="153">
        <f t="shared" si="395"/>
        <v>0</v>
      </c>
      <c r="R345" s="153">
        <f t="shared" si="395"/>
        <v>0</v>
      </c>
      <c r="S345" s="153">
        <f t="shared" si="395"/>
        <v>0</v>
      </c>
      <c r="T345" s="153">
        <f t="shared" si="396"/>
        <v>0</v>
      </c>
      <c r="U345" s="158">
        <f t="shared" si="398"/>
        <v>0</v>
      </c>
      <c r="V345" s="162">
        <f t="shared" si="399"/>
        <v>0</v>
      </c>
    </row>
    <row r="346" spans="1:25" s="29" customFormat="1" hidden="1">
      <c r="A346" s="100"/>
      <c r="B346" s="101" t="s">
        <v>2911</v>
      </c>
      <c r="C346" s="78"/>
      <c r="D346" s="175"/>
      <c r="E346" s="78"/>
      <c r="F346" s="78"/>
      <c r="G346" s="145">
        <f t="shared" si="390"/>
        <v>0</v>
      </c>
      <c r="H346" s="78"/>
      <c r="I346" s="145">
        <f t="shared" si="391"/>
        <v>0</v>
      </c>
      <c r="J346" s="78"/>
      <c r="K346" s="78"/>
      <c r="L346" s="78"/>
      <c r="M346" s="146">
        <f t="shared" si="392"/>
        <v>0</v>
      </c>
      <c r="N346" s="158">
        <f t="shared" si="393"/>
        <v>0</v>
      </c>
      <c r="O346" s="153">
        <f t="shared" si="394"/>
        <v>0</v>
      </c>
      <c r="P346" s="158">
        <f t="shared" si="397"/>
        <v>0</v>
      </c>
      <c r="Q346" s="153">
        <f t="shared" si="395"/>
        <v>0</v>
      </c>
      <c r="R346" s="153">
        <f t="shared" si="395"/>
        <v>0</v>
      </c>
      <c r="S346" s="153">
        <f t="shared" si="395"/>
        <v>0</v>
      </c>
      <c r="T346" s="153">
        <f t="shared" si="396"/>
        <v>0</v>
      </c>
      <c r="U346" s="158">
        <f t="shared" si="398"/>
        <v>0</v>
      </c>
      <c r="V346" s="162">
        <f t="shared" si="399"/>
        <v>0</v>
      </c>
    </row>
    <row r="347" spans="1:25" s="29" customFormat="1" hidden="1">
      <c r="A347" s="100"/>
      <c r="B347" s="101" t="s">
        <v>2912</v>
      </c>
      <c r="C347" s="96"/>
      <c r="D347" s="180"/>
      <c r="E347" s="96"/>
      <c r="F347" s="96"/>
      <c r="G347" s="145">
        <f t="shared" si="390"/>
        <v>0</v>
      </c>
      <c r="H347" s="78"/>
      <c r="I347" s="145">
        <f t="shared" si="391"/>
        <v>0</v>
      </c>
      <c r="J347" s="78"/>
      <c r="K347" s="78"/>
      <c r="L347" s="78"/>
      <c r="M347" s="146">
        <f t="shared" si="392"/>
        <v>0</v>
      </c>
      <c r="N347" s="158">
        <f t="shared" si="393"/>
        <v>0</v>
      </c>
      <c r="O347" s="153">
        <f t="shared" si="394"/>
        <v>0</v>
      </c>
      <c r="P347" s="158">
        <f t="shared" si="397"/>
        <v>0</v>
      </c>
      <c r="Q347" s="153">
        <f t="shared" si="395"/>
        <v>0</v>
      </c>
      <c r="R347" s="153">
        <f t="shared" si="395"/>
        <v>0</v>
      </c>
      <c r="S347" s="153">
        <f t="shared" si="395"/>
        <v>0</v>
      </c>
      <c r="T347" s="153">
        <f t="shared" si="396"/>
        <v>0</v>
      </c>
      <c r="U347" s="158">
        <f t="shared" si="398"/>
        <v>0</v>
      </c>
      <c r="V347" s="162">
        <f t="shared" si="399"/>
        <v>0</v>
      </c>
    </row>
    <row r="348" spans="1:25" s="29" customFormat="1" hidden="1">
      <c r="A348" s="100"/>
      <c r="B348" s="101" t="s">
        <v>2536</v>
      </c>
      <c r="C348" s="96"/>
      <c r="D348" s="175"/>
      <c r="E348" s="96"/>
      <c r="F348" s="96"/>
      <c r="G348" s="145">
        <f t="shared" si="390"/>
        <v>0</v>
      </c>
      <c r="H348" s="78"/>
      <c r="I348" s="145">
        <f t="shared" si="391"/>
        <v>0</v>
      </c>
      <c r="J348" s="78"/>
      <c r="K348" s="78"/>
      <c r="L348" s="78"/>
      <c r="M348" s="146">
        <f t="shared" si="392"/>
        <v>0</v>
      </c>
      <c r="N348" s="158">
        <f t="shared" si="393"/>
        <v>0</v>
      </c>
      <c r="O348" s="153">
        <f t="shared" si="394"/>
        <v>0</v>
      </c>
      <c r="P348" s="158">
        <f t="shared" si="397"/>
        <v>0</v>
      </c>
      <c r="Q348" s="153">
        <f t="shared" si="395"/>
        <v>0</v>
      </c>
      <c r="R348" s="153">
        <f t="shared" si="395"/>
        <v>0</v>
      </c>
      <c r="S348" s="153">
        <f t="shared" si="395"/>
        <v>0</v>
      </c>
      <c r="T348" s="153">
        <f t="shared" si="396"/>
        <v>0</v>
      </c>
      <c r="U348" s="158">
        <f t="shared" si="398"/>
        <v>0</v>
      </c>
      <c r="V348" s="162">
        <f t="shared" si="399"/>
        <v>0</v>
      </c>
    </row>
    <row r="349" spans="1:25" s="29" customFormat="1" hidden="1">
      <c r="A349" s="100"/>
      <c r="B349" s="101" t="s">
        <v>2537</v>
      </c>
      <c r="C349" s="96"/>
      <c r="D349" s="175"/>
      <c r="E349" s="96"/>
      <c r="F349" s="96"/>
      <c r="G349" s="145">
        <f t="shared" si="390"/>
        <v>0</v>
      </c>
      <c r="H349" s="78"/>
      <c r="I349" s="145">
        <f t="shared" si="391"/>
        <v>0</v>
      </c>
      <c r="J349" s="78"/>
      <c r="K349" s="78"/>
      <c r="L349" s="78"/>
      <c r="M349" s="146">
        <f t="shared" si="392"/>
        <v>0</v>
      </c>
      <c r="N349" s="158">
        <f t="shared" si="393"/>
        <v>0</v>
      </c>
      <c r="O349" s="153">
        <f t="shared" si="394"/>
        <v>0</v>
      </c>
      <c r="P349" s="158">
        <f t="shared" si="397"/>
        <v>0</v>
      </c>
      <c r="Q349" s="153">
        <f t="shared" si="395"/>
        <v>0</v>
      </c>
      <c r="R349" s="153">
        <f t="shared" si="395"/>
        <v>0</v>
      </c>
      <c r="S349" s="153">
        <f t="shared" si="395"/>
        <v>0</v>
      </c>
      <c r="T349" s="153">
        <f t="shared" si="396"/>
        <v>0</v>
      </c>
      <c r="U349" s="158">
        <f t="shared" si="398"/>
        <v>0</v>
      </c>
      <c r="V349" s="162">
        <f t="shared" si="399"/>
        <v>0</v>
      </c>
    </row>
    <row r="350" spans="1:25" s="29" customFormat="1" hidden="1">
      <c r="A350" s="104"/>
      <c r="B350" s="105" t="s">
        <v>2492</v>
      </c>
      <c r="C350" s="106"/>
      <c r="D350" s="181"/>
      <c r="E350" s="106"/>
      <c r="F350" s="106"/>
      <c r="G350" s="151">
        <f t="shared" si="390"/>
        <v>0</v>
      </c>
      <c r="H350" s="107"/>
      <c r="I350" s="151">
        <f t="shared" si="391"/>
        <v>0</v>
      </c>
      <c r="J350" s="107"/>
      <c r="K350" s="107"/>
      <c r="L350" s="107"/>
      <c r="M350" s="152">
        <f t="shared" si="392"/>
        <v>0</v>
      </c>
      <c r="N350" s="164">
        <f t="shared" si="393"/>
        <v>0</v>
      </c>
      <c r="O350" s="164">
        <f t="shared" si="394"/>
        <v>0</v>
      </c>
      <c r="P350" s="165">
        <f t="shared" si="397"/>
        <v>0</v>
      </c>
      <c r="Q350" s="164">
        <f t="shared" si="395"/>
        <v>0</v>
      </c>
      <c r="R350" s="164">
        <f t="shared" si="395"/>
        <v>0</v>
      </c>
      <c r="S350" s="164">
        <f t="shared" si="395"/>
        <v>0</v>
      </c>
      <c r="T350" s="164">
        <f t="shared" si="396"/>
        <v>0</v>
      </c>
      <c r="U350" s="165">
        <f t="shared" si="398"/>
        <v>0</v>
      </c>
      <c r="V350" s="166">
        <f t="shared" si="399"/>
        <v>0</v>
      </c>
    </row>
    <row r="351" spans="1:25" s="73" customFormat="1">
      <c r="A351" s="108"/>
      <c r="B351" s="109"/>
      <c r="C351" s="110"/>
      <c r="D351" s="109"/>
      <c r="E351" s="110"/>
      <c r="F351" s="110"/>
      <c r="G351" s="111"/>
      <c r="H351" s="111"/>
      <c r="I351" s="111"/>
      <c r="J351" s="111"/>
      <c r="K351" s="112"/>
      <c r="L351" s="112"/>
      <c r="M351" s="112"/>
      <c r="N351" s="111"/>
      <c r="O351" s="111"/>
      <c r="P351" s="111"/>
      <c r="Q351" s="111"/>
      <c r="R351" s="112"/>
      <c r="S351" s="112"/>
      <c r="T351" s="112"/>
      <c r="U351" s="112"/>
      <c r="V351" s="112"/>
      <c r="W351" s="72"/>
      <c r="X351" s="72"/>
      <c r="Y351" s="72"/>
    </row>
    <row r="352" spans="1:25" s="73" customFormat="1">
      <c r="B352" s="17" t="s">
        <v>3044</v>
      </c>
      <c r="C352" s="110"/>
      <c r="D352" s="109"/>
      <c r="E352" s="110"/>
      <c r="F352" s="110"/>
      <c r="G352" s="111"/>
      <c r="H352" s="111"/>
      <c r="I352" s="111"/>
      <c r="J352" s="111"/>
      <c r="K352" s="112"/>
      <c r="L352" s="112"/>
      <c r="M352" s="112"/>
      <c r="N352" s="111"/>
      <c r="O352" s="111"/>
      <c r="P352" s="111"/>
      <c r="Q352" s="111"/>
      <c r="R352" s="112"/>
      <c r="S352" s="112"/>
      <c r="T352" s="112"/>
      <c r="U352" s="112"/>
      <c r="V352" s="112"/>
      <c r="W352" s="72"/>
      <c r="X352" s="72"/>
      <c r="Y352" s="72"/>
    </row>
    <row r="353" spans="1:25" s="11" customFormat="1">
      <c r="C353" s="115"/>
      <c r="D353" s="114"/>
      <c r="E353" s="115"/>
      <c r="F353" s="115"/>
      <c r="G353" s="116"/>
      <c r="H353" s="116"/>
      <c r="I353" s="116"/>
      <c r="J353" s="116"/>
      <c r="K353" s="117"/>
      <c r="L353" s="117"/>
      <c r="M353" s="1929" t="s">
        <v>2915</v>
      </c>
      <c r="N353" s="1929"/>
      <c r="O353" s="1929"/>
      <c r="P353" s="1929"/>
      <c r="Q353" s="1929"/>
      <c r="R353" s="1929"/>
      <c r="S353" s="1929"/>
      <c r="T353" s="1929"/>
      <c r="U353" s="1929"/>
      <c r="V353" s="1929"/>
      <c r="W353" s="6"/>
      <c r="X353" s="6"/>
      <c r="Y353" s="6"/>
    </row>
    <row r="354" spans="1:25" s="11" customFormat="1">
      <c r="C354" s="115"/>
      <c r="D354" s="114"/>
      <c r="E354" s="115"/>
      <c r="F354" s="115"/>
      <c r="G354" s="116"/>
      <c r="H354" s="116"/>
      <c r="I354" s="116"/>
      <c r="J354" s="116"/>
      <c r="K354" s="117"/>
      <c r="L354" s="117"/>
      <c r="M354" s="1930" t="s">
        <v>2503</v>
      </c>
      <c r="N354" s="1930"/>
      <c r="O354" s="1930"/>
      <c r="P354" s="1930"/>
      <c r="Q354" s="1930"/>
      <c r="R354" s="1930"/>
      <c r="S354" s="1930"/>
      <c r="T354" s="1930"/>
      <c r="U354" s="1930"/>
      <c r="V354" s="1930"/>
      <c r="W354" s="6"/>
      <c r="X354" s="6"/>
      <c r="Y354" s="6"/>
    </row>
    <row r="355" spans="1:25">
      <c r="A355" s="114"/>
      <c r="B355" s="114"/>
      <c r="C355" s="115"/>
      <c r="D355" s="114"/>
      <c r="E355" s="115"/>
      <c r="F355" s="115"/>
      <c r="G355" s="116"/>
      <c r="H355" s="116"/>
      <c r="I355" s="116"/>
      <c r="J355" s="116"/>
      <c r="K355" s="116"/>
      <c r="L355" s="116"/>
      <c r="M355" s="1931"/>
      <c r="N355" s="1931"/>
      <c r="O355" s="1931"/>
      <c r="P355" s="1931"/>
      <c r="Q355" s="1931"/>
      <c r="R355" s="1931"/>
      <c r="S355" s="1931"/>
      <c r="T355" s="1931"/>
      <c r="U355" s="1931"/>
      <c r="V355" s="1931"/>
    </row>
    <row r="356" spans="1:25">
      <c r="A356" s="1915"/>
      <c r="B356" s="1915"/>
      <c r="C356" s="118"/>
      <c r="D356" s="1156"/>
      <c r="E356" s="118"/>
      <c r="F356" s="118"/>
      <c r="G356" s="119"/>
      <c r="H356" s="119"/>
      <c r="I356" s="119"/>
      <c r="J356" s="119"/>
      <c r="K356" s="119"/>
      <c r="L356" s="119"/>
      <c r="M356" s="119"/>
      <c r="N356" s="119"/>
      <c r="O356" s="119"/>
      <c r="P356" s="119"/>
      <c r="Q356" s="119"/>
      <c r="R356" s="119"/>
      <c r="S356" s="119"/>
      <c r="T356" s="119"/>
      <c r="U356" s="1175"/>
      <c r="V356" s="1175"/>
    </row>
    <row r="357" spans="1:25">
      <c r="A357" s="1915"/>
      <c r="B357" s="1915"/>
      <c r="C357" s="118"/>
      <c r="D357" s="1156"/>
      <c r="E357" s="118"/>
      <c r="F357" s="118"/>
      <c r="G357" s="119"/>
      <c r="H357" s="119"/>
      <c r="I357" s="119"/>
      <c r="J357" s="119"/>
      <c r="K357" s="119"/>
      <c r="L357" s="119"/>
      <c r="M357" s="119"/>
      <c r="N357" s="119"/>
      <c r="O357" s="119"/>
      <c r="P357" s="119"/>
      <c r="Q357" s="119"/>
      <c r="R357" s="119"/>
      <c r="S357" s="119"/>
      <c r="T357" s="119"/>
      <c r="U357" s="1175"/>
      <c r="V357" s="1175"/>
    </row>
    <row r="358" spans="1:25">
      <c r="A358" s="1156"/>
      <c r="B358" s="1156"/>
      <c r="C358" s="118"/>
      <c r="D358" s="1156"/>
      <c r="E358" s="118"/>
      <c r="F358" s="118"/>
      <c r="G358" s="119"/>
      <c r="H358" s="119"/>
      <c r="I358" s="119"/>
      <c r="J358" s="119"/>
      <c r="K358" s="119"/>
      <c r="L358" s="119"/>
      <c r="M358" s="119"/>
      <c r="N358" s="119"/>
      <c r="O358" s="119"/>
      <c r="P358" s="119"/>
      <c r="Q358" s="119"/>
      <c r="R358" s="119"/>
      <c r="S358" s="119"/>
      <c r="T358" s="119"/>
      <c r="U358" s="1175"/>
      <c r="V358" s="1175"/>
    </row>
    <row r="359" spans="1:25">
      <c r="A359" s="1156"/>
      <c r="B359" s="113" t="s">
        <v>2914</v>
      </c>
      <c r="C359" s="109"/>
      <c r="D359" s="1156"/>
      <c r="E359" s="118"/>
      <c r="F359" s="118"/>
      <c r="G359" s="119"/>
      <c r="H359" s="119"/>
      <c r="I359" s="119"/>
      <c r="J359" s="119"/>
      <c r="K359" s="119"/>
      <c r="L359" s="119"/>
      <c r="M359" s="119"/>
      <c r="N359" s="119"/>
      <c r="O359" s="119"/>
      <c r="P359" s="119"/>
      <c r="Q359" s="119"/>
      <c r="R359" s="119"/>
      <c r="S359" s="119"/>
      <c r="T359" s="119"/>
      <c r="U359" s="1175"/>
      <c r="V359" s="1175"/>
    </row>
    <row r="360" spans="1:25">
      <c r="A360" s="1156"/>
      <c r="B360" s="114"/>
      <c r="C360" s="114"/>
      <c r="D360" s="1156"/>
      <c r="E360" s="118"/>
      <c r="F360" s="118"/>
      <c r="G360" s="119"/>
      <c r="H360" s="119"/>
      <c r="I360" s="119"/>
      <c r="J360" s="119"/>
      <c r="K360" s="119"/>
      <c r="L360" s="119"/>
      <c r="M360" s="119"/>
      <c r="N360" s="119"/>
      <c r="O360" s="119"/>
      <c r="P360" s="119"/>
      <c r="Q360" s="119"/>
      <c r="R360" s="119"/>
      <c r="S360" s="119"/>
      <c r="T360" s="119"/>
      <c r="U360" s="1175"/>
      <c r="V360" s="1175"/>
    </row>
    <row r="361" spans="1:25">
      <c r="A361" s="1156"/>
      <c r="B361" s="114"/>
      <c r="C361" s="1158" t="s">
        <v>2916</v>
      </c>
      <c r="D361" s="1156"/>
      <c r="E361" s="118"/>
      <c r="F361" s="118"/>
      <c r="G361" s="119"/>
      <c r="H361" s="119"/>
      <c r="I361" s="119"/>
      <c r="J361" s="119"/>
      <c r="K361" s="119"/>
      <c r="L361" s="119"/>
      <c r="M361" s="119"/>
      <c r="N361" s="119"/>
      <c r="O361" s="119"/>
      <c r="P361" s="119"/>
      <c r="Q361" s="119"/>
      <c r="R361" s="119"/>
      <c r="S361" s="119"/>
      <c r="T361" s="119"/>
      <c r="U361" s="1175"/>
      <c r="V361" s="1175"/>
    </row>
    <row r="362" spans="1:25">
      <c r="A362" s="1156"/>
      <c r="B362" s="1156"/>
      <c r="C362" s="118"/>
      <c r="D362" s="1156"/>
      <c r="E362" s="118"/>
      <c r="F362" s="118"/>
      <c r="G362" s="119"/>
      <c r="H362" s="119"/>
      <c r="I362" s="119"/>
      <c r="J362" s="119"/>
      <c r="K362" s="119"/>
      <c r="L362" s="119"/>
      <c r="M362" s="119"/>
      <c r="N362" s="119"/>
      <c r="O362" s="119"/>
      <c r="P362" s="119"/>
      <c r="Q362" s="119"/>
      <c r="R362" s="119"/>
      <c r="S362" s="119"/>
      <c r="T362" s="119"/>
      <c r="U362" s="1175"/>
      <c r="V362" s="1175"/>
    </row>
    <row r="363" spans="1:25">
      <c r="A363" s="1156"/>
      <c r="B363" s="1156"/>
      <c r="C363" s="118"/>
      <c r="D363" s="1156"/>
      <c r="E363" s="118"/>
      <c r="F363" s="118"/>
      <c r="G363" s="119"/>
      <c r="H363" s="119"/>
      <c r="I363" s="119"/>
      <c r="J363" s="119"/>
      <c r="K363" s="119"/>
      <c r="L363" s="119"/>
      <c r="M363" s="119"/>
      <c r="N363" s="119"/>
      <c r="O363" s="119"/>
      <c r="P363" s="119"/>
      <c r="Q363" s="119"/>
      <c r="R363" s="119"/>
      <c r="S363" s="119"/>
      <c r="T363" s="119"/>
      <c r="U363" s="1175"/>
      <c r="V363" s="1175"/>
    </row>
    <row r="364" spans="1:25">
      <c r="A364" s="1156"/>
      <c r="B364" s="1156"/>
      <c r="C364" s="118"/>
      <c r="D364" s="1156"/>
      <c r="E364" s="118"/>
      <c r="F364" s="118"/>
      <c r="G364" s="119"/>
      <c r="H364" s="119"/>
      <c r="I364" s="119"/>
      <c r="J364" s="119"/>
      <c r="K364" s="119"/>
      <c r="L364" s="119"/>
      <c r="M364" s="119"/>
      <c r="N364" s="119"/>
      <c r="O364" s="119"/>
      <c r="P364" s="119"/>
      <c r="Q364" s="119"/>
      <c r="R364" s="119"/>
      <c r="S364" s="119"/>
      <c r="T364" s="119"/>
      <c r="U364" s="1175"/>
      <c r="V364" s="1175"/>
    </row>
    <row r="365" spans="1:25">
      <c r="A365" s="1156"/>
      <c r="B365" s="1156"/>
      <c r="C365" s="118"/>
      <c r="D365" s="1156"/>
      <c r="E365" s="118"/>
      <c r="F365" s="118"/>
      <c r="G365" s="119"/>
      <c r="H365" s="119"/>
      <c r="I365" s="119"/>
      <c r="J365" s="119"/>
      <c r="K365" s="119"/>
      <c r="L365" s="119"/>
      <c r="M365" s="119"/>
      <c r="N365" s="119"/>
      <c r="O365" s="119"/>
      <c r="P365" s="119"/>
      <c r="Q365" s="119"/>
      <c r="R365" s="119"/>
      <c r="S365" s="119"/>
      <c r="T365" s="119"/>
      <c r="U365" s="1175"/>
      <c r="V365" s="1175"/>
    </row>
    <row r="366" spans="1:25">
      <c r="A366" s="1156"/>
      <c r="B366" s="1156"/>
      <c r="C366" s="118"/>
      <c r="D366" s="1156"/>
      <c r="E366" s="118"/>
      <c r="F366" s="118"/>
      <c r="G366" s="119"/>
      <c r="H366" s="119"/>
      <c r="I366" s="119"/>
      <c r="J366" s="119"/>
      <c r="K366" s="119"/>
      <c r="L366" s="119"/>
      <c r="M366" s="119"/>
      <c r="N366" s="119"/>
      <c r="O366" s="119"/>
      <c r="P366" s="119"/>
      <c r="Q366" s="119"/>
      <c r="R366" s="119"/>
      <c r="S366" s="119"/>
      <c r="T366" s="119"/>
      <c r="U366" s="1175"/>
      <c r="V366" s="1175"/>
    </row>
    <row r="367" spans="1:25">
      <c r="A367" s="1156"/>
      <c r="B367" s="1156"/>
      <c r="C367" s="118"/>
      <c r="D367" s="1156"/>
      <c r="E367" s="118"/>
      <c r="F367" s="118"/>
      <c r="G367" s="119"/>
      <c r="H367" s="119"/>
      <c r="I367" s="119"/>
      <c r="J367" s="119"/>
      <c r="K367" s="119"/>
      <c r="L367" s="119"/>
      <c r="M367" s="119"/>
      <c r="N367" s="119"/>
      <c r="O367" s="119"/>
      <c r="P367" s="119"/>
      <c r="Q367" s="119"/>
      <c r="R367" s="119"/>
      <c r="S367" s="119"/>
      <c r="T367" s="119"/>
      <c r="U367" s="1175"/>
      <c r="V367" s="1175"/>
    </row>
    <row r="368" spans="1:25">
      <c r="A368" s="1156"/>
      <c r="B368" s="1156"/>
      <c r="C368" s="118"/>
      <c r="D368" s="1156"/>
      <c r="E368" s="118"/>
      <c r="F368" s="118"/>
      <c r="G368" s="119"/>
      <c r="H368" s="119"/>
      <c r="I368" s="119"/>
      <c r="J368" s="119"/>
      <c r="K368" s="119"/>
      <c r="L368" s="119"/>
      <c r="M368" s="119"/>
      <c r="N368" s="119"/>
      <c r="O368" s="119"/>
      <c r="P368" s="119"/>
      <c r="Q368" s="119"/>
      <c r="R368" s="119"/>
      <c r="S368" s="119"/>
      <c r="T368" s="119"/>
      <c r="U368" s="1175"/>
      <c r="V368" s="1175"/>
      <c r="W368" s="1171"/>
      <c r="X368" s="1171"/>
      <c r="Y368" s="1171"/>
    </row>
    <row r="369" spans="1:25">
      <c r="A369" s="1156"/>
      <c r="B369" s="1156"/>
      <c r="C369" s="118"/>
      <c r="D369" s="1156"/>
      <c r="E369" s="118"/>
      <c r="F369" s="118"/>
      <c r="G369" s="119"/>
      <c r="H369" s="119"/>
      <c r="I369" s="119"/>
      <c r="J369" s="119"/>
      <c r="K369" s="119"/>
      <c r="L369" s="119"/>
      <c r="M369" s="119"/>
      <c r="N369" s="119"/>
      <c r="O369" s="119"/>
      <c r="P369" s="119"/>
      <c r="Q369" s="119"/>
      <c r="R369" s="119"/>
      <c r="S369" s="119"/>
      <c r="T369" s="119"/>
      <c r="U369" s="1175"/>
      <c r="V369" s="1175"/>
      <c r="W369" s="1171"/>
      <c r="X369" s="1171"/>
      <c r="Y369" s="1171"/>
    </row>
    <row r="370" spans="1:25">
      <c r="A370" s="1156"/>
      <c r="B370" s="1156"/>
      <c r="C370" s="118"/>
      <c r="D370" s="1156"/>
      <c r="E370" s="118"/>
      <c r="F370" s="118"/>
      <c r="G370" s="119"/>
      <c r="H370" s="119"/>
      <c r="I370" s="119"/>
      <c r="J370" s="119"/>
      <c r="K370" s="119"/>
      <c r="L370" s="119"/>
      <c r="M370" s="119"/>
      <c r="N370" s="119"/>
      <c r="O370" s="119"/>
      <c r="P370" s="119"/>
      <c r="Q370" s="119"/>
      <c r="R370" s="119"/>
      <c r="S370" s="119"/>
      <c r="T370" s="119"/>
      <c r="U370" s="1175"/>
      <c r="V370" s="1175"/>
      <c r="W370" s="1171"/>
      <c r="X370" s="1171"/>
      <c r="Y370" s="1171"/>
    </row>
    <row r="371" spans="1:25">
      <c r="A371" s="1156"/>
      <c r="B371" s="1156"/>
      <c r="C371" s="118"/>
      <c r="D371" s="1156"/>
      <c r="E371" s="118"/>
      <c r="F371" s="118"/>
      <c r="G371" s="119"/>
      <c r="H371" s="119"/>
      <c r="I371" s="119"/>
      <c r="J371" s="119"/>
      <c r="K371" s="119"/>
      <c r="L371" s="119"/>
      <c r="M371" s="119"/>
      <c r="N371" s="119"/>
      <c r="O371" s="119"/>
      <c r="P371" s="119"/>
      <c r="Q371" s="119"/>
      <c r="R371" s="119"/>
      <c r="S371" s="119"/>
      <c r="T371" s="119"/>
      <c r="U371" s="1175"/>
      <c r="V371" s="1175"/>
      <c r="W371" s="1171"/>
      <c r="X371" s="1171"/>
      <c r="Y371" s="1171"/>
    </row>
    <row r="372" spans="1:25">
      <c r="A372" s="1156"/>
      <c r="B372" s="1156"/>
      <c r="C372" s="118"/>
      <c r="D372" s="1156"/>
      <c r="E372" s="118"/>
      <c r="F372" s="118"/>
      <c r="G372" s="119"/>
      <c r="H372" s="119"/>
      <c r="I372" s="119"/>
      <c r="J372" s="119"/>
      <c r="K372" s="119"/>
      <c r="L372" s="119"/>
      <c r="M372" s="119"/>
      <c r="N372" s="119"/>
      <c r="O372" s="119"/>
      <c r="P372" s="119"/>
      <c r="Q372" s="119"/>
      <c r="R372" s="119"/>
      <c r="S372" s="119"/>
      <c r="T372" s="119"/>
      <c r="U372" s="1175"/>
      <c r="V372" s="1175"/>
      <c r="W372" s="1171"/>
      <c r="X372" s="1171"/>
      <c r="Y372" s="1171"/>
    </row>
    <row r="373" spans="1:25">
      <c r="A373" s="1156"/>
      <c r="B373" s="1156"/>
      <c r="C373" s="118"/>
      <c r="D373" s="1156"/>
      <c r="E373" s="118"/>
      <c r="F373" s="118"/>
      <c r="G373" s="119"/>
      <c r="H373" s="119"/>
      <c r="I373" s="119"/>
      <c r="J373" s="119"/>
      <c r="K373" s="119"/>
      <c r="L373" s="119"/>
      <c r="M373" s="119"/>
      <c r="N373" s="119"/>
      <c r="O373" s="119"/>
      <c r="P373" s="119"/>
      <c r="Q373" s="119"/>
      <c r="R373" s="119"/>
      <c r="S373" s="119"/>
      <c r="T373" s="119"/>
      <c r="U373" s="1175"/>
      <c r="V373" s="1175"/>
      <c r="W373" s="1171"/>
      <c r="X373" s="1171"/>
      <c r="Y373" s="1171"/>
    </row>
    <row r="374" spans="1:25">
      <c r="A374" s="1156"/>
      <c r="B374" s="1156"/>
      <c r="C374" s="118"/>
      <c r="D374" s="1156"/>
      <c r="E374" s="118"/>
      <c r="F374" s="118"/>
      <c r="G374" s="119"/>
      <c r="H374" s="119"/>
      <c r="I374" s="119"/>
      <c r="J374" s="119"/>
      <c r="K374" s="119"/>
      <c r="L374" s="119"/>
      <c r="M374" s="119"/>
      <c r="N374" s="119"/>
      <c r="O374" s="119"/>
      <c r="P374" s="119"/>
      <c r="Q374" s="119"/>
      <c r="R374" s="119"/>
      <c r="S374" s="119"/>
      <c r="T374" s="119"/>
      <c r="U374" s="1175"/>
      <c r="V374" s="1175"/>
      <c r="W374" s="1171"/>
      <c r="X374" s="1171"/>
      <c r="Y374" s="1171"/>
    </row>
    <row r="375" spans="1:25">
      <c r="A375" s="1156"/>
      <c r="B375" s="1156"/>
      <c r="C375" s="118"/>
      <c r="D375" s="1156"/>
      <c r="E375" s="118"/>
      <c r="F375" s="118"/>
      <c r="G375" s="119"/>
      <c r="H375" s="119"/>
      <c r="I375" s="119"/>
      <c r="J375" s="119"/>
      <c r="K375" s="119"/>
      <c r="L375" s="119"/>
      <c r="M375" s="119"/>
      <c r="N375" s="119"/>
      <c r="O375" s="119"/>
      <c r="P375" s="119"/>
      <c r="Q375" s="119"/>
      <c r="R375" s="119"/>
      <c r="S375" s="119"/>
      <c r="T375" s="119"/>
      <c r="U375" s="1175"/>
      <c r="V375" s="1175"/>
      <c r="W375" s="1171"/>
      <c r="X375" s="1171"/>
      <c r="Y375" s="1171"/>
    </row>
    <row r="376" spans="1:25">
      <c r="A376" s="1156"/>
      <c r="B376" s="1156"/>
      <c r="C376" s="118"/>
      <c r="D376" s="1156"/>
      <c r="E376" s="118"/>
      <c r="F376" s="118"/>
      <c r="G376" s="119"/>
      <c r="H376" s="119"/>
      <c r="I376" s="119"/>
      <c r="J376" s="119"/>
      <c r="K376" s="119"/>
      <c r="L376" s="119"/>
      <c r="M376" s="119"/>
      <c r="N376" s="119"/>
      <c r="O376" s="119"/>
      <c r="P376" s="119"/>
      <c r="Q376" s="119"/>
      <c r="R376" s="119"/>
      <c r="S376" s="119"/>
      <c r="T376" s="119"/>
      <c r="U376" s="1175"/>
      <c r="V376" s="1175"/>
      <c r="W376" s="1171"/>
      <c r="X376" s="1171"/>
      <c r="Y376" s="1171"/>
    </row>
    <row r="377" spans="1:25">
      <c r="A377" s="1156"/>
      <c r="B377" s="1156"/>
      <c r="C377" s="118"/>
      <c r="D377" s="1156"/>
      <c r="E377" s="118"/>
      <c r="F377" s="118"/>
      <c r="G377" s="119"/>
      <c r="H377" s="119"/>
      <c r="I377" s="119"/>
      <c r="J377" s="119"/>
      <c r="K377" s="119"/>
      <c r="L377" s="119"/>
      <c r="M377" s="119"/>
      <c r="N377" s="119"/>
      <c r="O377" s="119"/>
      <c r="P377" s="119"/>
      <c r="Q377" s="119"/>
      <c r="R377" s="119"/>
      <c r="S377" s="119"/>
      <c r="T377" s="119"/>
      <c r="U377" s="1175"/>
      <c r="V377" s="1175"/>
      <c r="W377" s="1171"/>
      <c r="X377" s="1171"/>
      <c r="Y377" s="1171"/>
    </row>
    <row r="378" spans="1:25">
      <c r="A378" s="1156"/>
      <c r="B378" s="1156"/>
      <c r="C378" s="118"/>
      <c r="D378" s="1156"/>
      <c r="E378" s="118"/>
      <c r="F378" s="118"/>
      <c r="G378" s="119"/>
      <c r="H378" s="119"/>
      <c r="I378" s="119"/>
      <c r="J378" s="119"/>
      <c r="K378" s="119"/>
      <c r="L378" s="119"/>
      <c r="M378" s="119"/>
      <c r="N378" s="119"/>
      <c r="O378" s="119"/>
      <c r="P378" s="119"/>
      <c r="Q378" s="119"/>
      <c r="R378" s="119"/>
      <c r="S378" s="119"/>
      <c r="T378" s="119"/>
      <c r="U378" s="1175"/>
      <c r="V378" s="1175"/>
      <c r="W378" s="1171"/>
      <c r="X378" s="1171"/>
      <c r="Y378" s="1171"/>
    </row>
    <row r="379" spans="1:25">
      <c r="A379" s="1156"/>
      <c r="B379" s="1156"/>
      <c r="C379" s="118"/>
      <c r="D379" s="1156"/>
      <c r="E379" s="118"/>
      <c r="F379" s="118"/>
      <c r="G379" s="119"/>
      <c r="H379" s="119"/>
      <c r="I379" s="119"/>
      <c r="J379" s="119"/>
      <c r="K379" s="119"/>
      <c r="L379" s="119"/>
      <c r="M379" s="119"/>
      <c r="N379" s="119"/>
      <c r="O379" s="119"/>
      <c r="P379" s="119"/>
      <c r="Q379" s="119"/>
      <c r="R379" s="119"/>
      <c r="S379" s="119"/>
      <c r="T379" s="119"/>
      <c r="U379" s="1175"/>
      <c r="V379" s="1175"/>
      <c r="W379" s="1171"/>
      <c r="X379" s="1171"/>
      <c r="Y379" s="1171"/>
    </row>
    <row r="380" spans="1:25">
      <c r="A380" s="1156"/>
      <c r="B380" s="1156"/>
      <c r="C380" s="118"/>
      <c r="D380" s="1156"/>
      <c r="E380" s="118"/>
      <c r="F380" s="118"/>
      <c r="G380" s="119"/>
      <c r="H380" s="119"/>
      <c r="I380" s="119"/>
      <c r="J380" s="119"/>
      <c r="K380" s="119"/>
      <c r="L380" s="119"/>
      <c r="M380" s="119"/>
      <c r="N380" s="119"/>
      <c r="O380" s="119"/>
      <c r="P380" s="119"/>
      <c r="Q380" s="119"/>
      <c r="R380" s="119"/>
      <c r="S380" s="119"/>
      <c r="T380" s="119"/>
      <c r="U380" s="1175"/>
      <c r="V380" s="1175"/>
      <c r="W380" s="1171"/>
      <c r="X380" s="1171"/>
      <c r="Y380" s="1171"/>
    </row>
    <row r="381" spans="1:25">
      <c r="A381" s="1156"/>
      <c r="B381" s="1156"/>
      <c r="C381" s="118"/>
      <c r="D381" s="1156"/>
      <c r="E381" s="118"/>
      <c r="F381" s="118"/>
      <c r="G381" s="119"/>
      <c r="H381" s="119"/>
      <c r="I381" s="119"/>
      <c r="J381" s="119"/>
      <c r="K381" s="119"/>
      <c r="L381" s="119"/>
      <c r="M381" s="119"/>
      <c r="N381" s="119"/>
      <c r="O381" s="119"/>
      <c r="P381" s="119"/>
      <c r="Q381" s="119"/>
      <c r="R381" s="119"/>
      <c r="S381" s="119"/>
      <c r="T381" s="119"/>
      <c r="U381" s="1175"/>
      <c r="V381" s="1175"/>
      <c r="W381" s="1171"/>
      <c r="X381" s="1171"/>
      <c r="Y381" s="1171"/>
    </row>
    <row r="382" spans="1:25">
      <c r="A382" s="1156"/>
      <c r="B382" s="1156"/>
      <c r="C382" s="118"/>
      <c r="D382" s="1156"/>
      <c r="E382" s="118"/>
      <c r="F382" s="118"/>
      <c r="G382" s="119"/>
      <c r="H382" s="119"/>
      <c r="I382" s="119"/>
      <c r="J382" s="119"/>
      <c r="K382" s="119"/>
      <c r="L382" s="119"/>
      <c r="M382" s="119"/>
      <c r="N382" s="119"/>
      <c r="O382" s="119"/>
      <c r="P382" s="119"/>
      <c r="Q382" s="119"/>
      <c r="R382" s="119"/>
      <c r="S382" s="119"/>
      <c r="T382" s="119"/>
      <c r="U382" s="1175"/>
      <c r="V382" s="1175"/>
      <c r="W382" s="1171"/>
      <c r="X382" s="1171"/>
      <c r="Y382" s="1171"/>
    </row>
    <row r="383" spans="1:25">
      <c r="A383" s="1156"/>
      <c r="B383" s="1156"/>
      <c r="C383" s="118"/>
      <c r="D383" s="1156"/>
      <c r="E383" s="118"/>
      <c r="F383" s="118"/>
      <c r="G383" s="119"/>
      <c r="H383" s="119"/>
      <c r="I383" s="119"/>
      <c r="J383" s="119"/>
      <c r="K383" s="119"/>
      <c r="L383" s="119"/>
      <c r="M383" s="119"/>
      <c r="N383" s="119"/>
      <c r="O383" s="119"/>
      <c r="P383" s="119"/>
      <c r="Q383" s="119"/>
      <c r="R383" s="119"/>
      <c r="S383" s="119"/>
      <c r="T383" s="119"/>
      <c r="U383" s="1175"/>
      <c r="V383" s="1175"/>
      <c r="W383" s="1171"/>
      <c r="X383" s="1171"/>
      <c r="Y383" s="1171"/>
    </row>
    <row r="384" spans="1:25">
      <c r="A384" s="1156"/>
      <c r="B384" s="1156"/>
      <c r="C384" s="118"/>
      <c r="D384" s="1156"/>
      <c r="E384" s="118"/>
      <c r="F384" s="118"/>
      <c r="G384" s="119"/>
      <c r="H384" s="119"/>
      <c r="I384" s="119"/>
      <c r="J384" s="119"/>
      <c r="K384" s="119"/>
      <c r="L384" s="119"/>
      <c r="M384" s="119"/>
      <c r="N384" s="119"/>
      <c r="O384" s="119"/>
      <c r="P384" s="119"/>
      <c r="Q384" s="119"/>
      <c r="R384" s="119"/>
      <c r="S384" s="119"/>
      <c r="T384" s="119"/>
      <c r="U384" s="1175"/>
      <c r="V384" s="1175"/>
      <c r="W384" s="1171"/>
      <c r="X384" s="1171"/>
      <c r="Y384" s="1171"/>
    </row>
    <row r="385" spans="1:25">
      <c r="A385" s="1156"/>
      <c r="B385" s="1156"/>
      <c r="C385" s="118"/>
      <c r="D385" s="1156"/>
      <c r="E385" s="118"/>
      <c r="F385" s="118"/>
      <c r="G385" s="119"/>
      <c r="H385" s="119"/>
      <c r="I385" s="119"/>
      <c r="J385" s="119"/>
      <c r="K385" s="119"/>
      <c r="L385" s="119"/>
      <c r="M385" s="119"/>
      <c r="N385" s="119"/>
      <c r="O385" s="119"/>
      <c r="P385" s="119"/>
      <c r="Q385" s="119"/>
      <c r="R385" s="119"/>
      <c r="S385" s="119"/>
      <c r="T385" s="119"/>
      <c r="U385" s="1175"/>
      <c r="V385" s="1175"/>
      <c r="W385" s="1171"/>
      <c r="X385" s="1171"/>
      <c r="Y385" s="1171"/>
    </row>
    <row r="386" spans="1:25">
      <c r="A386" s="1156"/>
      <c r="B386" s="1156"/>
      <c r="C386" s="118"/>
      <c r="D386" s="1156"/>
      <c r="E386" s="118"/>
      <c r="F386" s="118"/>
      <c r="G386" s="119"/>
      <c r="H386" s="119"/>
      <c r="I386" s="119"/>
      <c r="J386" s="119"/>
      <c r="K386" s="119"/>
      <c r="L386" s="119"/>
      <c r="M386" s="119"/>
      <c r="N386" s="119"/>
      <c r="O386" s="119"/>
      <c r="P386" s="119"/>
      <c r="Q386" s="119"/>
      <c r="R386" s="119"/>
      <c r="S386" s="119"/>
      <c r="T386" s="119"/>
      <c r="U386" s="1175"/>
      <c r="V386" s="1175"/>
      <c r="W386" s="1171"/>
      <c r="X386" s="1171"/>
      <c r="Y386" s="1171"/>
    </row>
    <row r="387" spans="1:25">
      <c r="A387" s="1156"/>
      <c r="B387" s="1156"/>
      <c r="C387" s="118"/>
      <c r="D387" s="1156"/>
      <c r="E387" s="118"/>
      <c r="F387" s="118"/>
      <c r="G387" s="119"/>
      <c r="H387" s="119"/>
      <c r="I387" s="119"/>
      <c r="J387" s="119"/>
      <c r="K387" s="119"/>
      <c r="L387" s="119"/>
      <c r="M387" s="119"/>
      <c r="N387" s="119"/>
      <c r="O387" s="119"/>
      <c r="P387" s="119"/>
      <c r="Q387" s="119"/>
      <c r="R387" s="119"/>
      <c r="S387" s="119"/>
      <c r="T387" s="119"/>
      <c r="U387" s="1175"/>
      <c r="V387" s="1175"/>
      <c r="W387" s="1171"/>
      <c r="X387" s="1171"/>
      <c r="Y387" s="1171"/>
    </row>
    <row r="388" spans="1:25">
      <c r="A388" s="1156"/>
      <c r="B388" s="1156"/>
      <c r="C388" s="118"/>
      <c r="D388" s="1156"/>
      <c r="E388" s="118"/>
      <c r="F388" s="118"/>
      <c r="G388" s="119"/>
      <c r="H388" s="119"/>
      <c r="I388" s="119"/>
      <c r="J388" s="119"/>
      <c r="K388" s="119"/>
      <c r="L388" s="119"/>
      <c r="M388" s="119"/>
      <c r="N388" s="119"/>
      <c r="O388" s="119"/>
      <c r="P388" s="119"/>
      <c r="Q388" s="119"/>
      <c r="R388" s="119"/>
      <c r="S388" s="119"/>
      <c r="T388" s="119"/>
      <c r="U388" s="1175"/>
      <c r="V388" s="1175"/>
      <c r="W388" s="1171"/>
      <c r="X388" s="1171"/>
      <c r="Y388" s="1171"/>
    </row>
    <row r="389" spans="1:25">
      <c r="A389" s="1156"/>
      <c r="B389" s="1156"/>
      <c r="C389" s="118"/>
      <c r="D389" s="1156"/>
      <c r="E389" s="118"/>
      <c r="F389" s="118"/>
      <c r="G389" s="119"/>
      <c r="H389" s="119"/>
      <c r="I389" s="119"/>
      <c r="J389" s="119"/>
      <c r="K389" s="119"/>
      <c r="L389" s="119"/>
      <c r="M389" s="119"/>
      <c r="N389" s="119"/>
      <c r="O389" s="119"/>
      <c r="P389" s="119"/>
      <c r="Q389" s="119"/>
      <c r="R389" s="119"/>
      <c r="S389" s="119"/>
      <c r="T389" s="119"/>
      <c r="U389" s="1175"/>
      <c r="V389" s="1175"/>
      <c r="W389" s="1171"/>
      <c r="X389" s="1171"/>
      <c r="Y389" s="1171"/>
    </row>
    <row r="390" spans="1:25">
      <c r="A390" s="1156"/>
      <c r="B390" s="1156"/>
      <c r="C390" s="118"/>
      <c r="D390" s="1156"/>
      <c r="E390" s="118"/>
      <c r="F390" s="118"/>
      <c r="G390" s="119"/>
      <c r="H390" s="119"/>
      <c r="I390" s="119"/>
      <c r="J390" s="119"/>
      <c r="K390" s="119"/>
      <c r="L390" s="119"/>
      <c r="M390" s="119"/>
      <c r="N390" s="119"/>
      <c r="O390" s="119"/>
      <c r="P390" s="119"/>
      <c r="Q390" s="119"/>
      <c r="R390" s="119"/>
      <c r="S390" s="119"/>
      <c r="T390" s="119"/>
      <c r="U390" s="1175"/>
      <c r="V390" s="1175"/>
      <c r="W390" s="1171"/>
      <c r="X390" s="1171"/>
      <c r="Y390" s="1171"/>
    </row>
    <row r="391" spans="1:25">
      <c r="A391" s="1156"/>
      <c r="B391" s="1156"/>
      <c r="C391" s="118"/>
      <c r="D391" s="1156"/>
      <c r="E391" s="118"/>
      <c r="F391" s="118"/>
      <c r="G391" s="119"/>
      <c r="H391" s="119"/>
      <c r="I391" s="119"/>
      <c r="J391" s="119"/>
      <c r="K391" s="119"/>
      <c r="L391" s="119"/>
      <c r="M391" s="119"/>
      <c r="N391" s="119"/>
      <c r="O391" s="119"/>
      <c r="P391" s="119"/>
      <c r="Q391" s="119"/>
      <c r="R391" s="119"/>
      <c r="S391" s="119"/>
      <c r="T391" s="119"/>
      <c r="U391" s="1175"/>
      <c r="V391" s="1175"/>
      <c r="W391" s="1171"/>
      <c r="X391" s="1171"/>
      <c r="Y391" s="1171"/>
    </row>
    <row r="392" spans="1:25">
      <c r="A392" s="1156"/>
      <c r="B392" s="1156"/>
      <c r="C392" s="118"/>
      <c r="D392" s="1156"/>
      <c r="E392" s="118"/>
      <c r="F392" s="118"/>
      <c r="G392" s="119"/>
      <c r="H392" s="119"/>
      <c r="I392" s="119"/>
      <c r="J392" s="119"/>
      <c r="K392" s="119"/>
      <c r="L392" s="119"/>
      <c r="M392" s="119"/>
      <c r="N392" s="119"/>
      <c r="O392" s="119"/>
      <c r="P392" s="119"/>
      <c r="Q392" s="119"/>
      <c r="R392" s="119"/>
      <c r="S392" s="119"/>
      <c r="T392" s="119"/>
      <c r="U392" s="1175"/>
      <c r="V392" s="1175"/>
      <c r="W392" s="1171"/>
      <c r="X392" s="1171"/>
      <c r="Y392" s="1171"/>
    </row>
    <row r="393" spans="1:25">
      <c r="A393" s="1156"/>
      <c r="B393" s="1156"/>
      <c r="C393" s="118"/>
      <c r="D393" s="1156"/>
      <c r="E393" s="118"/>
      <c r="F393" s="118"/>
      <c r="G393" s="119"/>
      <c r="H393" s="119"/>
      <c r="I393" s="119"/>
      <c r="J393" s="119"/>
      <c r="K393" s="119"/>
      <c r="L393" s="119"/>
      <c r="M393" s="119"/>
      <c r="N393" s="119"/>
      <c r="O393" s="119"/>
      <c r="P393" s="119"/>
      <c r="Q393" s="119"/>
      <c r="R393" s="119"/>
      <c r="S393" s="119"/>
      <c r="T393" s="119"/>
      <c r="U393" s="1175"/>
      <c r="V393" s="1175"/>
      <c r="W393" s="1171"/>
      <c r="X393" s="1171"/>
      <c r="Y393" s="1171"/>
    </row>
    <row r="394" spans="1:25">
      <c r="A394" s="1156"/>
      <c r="B394" s="1156"/>
      <c r="C394" s="118"/>
      <c r="D394" s="1156"/>
      <c r="E394" s="118"/>
      <c r="F394" s="118"/>
      <c r="G394" s="119"/>
      <c r="H394" s="119"/>
      <c r="I394" s="119"/>
      <c r="J394" s="119"/>
      <c r="K394" s="119"/>
      <c r="L394" s="119"/>
      <c r="M394" s="119"/>
      <c r="N394" s="119"/>
      <c r="O394" s="119"/>
      <c r="P394" s="119"/>
      <c r="Q394" s="119"/>
      <c r="R394" s="119"/>
      <c r="S394" s="119"/>
      <c r="T394" s="119"/>
      <c r="U394" s="1175"/>
      <c r="V394" s="1175"/>
      <c r="W394" s="1171"/>
      <c r="X394" s="1171"/>
      <c r="Y394" s="1171"/>
    </row>
    <row r="395" spans="1:25">
      <c r="A395" s="1156"/>
      <c r="B395" s="1156"/>
      <c r="C395" s="118"/>
      <c r="D395" s="1156"/>
      <c r="E395" s="118"/>
      <c r="F395" s="118"/>
      <c r="G395" s="119"/>
      <c r="H395" s="119"/>
      <c r="I395" s="119"/>
      <c r="J395" s="119"/>
      <c r="K395" s="119"/>
      <c r="L395" s="119"/>
      <c r="M395" s="119"/>
      <c r="N395" s="119"/>
      <c r="O395" s="119"/>
      <c r="P395" s="119"/>
      <c r="Q395" s="119"/>
      <c r="R395" s="119"/>
      <c r="S395" s="119"/>
      <c r="T395" s="119"/>
      <c r="U395" s="1175"/>
      <c r="V395" s="1175"/>
      <c r="W395" s="1171"/>
      <c r="X395" s="1171"/>
      <c r="Y395" s="1171"/>
    </row>
    <row r="396" spans="1:25">
      <c r="A396" s="1156"/>
      <c r="B396" s="1156"/>
      <c r="C396" s="118"/>
      <c r="D396" s="1156"/>
      <c r="E396" s="118"/>
      <c r="F396" s="118"/>
      <c r="G396" s="119"/>
      <c r="H396" s="119"/>
      <c r="I396" s="119"/>
      <c r="J396" s="119"/>
      <c r="K396" s="119"/>
      <c r="L396" s="119"/>
      <c r="M396" s="119"/>
      <c r="N396" s="119"/>
      <c r="O396" s="119"/>
      <c r="P396" s="119"/>
      <c r="Q396" s="119"/>
      <c r="R396" s="119"/>
      <c r="S396" s="119"/>
      <c r="T396" s="119"/>
      <c r="U396" s="1175"/>
      <c r="V396" s="1175"/>
      <c r="W396" s="1171"/>
      <c r="X396" s="1171"/>
      <c r="Y396" s="1171"/>
    </row>
    <row r="397" spans="1:25">
      <c r="A397" s="1156"/>
      <c r="B397" s="1156"/>
      <c r="C397" s="118"/>
      <c r="D397" s="1156"/>
      <c r="E397" s="118"/>
      <c r="F397" s="118"/>
      <c r="G397" s="119"/>
      <c r="H397" s="119"/>
      <c r="I397" s="119"/>
      <c r="J397" s="119"/>
      <c r="K397" s="119"/>
      <c r="L397" s="119"/>
      <c r="M397" s="119"/>
      <c r="N397" s="119"/>
      <c r="O397" s="119"/>
      <c r="P397" s="119"/>
      <c r="Q397" s="119"/>
      <c r="R397" s="119"/>
      <c r="S397" s="119"/>
      <c r="T397" s="119"/>
      <c r="U397" s="1175"/>
      <c r="V397" s="1175"/>
      <c r="W397" s="1171"/>
      <c r="X397" s="1171"/>
      <c r="Y397" s="1171"/>
    </row>
    <row r="398" spans="1:25">
      <c r="A398" s="1156"/>
      <c r="B398" s="1156"/>
      <c r="C398" s="118"/>
      <c r="D398" s="1156"/>
      <c r="E398" s="118"/>
      <c r="F398" s="118"/>
      <c r="G398" s="119"/>
      <c r="H398" s="119"/>
      <c r="I398" s="119"/>
      <c r="J398" s="119"/>
      <c r="K398" s="119"/>
      <c r="L398" s="119"/>
      <c r="M398" s="119"/>
      <c r="N398" s="119"/>
      <c r="O398" s="119"/>
      <c r="P398" s="119"/>
      <c r="Q398" s="119"/>
      <c r="R398" s="119"/>
      <c r="S398" s="119"/>
      <c r="T398" s="119"/>
      <c r="U398" s="1175"/>
      <c r="V398" s="1175"/>
      <c r="W398" s="1171"/>
      <c r="X398" s="1171"/>
      <c r="Y398" s="1171"/>
    </row>
    <row r="399" spans="1:25">
      <c r="A399" s="1156"/>
      <c r="B399" s="1156"/>
      <c r="C399" s="118"/>
      <c r="D399" s="1156"/>
      <c r="E399" s="118"/>
      <c r="F399" s="118"/>
      <c r="G399" s="119"/>
      <c r="H399" s="119"/>
      <c r="I399" s="119"/>
      <c r="J399" s="119"/>
      <c r="K399" s="119"/>
      <c r="L399" s="119"/>
      <c r="M399" s="119"/>
      <c r="N399" s="119"/>
      <c r="O399" s="119"/>
      <c r="P399" s="119"/>
      <c r="Q399" s="119"/>
      <c r="R399" s="119"/>
      <c r="S399" s="119"/>
      <c r="T399" s="119"/>
      <c r="U399" s="1175"/>
      <c r="V399" s="1175"/>
      <c r="W399" s="1171"/>
      <c r="X399" s="1171"/>
      <c r="Y399" s="1171"/>
    </row>
    <row r="400" spans="1:25">
      <c r="A400" s="1156"/>
      <c r="B400" s="1156"/>
      <c r="C400" s="118"/>
      <c r="D400" s="1156"/>
      <c r="E400" s="118"/>
      <c r="F400" s="118"/>
      <c r="G400" s="119"/>
      <c r="H400" s="119"/>
      <c r="I400" s="119"/>
      <c r="J400" s="119"/>
      <c r="K400" s="119"/>
      <c r="L400" s="119"/>
      <c r="M400" s="119"/>
      <c r="N400" s="119"/>
      <c r="O400" s="119"/>
      <c r="P400" s="119"/>
      <c r="Q400" s="119"/>
      <c r="R400" s="119"/>
      <c r="S400" s="119"/>
      <c r="T400" s="119"/>
      <c r="U400" s="1175"/>
      <c r="V400" s="1175"/>
      <c r="W400" s="1171"/>
      <c r="X400" s="1171"/>
      <c r="Y400" s="1171"/>
    </row>
    <row r="401" spans="1:25">
      <c r="A401" s="1156"/>
      <c r="B401" s="1156"/>
      <c r="C401" s="118"/>
      <c r="D401" s="1156"/>
      <c r="E401" s="118"/>
      <c r="F401" s="118"/>
      <c r="G401" s="119"/>
      <c r="H401" s="119"/>
      <c r="I401" s="119"/>
      <c r="J401" s="119"/>
      <c r="K401" s="119"/>
      <c r="L401" s="119"/>
      <c r="M401" s="119"/>
      <c r="N401" s="119"/>
      <c r="O401" s="119"/>
      <c r="P401" s="119"/>
      <c r="Q401" s="119"/>
      <c r="R401" s="119"/>
      <c r="S401" s="119"/>
      <c r="T401" s="119"/>
      <c r="U401" s="1175"/>
      <c r="V401" s="1175"/>
      <c r="W401" s="1171"/>
      <c r="X401" s="1171"/>
      <c r="Y401" s="1171"/>
    </row>
    <row r="402" spans="1:25">
      <c r="A402" s="1156"/>
      <c r="B402" s="1156"/>
      <c r="C402" s="118"/>
      <c r="D402" s="1156"/>
      <c r="E402" s="118"/>
      <c r="F402" s="118"/>
      <c r="G402" s="119"/>
      <c r="H402" s="119"/>
      <c r="I402" s="119"/>
      <c r="J402" s="119"/>
      <c r="K402" s="119"/>
      <c r="L402" s="119"/>
      <c r="M402" s="119"/>
      <c r="N402" s="119"/>
      <c r="O402" s="119"/>
      <c r="P402" s="119"/>
      <c r="Q402" s="119"/>
      <c r="R402" s="119"/>
      <c r="S402" s="119"/>
      <c r="T402" s="119"/>
      <c r="U402" s="1175"/>
      <c r="V402" s="1175"/>
      <c r="W402" s="1171"/>
      <c r="X402" s="1171"/>
      <c r="Y402" s="1171"/>
    </row>
    <row r="403" spans="1:25">
      <c r="A403" s="1156"/>
      <c r="B403" s="1156"/>
      <c r="C403" s="118"/>
      <c r="D403" s="1156"/>
      <c r="E403" s="118"/>
      <c r="F403" s="118"/>
      <c r="G403" s="119"/>
      <c r="H403" s="119"/>
      <c r="I403" s="119"/>
      <c r="J403" s="119"/>
      <c r="K403" s="119"/>
      <c r="L403" s="119"/>
      <c r="M403" s="119"/>
      <c r="N403" s="119"/>
      <c r="O403" s="119"/>
      <c r="P403" s="119"/>
      <c r="Q403" s="119"/>
      <c r="R403" s="119"/>
      <c r="S403" s="119"/>
      <c r="T403" s="119"/>
      <c r="U403" s="1175"/>
      <c r="V403" s="1175"/>
      <c r="W403" s="1171"/>
      <c r="X403" s="1171"/>
      <c r="Y403" s="1171"/>
    </row>
    <row r="404" spans="1:25">
      <c r="A404" s="1156"/>
      <c r="B404" s="1156"/>
      <c r="C404" s="118"/>
      <c r="D404" s="1156"/>
      <c r="E404" s="118"/>
      <c r="F404" s="118"/>
      <c r="G404" s="119"/>
      <c r="H404" s="119"/>
      <c r="I404" s="119"/>
      <c r="J404" s="119"/>
      <c r="K404" s="119"/>
      <c r="L404" s="119"/>
      <c r="M404" s="119"/>
      <c r="N404" s="119"/>
      <c r="O404" s="119"/>
      <c r="P404" s="119"/>
      <c r="Q404" s="119"/>
      <c r="R404" s="119"/>
      <c r="S404" s="119"/>
      <c r="T404" s="119"/>
      <c r="U404" s="1175"/>
      <c r="V404" s="1175"/>
      <c r="W404" s="1171"/>
      <c r="X404" s="1171"/>
      <c r="Y404" s="1171"/>
    </row>
    <row r="405" spans="1:25">
      <c r="A405" s="1156"/>
      <c r="B405" s="1156"/>
      <c r="C405" s="118"/>
      <c r="D405" s="1156"/>
      <c r="E405" s="118"/>
      <c r="F405" s="118"/>
      <c r="G405" s="119"/>
      <c r="H405" s="119"/>
      <c r="I405" s="119"/>
      <c r="J405" s="119"/>
      <c r="K405" s="119"/>
      <c r="L405" s="119"/>
      <c r="M405" s="119"/>
      <c r="N405" s="119"/>
      <c r="O405" s="119"/>
      <c r="P405" s="119"/>
      <c r="Q405" s="119"/>
      <c r="R405" s="119"/>
      <c r="S405" s="119"/>
      <c r="T405" s="119"/>
      <c r="U405" s="1175"/>
      <c r="V405" s="1175"/>
      <c r="W405" s="1171"/>
      <c r="X405" s="1171"/>
      <c r="Y405" s="1171"/>
    </row>
    <row r="406" spans="1:25">
      <c r="A406" s="1156"/>
      <c r="B406" s="1156"/>
      <c r="C406" s="118"/>
      <c r="D406" s="1156"/>
      <c r="E406" s="118"/>
      <c r="F406" s="118"/>
      <c r="G406" s="119"/>
      <c r="H406" s="119"/>
      <c r="I406" s="119"/>
      <c r="J406" s="119"/>
      <c r="K406" s="119"/>
      <c r="L406" s="119"/>
      <c r="M406" s="119"/>
      <c r="N406" s="119"/>
      <c r="O406" s="119"/>
      <c r="P406" s="119"/>
      <c r="Q406" s="119"/>
      <c r="R406" s="119"/>
      <c r="S406" s="119"/>
      <c r="T406" s="119"/>
      <c r="U406" s="1175"/>
      <c r="V406" s="1175"/>
      <c r="W406" s="1171"/>
      <c r="X406" s="1171"/>
      <c r="Y406" s="1171"/>
    </row>
    <row r="407" spans="1:25">
      <c r="A407" s="1156"/>
      <c r="B407" s="1156"/>
      <c r="C407" s="118"/>
      <c r="D407" s="1156"/>
      <c r="E407" s="118"/>
      <c r="F407" s="118"/>
      <c r="G407" s="119"/>
      <c r="H407" s="119"/>
      <c r="I407" s="119"/>
      <c r="J407" s="119"/>
      <c r="K407" s="119"/>
      <c r="L407" s="119"/>
      <c r="M407" s="119"/>
      <c r="N407" s="119"/>
      <c r="O407" s="119"/>
      <c r="P407" s="119"/>
      <c r="Q407" s="119"/>
      <c r="R407" s="119"/>
      <c r="S407" s="119"/>
      <c r="T407" s="119"/>
      <c r="U407" s="1175"/>
      <c r="V407" s="1175"/>
      <c r="W407" s="1171"/>
      <c r="X407" s="1171"/>
      <c r="Y407" s="1171"/>
    </row>
    <row r="408" spans="1:25">
      <c r="A408" s="1156"/>
      <c r="B408" s="1156"/>
      <c r="C408" s="118"/>
      <c r="D408" s="1156"/>
      <c r="E408" s="118"/>
      <c r="F408" s="118"/>
      <c r="G408" s="119"/>
      <c r="H408" s="119"/>
      <c r="I408" s="119"/>
      <c r="J408" s="119"/>
      <c r="K408" s="119"/>
      <c r="L408" s="119"/>
      <c r="M408" s="119"/>
      <c r="N408" s="119"/>
      <c r="O408" s="119"/>
      <c r="P408" s="119"/>
      <c r="Q408" s="119"/>
      <c r="R408" s="119"/>
      <c r="S408" s="119"/>
      <c r="T408" s="119"/>
      <c r="U408" s="1175"/>
      <c r="V408" s="1175"/>
      <c r="W408" s="1171"/>
      <c r="X408" s="1171"/>
      <c r="Y408" s="1171"/>
    </row>
    <row r="409" spans="1:25">
      <c r="A409" s="1156"/>
      <c r="B409" s="1156"/>
      <c r="C409" s="118"/>
      <c r="D409" s="1156"/>
      <c r="E409" s="118"/>
      <c r="F409" s="118"/>
      <c r="G409" s="119"/>
      <c r="H409" s="119"/>
      <c r="I409" s="119"/>
      <c r="J409" s="119"/>
      <c r="K409" s="119"/>
      <c r="L409" s="119"/>
      <c r="M409" s="119"/>
      <c r="N409" s="119"/>
      <c r="O409" s="119"/>
      <c r="P409" s="119"/>
      <c r="Q409" s="119"/>
      <c r="R409" s="119"/>
      <c r="S409" s="119"/>
      <c r="T409" s="119"/>
      <c r="U409" s="1175"/>
      <c r="V409" s="1175"/>
      <c r="W409" s="1171"/>
      <c r="X409" s="1171"/>
      <c r="Y409" s="1171"/>
    </row>
    <row r="410" spans="1:25">
      <c r="A410" s="1156"/>
      <c r="B410" s="1156"/>
      <c r="C410" s="118"/>
      <c r="D410" s="1156"/>
      <c r="E410" s="118"/>
      <c r="F410" s="118"/>
      <c r="G410" s="119"/>
      <c r="H410" s="119"/>
      <c r="I410" s="119"/>
      <c r="J410" s="119"/>
      <c r="K410" s="119"/>
      <c r="L410" s="119"/>
      <c r="M410" s="119"/>
      <c r="N410" s="119"/>
      <c r="O410" s="119"/>
      <c r="P410" s="119"/>
      <c r="Q410" s="119"/>
      <c r="R410" s="119"/>
      <c r="S410" s="119"/>
      <c r="T410" s="119"/>
      <c r="U410" s="1175"/>
      <c r="V410" s="1175"/>
      <c r="W410" s="1171"/>
      <c r="X410" s="1171"/>
      <c r="Y410" s="1171"/>
    </row>
    <row r="411" spans="1:25">
      <c r="A411" s="1156"/>
      <c r="B411" s="1156"/>
      <c r="C411" s="118"/>
      <c r="D411" s="1156"/>
      <c r="E411" s="118"/>
      <c r="F411" s="118"/>
      <c r="G411" s="119"/>
      <c r="H411" s="119"/>
      <c r="I411" s="119"/>
      <c r="J411" s="119"/>
      <c r="K411" s="119"/>
      <c r="L411" s="119"/>
      <c r="M411" s="119"/>
      <c r="N411" s="119"/>
      <c r="O411" s="119"/>
      <c r="P411" s="119"/>
      <c r="Q411" s="119"/>
      <c r="R411" s="119"/>
      <c r="S411" s="119"/>
      <c r="T411" s="119"/>
      <c r="U411" s="1175"/>
      <c r="V411" s="1175"/>
      <c r="W411" s="1171"/>
      <c r="X411" s="1171"/>
      <c r="Y411" s="1171"/>
    </row>
    <row r="412" spans="1:25">
      <c r="A412" s="1156"/>
      <c r="B412" s="1156"/>
      <c r="C412" s="118"/>
      <c r="D412" s="1156"/>
      <c r="E412" s="118"/>
      <c r="F412" s="118"/>
      <c r="G412" s="119"/>
      <c r="H412" s="119"/>
      <c r="I412" s="119"/>
      <c r="J412" s="119"/>
      <c r="K412" s="119"/>
      <c r="L412" s="119"/>
      <c r="M412" s="119"/>
      <c r="N412" s="119"/>
      <c r="O412" s="119"/>
      <c r="P412" s="119"/>
      <c r="Q412" s="119"/>
      <c r="R412" s="119"/>
      <c r="S412" s="119"/>
      <c r="T412" s="119"/>
      <c r="U412" s="1175"/>
      <c r="V412" s="1175"/>
      <c r="W412" s="1171"/>
      <c r="X412" s="1171"/>
      <c r="Y412" s="1171"/>
    </row>
    <row r="413" spans="1:25">
      <c r="A413" s="1156"/>
      <c r="B413" s="1156"/>
      <c r="C413" s="118"/>
      <c r="D413" s="1156"/>
      <c r="E413" s="118"/>
      <c r="F413" s="118"/>
      <c r="G413" s="119"/>
      <c r="H413" s="119"/>
      <c r="I413" s="119"/>
      <c r="J413" s="119"/>
      <c r="K413" s="119"/>
      <c r="L413" s="119"/>
      <c r="M413" s="119"/>
      <c r="N413" s="119"/>
      <c r="O413" s="119"/>
      <c r="P413" s="119"/>
      <c r="Q413" s="119"/>
      <c r="R413" s="119"/>
      <c r="S413" s="119"/>
      <c r="T413" s="119"/>
      <c r="U413" s="1175"/>
      <c r="V413" s="1175"/>
      <c r="W413" s="1171"/>
      <c r="X413" s="1171"/>
      <c r="Y413" s="1171"/>
    </row>
    <row r="414" spans="1:25">
      <c r="A414" s="1156"/>
      <c r="B414" s="1156"/>
      <c r="C414" s="118"/>
      <c r="D414" s="1156"/>
      <c r="E414" s="118"/>
      <c r="F414" s="118"/>
      <c r="G414" s="119"/>
      <c r="H414" s="119"/>
      <c r="I414" s="119"/>
      <c r="J414" s="119"/>
      <c r="K414" s="119"/>
      <c r="L414" s="119"/>
      <c r="M414" s="119"/>
      <c r="N414" s="119"/>
      <c r="O414" s="119"/>
      <c r="P414" s="119"/>
      <c r="Q414" s="119"/>
      <c r="R414" s="119"/>
      <c r="S414" s="119"/>
      <c r="T414" s="119"/>
      <c r="U414" s="1175"/>
      <c r="V414" s="1175"/>
      <c r="W414" s="1171"/>
      <c r="X414" s="1171"/>
      <c r="Y414" s="1171"/>
    </row>
    <row r="415" spans="1:25">
      <c r="A415" s="1156"/>
      <c r="B415" s="1156"/>
      <c r="C415" s="118"/>
      <c r="D415" s="1156"/>
      <c r="E415" s="118"/>
      <c r="F415" s="118"/>
      <c r="G415" s="119"/>
      <c r="H415" s="119"/>
      <c r="I415" s="119"/>
      <c r="J415" s="119"/>
      <c r="K415" s="119"/>
      <c r="L415" s="119"/>
      <c r="M415" s="119"/>
      <c r="N415" s="119"/>
      <c r="O415" s="119"/>
      <c r="P415" s="119"/>
      <c r="Q415" s="119"/>
      <c r="R415" s="119"/>
      <c r="S415" s="119"/>
      <c r="T415" s="119"/>
      <c r="U415" s="1175"/>
      <c r="V415" s="1175"/>
      <c r="W415" s="1171"/>
      <c r="X415" s="1171"/>
      <c r="Y415" s="1171"/>
    </row>
  </sheetData>
  <sheetProtection formatCells="0" formatColumns="0" formatRows="0" insertRows="0"/>
  <mergeCells count="31">
    <mergeCell ref="A7:A9"/>
    <mergeCell ref="B7:B9"/>
    <mergeCell ref="C7:D7"/>
    <mergeCell ref="E7:E9"/>
    <mergeCell ref="F7:F9"/>
    <mergeCell ref="C8:C9"/>
    <mergeCell ref="D8:D9"/>
    <mergeCell ref="A1:B1"/>
    <mergeCell ref="A2:B2"/>
    <mergeCell ref="A4:V4"/>
    <mergeCell ref="A5:V5"/>
    <mergeCell ref="U6:V6"/>
    <mergeCell ref="G8:G9"/>
    <mergeCell ref="H8:H9"/>
    <mergeCell ref="I8:I9"/>
    <mergeCell ref="T8:T9"/>
    <mergeCell ref="G7:M7"/>
    <mergeCell ref="N7:T7"/>
    <mergeCell ref="U7:U9"/>
    <mergeCell ref="V7:V9"/>
    <mergeCell ref="J8:L8"/>
    <mergeCell ref="M8:M9"/>
    <mergeCell ref="N8:N9"/>
    <mergeCell ref="O8:O9"/>
    <mergeCell ref="P8:P9"/>
    <mergeCell ref="Q8:S8"/>
    <mergeCell ref="M353:V353"/>
    <mergeCell ref="M354:V354"/>
    <mergeCell ref="M355:V355"/>
    <mergeCell ref="A356:B356"/>
    <mergeCell ref="A357:B357"/>
  </mergeCells>
  <pageMargins left="0.71" right="0.21" top="0.2" bottom="0.16" header="0.17" footer="0.19"/>
  <pageSetup paperSize="9" scale="45" orientation="landscape" r:id="rId1"/>
  <colBreaks count="1" manualBreakCount="1">
    <brk id="22"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V347"/>
  <sheetViews>
    <sheetView showZeros="0" zoomScale="85" zoomScaleNormal="85" workbookViewId="0">
      <selection activeCell="E18" sqref="E18"/>
    </sheetView>
  </sheetViews>
  <sheetFormatPr defaultColWidth="9.140625" defaultRowHeight="15.75"/>
  <cols>
    <col min="1" max="1" width="5.7109375" style="285" customWidth="1"/>
    <col min="2" max="2" width="45.85546875" style="306" customWidth="1"/>
    <col min="3" max="3" width="14.140625" style="274" customWidth="1"/>
    <col min="4" max="4" width="15.85546875" style="275" customWidth="1"/>
    <col min="5" max="5" width="18.140625" style="275" customWidth="1"/>
    <col min="6" max="6" width="15.28515625" style="275" customWidth="1"/>
    <col min="7" max="7" width="14.7109375" style="275" customWidth="1"/>
    <col min="8" max="11" width="14.7109375" style="275" hidden="1" customWidth="1"/>
    <col min="12" max="12" width="0" style="277" hidden="1" customWidth="1"/>
    <col min="13" max="13" width="9.42578125" style="275" hidden="1" customWidth="1"/>
    <col min="14" max="16384" width="9.140625" style="277"/>
  </cols>
  <sheetData>
    <row r="1" spans="1:22">
      <c r="A1" s="1961" t="s">
        <v>3058</v>
      </c>
      <c r="B1" s="1961"/>
      <c r="G1" s="276" t="s">
        <v>3047</v>
      </c>
      <c r="H1" s="276"/>
      <c r="I1" s="276"/>
      <c r="J1" s="276"/>
      <c r="K1" s="276"/>
    </row>
    <row r="2" spans="1:22">
      <c r="A2" s="1961"/>
      <c r="B2" s="1961"/>
    </row>
    <row r="3" spans="1:22" ht="44.25" customHeight="1">
      <c r="A3" s="1962" t="s">
        <v>3048</v>
      </c>
      <c r="B3" s="1962"/>
      <c r="C3" s="1962"/>
      <c r="D3" s="1962"/>
      <c r="E3" s="1962"/>
      <c r="F3" s="1962"/>
      <c r="G3" s="1962"/>
      <c r="H3" s="1160"/>
      <c r="I3" s="1160"/>
      <c r="J3" s="1160"/>
      <c r="K3" s="1160"/>
    </row>
    <row r="4" spans="1:22">
      <c r="A4" s="1963" t="s">
        <v>1</v>
      </c>
      <c r="B4" s="1963"/>
      <c r="C4" s="1963"/>
      <c r="D4" s="1963"/>
      <c r="E4" s="1963"/>
      <c r="F4" s="1963"/>
      <c r="G4" s="1963"/>
      <c r="H4" s="1155"/>
      <c r="I4" s="1155"/>
      <c r="J4" s="1155"/>
      <c r="K4" s="1155"/>
    </row>
    <row r="5" spans="1:22">
      <c r="A5" s="1155"/>
      <c r="B5" s="278"/>
    </row>
    <row r="6" spans="1:22">
      <c r="A6" s="1155"/>
      <c r="B6" s="278"/>
      <c r="G6" s="279" t="s">
        <v>2220</v>
      </c>
      <c r="H6" s="279"/>
      <c r="I6" s="279"/>
      <c r="J6" s="279"/>
      <c r="K6" s="279"/>
    </row>
    <row r="7" spans="1:22" ht="64.5" customHeight="1">
      <c r="A7" s="1964" t="s">
        <v>3</v>
      </c>
      <c r="B7" s="1966" t="s">
        <v>28</v>
      </c>
      <c r="C7" s="1875" t="s">
        <v>3049</v>
      </c>
      <c r="D7" s="1968" t="s">
        <v>3050</v>
      </c>
      <c r="E7" s="1968"/>
      <c r="F7" s="1968"/>
      <c r="G7" s="1968"/>
      <c r="H7" s="280" t="s">
        <v>3059</v>
      </c>
      <c r="I7" s="280"/>
      <c r="J7" s="280"/>
      <c r="K7" s="280"/>
    </row>
    <row r="8" spans="1:22" ht="14.45" customHeight="1">
      <c r="A8" s="1965"/>
      <c r="B8" s="1967"/>
      <c r="C8" s="1876"/>
      <c r="D8" s="1969" t="s">
        <v>2509</v>
      </c>
      <c r="E8" s="1969" t="s">
        <v>3051</v>
      </c>
      <c r="F8" s="1969" t="s">
        <v>3052</v>
      </c>
      <c r="G8" s="1969" t="s">
        <v>3053</v>
      </c>
      <c r="H8" s="281"/>
      <c r="I8" s="281"/>
      <c r="J8" s="281"/>
      <c r="K8" s="281"/>
    </row>
    <row r="9" spans="1:22" ht="90.6" customHeight="1">
      <c r="A9" s="1965"/>
      <c r="B9" s="1967"/>
      <c r="C9" s="1876"/>
      <c r="D9" s="1969"/>
      <c r="E9" s="1969"/>
      <c r="F9" s="1969"/>
      <c r="G9" s="1969"/>
      <c r="H9" s="281"/>
      <c r="I9" s="281"/>
      <c r="J9" s="281"/>
      <c r="K9" s="281"/>
    </row>
    <row r="10" spans="1:22" s="285" customFormat="1">
      <c r="A10" s="282">
        <v>1</v>
      </c>
      <c r="B10" s="282" t="s">
        <v>140</v>
      </c>
      <c r="C10" s="283">
        <v>3</v>
      </c>
      <c r="D10" s="283" t="s">
        <v>3054</v>
      </c>
      <c r="E10" s="283">
        <v>5</v>
      </c>
      <c r="F10" s="283" t="s">
        <v>191</v>
      </c>
      <c r="G10" s="283">
        <v>7</v>
      </c>
      <c r="H10" s="284"/>
      <c r="I10" s="284"/>
      <c r="J10" s="284"/>
      <c r="K10" s="284"/>
      <c r="M10" s="286"/>
    </row>
    <row r="11" spans="1:22" s="260" customFormat="1" ht="21" customHeight="1">
      <c r="A11" s="322"/>
      <c r="B11" s="323" t="s">
        <v>2527</v>
      </c>
      <c r="C11" s="324">
        <f>C12+C243</f>
        <v>0</v>
      </c>
      <c r="D11" s="345">
        <f t="shared" ref="D11:G11" si="0">D12+D243</f>
        <v>0</v>
      </c>
      <c r="E11" s="345">
        <f t="shared" si="0"/>
        <v>0</v>
      </c>
      <c r="F11" s="345">
        <f t="shared" si="0"/>
        <v>0</v>
      </c>
      <c r="G11" s="345">
        <f t="shared" si="0"/>
        <v>0</v>
      </c>
      <c r="H11" s="263"/>
      <c r="I11" s="263"/>
      <c r="J11" s="263"/>
      <c r="K11" s="263"/>
      <c r="L11" s="259"/>
      <c r="M11" s="258"/>
      <c r="N11" s="259"/>
      <c r="O11" s="259"/>
      <c r="P11" s="259"/>
      <c r="Q11" s="259"/>
      <c r="R11" s="259"/>
      <c r="S11" s="259"/>
      <c r="T11" s="259"/>
      <c r="U11" s="259"/>
      <c r="V11" s="259"/>
    </row>
    <row r="12" spans="1:22" s="260" customFormat="1" ht="21" customHeight="1">
      <c r="A12" s="314" t="s">
        <v>5</v>
      </c>
      <c r="B12" s="315" t="s">
        <v>2550</v>
      </c>
      <c r="C12" s="316">
        <f>C14+C67+C105+C112+C120+C122+C125+C133+C162+C169</f>
        <v>0</v>
      </c>
      <c r="D12" s="346">
        <f>D14+D67+D105+D112+D120+D122+D125+D133+D162+D169</f>
        <v>0</v>
      </c>
      <c r="E12" s="346">
        <f>E14+E67+E105+E112+E120+E122+E125+E133+E162+E169</f>
        <v>0</v>
      </c>
      <c r="F12" s="346">
        <f>F14+F67+F105+F112+F120+F122+F125+F133+F162+F169</f>
        <v>0</v>
      </c>
      <c r="G12" s="346">
        <f>G14+G67+G105+G112+G120+G122+G125+G133+G162+G169</f>
        <v>0</v>
      </c>
      <c r="H12" s="263">
        <v>1986.0621767965381</v>
      </c>
      <c r="I12" s="263"/>
      <c r="J12" s="263"/>
      <c r="K12" s="263"/>
      <c r="L12" s="259"/>
      <c r="M12" s="258"/>
      <c r="N12" s="259"/>
      <c r="O12" s="259"/>
      <c r="P12" s="259"/>
      <c r="Q12" s="259"/>
      <c r="R12" s="259"/>
      <c r="S12" s="259"/>
      <c r="T12" s="259"/>
      <c r="U12" s="259"/>
      <c r="V12" s="259"/>
    </row>
    <row r="13" spans="1:22" s="260" customFormat="1" ht="21" customHeight="1">
      <c r="A13" s="248"/>
      <c r="B13" s="287" t="s">
        <v>2512</v>
      </c>
      <c r="C13" s="257"/>
      <c r="D13" s="347"/>
      <c r="E13" s="347"/>
      <c r="F13" s="347"/>
      <c r="G13" s="347"/>
      <c r="H13" s="263"/>
      <c r="I13" s="263"/>
      <c r="J13" s="263"/>
      <c r="K13" s="263"/>
      <c r="L13" s="259"/>
      <c r="M13" s="258"/>
      <c r="N13" s="259"/>
      <c r="O13" s="259"/>
      <c r="P13" s="259"/>
      <c r="Q13" s="259"/>
      <c r="R13" s="259"/>
      <c r="S13" s="259"/>
      <c r="T13" s="259"/>
      <c r="U13" s="259"/>
      <c r="V13" s="259"/>
    </row>
    <row r="14" spans="1:22" s="260" customFormat="1" ht="21" customHeight="1">
      <c r="A14" s="268">
        <v>1</v>
      </c>
      <c r="B14" s="269" t="s">
        <v>2489</v>
      </c>
      <c r="C14" s="257">
        <f>C15+C57</f>
        <v>0</v>
      </c>
      <c r="D14" s="347">
        <f>D15+D57</f>
        <v>0</v>
      </c>
      <c r="E14" s="347">
        <f>E15+E57</f>
        <v>0</v>
      </c>
      <c r="F14" s="347">
        <f>F15+F57</f>
        <v>0</v>
      </c>
      <c r="G14" s="347">
        <f>G15+G57</f>
        <v>0</v>
      </c>
      <c r="H14" s="263">
        <v>338.08429093999996</v>
      </c>
      <c r="I14" s="263"/>
      <c r="J14" s="263"/>
      <c r="K14" s="263"/>
      <c r="L14" s="259"/>
      <c r="M14" s="258"/>
      <c r="N14" s="259"/>
      <c r="O14" s="259"/>
      <c r="P14" s="259"/>
      <c r="Q14" s="259"/>
      <c r="R14" s="259"/>
      <c r="S14" s="259"/>
      <c r="T14" s="259"/>
      <c r="U14" s="259"/>
      <c r="V14" s="259"/>
    </row>
    <row r="15" spans="1:22" s="260" customFormat="1" ht="21" customHeight="1">
      <c r="A15" s="248"/>
      <c r="B15" s="288" t="s">
        <v>2490</v>
      </c>
      <c r="C15" s="257">
        <f>C16+C55</f>
        <v>0</v>
      </c>
      <c r="D15" s="347">
        <f>D16+D55</f>
        <v>0</v>
      </c>
      <c r="E15" s="347">
        <f>E16+E55</f>
        <v>0</v>
      </c>
      <c r="F15" s="347">
        <f>F16+F55</f>
        <v>0</v>
      </c>
      <c r="G15" s="347">
        <f>G16+G55</f>
        <v>0</v>
      </c>
      <c r="H15" s="263">
        <v>247.22205793999996</v>
      </c>
      <c r="I15" s="263"/>
      <c r="J15" s="263"/>
      <c r="K15" s="263"/>
      <c r="L15" s="259"/>
      <c r="M15" s="258"/>
      <c r="N15" s="259"/>
      <c r="O15" s="259"/>
      <c r="P15" s="259"/>
      <c r="Q15" s="259"/>
      <c r="R15" s="259"/>
      <c r="S15" s="259"/>
      <c r="T15" s="259"/>
      <c r="U15" s="259"/>
      <c r="V15" s="259"/>
    </row>
    <row r="16" spans="1:22" s="260" customFormat="1" ht="21" customHeight="1">
      <c r="A16" s="248">
        <v>1</v>
      </c>
      <c r="B16" s="232" t="s">
        <v>2551</v>
      </c>
      <c r="C16" s="257">
        <f>SUM(C17:C54)</f>
        <v>0</v>
      </c>
      <c r="D16" s="347">
        <f>SUM(D17:D54)</f>
        <v>0</v>
      </c>
      <c r="E16" s="347">
        <f>SUM(E17:E54)</f>
        <v>0</v>
      </c>
      <c r="F16" s="347">
        <f>SUM(F17:F54)</f>
        <v>0</v>
      </c>
      <c r="G16" s="347">
        <f>SUM(G17:G54)</f>
        <v>0</v>
      </c>
      <c r="H16" s="263">
        <v>226.99992093999995</v>
      </c>
      <c r="I16" s="263"/>
      <c r="J16" s="263"/>
      <c r="K16" s="263"/>
      <c r="L16" s="259">
        <v>226.99992093999995</v>
      </c>
      <c r="M16" s="258"/>
      <c r="N16" s="259"/>
      <c r="O16" s="259"/>
      <c r="P16" s="259"/>
      <c r="Q16" s="259"/>
      <c r="R16" s="259"/>
      <c r="S16" s="259"/>
      <c r="T16" s="259"/>
      <c r="U16" s="259"/>
      <c r="V16" s="259"/>
    </row>
    <row r="17" spans="1:22" s="260" customFormat="1" ht="21" customHeight="1">
      <c r="A17" s="248"/>
      <c r="B17" s="233" t="s">
        <v>2552</v>
      </c>
      <c r="C17" s="234"/>
      <c r="D17" s="348">
        <f>SUM(E17:G17)</f>
        <v>0</v>
      </c>
      <c r="E17" s="334"/>
      <c r="F17" s="348"/>
      <c r="G17" s="349"/>
      <c r="H17" s="235"/>
      <c r="I17" s="235"/>
      <c r="J17" s="235"/>
      <c r="K17" s="235"/>
      <c r="L17" s="289">
        <f>E17/1.39</f>
        <v>0</v>
      </c>
      <c r="M17" s="258" t="e">
        <f>L17/C17</f>
        <v>#DIV/0!</v>
      </c>
      <c r="N17" s="259"/>
      <c r="O17" s="259"/>
      <c r="P17" s="259"/>
      <c r="Q17" s="259"/>
      <c r="R17" s="259"/>
      <c r="S17" s="259"/>
      <c r="T17" s="259"/>
      <c r="U17" s="259"/>
      <c r="V17" s="259"/>
    </row>
    <row r="18" spans="1:22" s="260" customFormat="1" ht="21" customHeight="1">
      <c r="A18" s="248"/>
      <c r="B18" s="233" t="s">
        <v>2553</v>
      </c>
      <c r="C18" s="236"/>
      <c r="D18" s="348">
        <f t="shared" ref="D18:D53" si="1">SUM(E18:G18)</f>
        <v>0</v>
      </c>
      <c r="E18" s="334"/>
      <c r="F18" s="348"/>
      <c r="G18" s="349"/>
      <c r="H18" s="235"/>
      <c r="I18" s="235"/>
      <c r="J18" s="235"/>
      <c r="K18" s="235"/>
      <c r="L18" s="289">
        <f t="shared" ref="L18:L82" si="2">E18/1.39</f>
        <v>0</v>
      </c>
      <c r="M18" s="258" t="e">
        <f t="shared" ref="M18:M82" si="3">L18/C18</f>
        <v>#DIV/0!</v>
      </c>
      <c r="N18" s="259"/>
      <c r="O18" s="259"/>
      <c r="P18" s="259"/>
      <c r="Q18" s="259"/>
      <c r="R18" s="259"/>
      <c r="S18" s="259"/>
      <c r="T18" s="259"/>
      <c r="U18" s="259"/>
      <c r="V18" s="259"/>
    </row>
    <row r="19" spans="1:22" s="260" customFormat="1" ht="21" customHeight="1">
      <c r="A19" s="248"/>
      <c r="B19" s="237" t="s">
        <v>2554</v>
      </c>
      <c r="C19" s="236"/>
      <c r="D19" s="348">
        <f t="shared" si="1"/>
        <v>0</v>
      </c>
      <c r="E19" s="334"/>
      <c r="F19" s="350"/>
      <c r="G19" s="349"/>
      <c r="H19" s="235"/>
      <c r="I19" s="235"/>
      <c r="J19" s="235"/>
      <c r="K19" s="235"/>
      <c r="L19" s="289">
        <f t="shared" si="2"/>
        <v>0</v>
      </c>
      <c r="M19" s="258" t="e">
        <f t="shared" si="3"/>
        <v>#DIV/0!</v>
      </c>
      <c r="N19" s="259"/>
      <c r="O19" s="259"/>
      <c r="P19" s="259"/>
      <c r="Q19" s="259"/>
      <c r="R19" s="259"/>
      <c r="S19" s="259"/>
      <c r="T19" s="259"/>
      <c r="U19" s="259"/>
      <c r="V19" s="259"/>
    </row>
    <row r="20" spans="1:22" s="260" customFormat="1" ht="21" customHeight="1">
      <c r="A20" s="248"/>
      <c r="B20" s="237" t="s">
        <v>2555</v>
      </c>
      <c r="C20" s="236"/>
      <c r="D20" s="348">
        <f t="shared" si="1"/>
        <v>0</v>
      </c>
      <c r="E20" s="334"/>
      <c r="F20" s="350"/>
      <c r="G20" s="349"/>
      <c r="H20" s="235"/>
      <c r="I20" s="235"/>
      <c r="J20" s="235"/>
      <c r="K20" s="235"/>
      <c r="L20" s="289">
        <f t="shared" si="2"/>
        <v>0</v>
      </c>
      <c r="M20" s="258" t="e">
        <f t="shared" si="3"/>
        <v>#DIV/0!</v>
      </c>
      <c r="N20" s="259"/>
      <c r="O20" s="259"/>
      <c r="P20" s="259"/>
      <c r="Q20" s="259"/>
      <c r="R20" s="259"/>
      <c r="S20" s="259"/>
      <c r="T20" s="259"/>
      <c r="U20" s="259"/>
      <c r="V20" s="259"/>
    </row>
    <row r="21" spans="1:22" s="260" customFormat="1" ht="21" customHeight="1">
      <c r="A21" s="248"/>
      <c r="B21" s="237" t="s">
        <v>2556</v>
      </c>
      <c r="C21" s="236"/>
      <c r="D21" s="348">
        <f t="shared" si="1"/>
        <v>0</v>
      </c>
      <c r="E21" s="334"/>
      <c r="F21" s="350"/>
      <c r="G21" s="349"/>
      <c r="H21" s="235"/>
      <c r="I21" s="235"/>
      <c r="J21" s="235"/>
      <c r="K21" s="235"/>
      <c r="L21" s="289">
        <f t="shared" si="2"/>
        <v>0</v>
      </c>
      <c r="M21" s="258" t="e">
        <f t="shared" si="3"/>
        <v>#DIV/0!</v>
      </c>
      <c r="N21" s="259"/>
      <c r="O21" s="259"/>
      <c r="P21" s="259"/>
      <c r="Q21" s="259"/>
      <c r="R21" s="259"/>
      <c r="S21" s="259"/>
      <c r="T21" s="259"/>
      <c r="U21" s="259"/>
      <c r="V21" s="259"/>
    </row>
    <row r="22" spans="1:22" s="260" customFormat="1" ht="21" customHeight="1">
      <c r="A22" s="248"/>
      <c r="B22" s="237" t="s">
        <v>2557</v>
      </c>
      <c r="C22" s="236"/>
      <c r="D22" s="348">
        <f t="shared" si="1"/>
        <v>0</v>
      </c>
      <c r="E22" s="334"/>
      <c r="F22" s="348"/>
      <c r="G22" s="349"/>
      <c r="H22" s="235"/>
      <c r="I22" s="235"/>
      <c r="J22" s="235"/>
      <c r="K22" s="235"/>
      <c r="L22" s="289">
        <f t="shared" si="2"/>
        <v>0</v>
      </c>
      <c r="M22" s="258" t="e">
        <f t="shared" si="3"/>
        <v>#DIV/0!</v>
      </c>
      <c r="N22" s="259"/>
      <c r="O22" s="259"/>
      <c r="P22" s="259"/>
      <c r="Q22" s="259"/>
      <c r="R22" s="259"/>
      <c r="S22" s="259"/>
      <c r="T22" s="259"/>
      <c r="U22" s="259"/>
      <c r="V22" s="259"/>
    </row>
    <row r="23" spans="1:22" s="260" customFormat="1" ht="21" customHeight="1">
      <c r="A23" s="248"/>
      <c r="B23" s="237" t="s">
        <v>2558</v>
      </c>
      <c r="C23" s="236"/>
      <c r="D23" s="348">
        <f t="shared" si="1"/>
        <v>0</v>
      </c>
      <c r="E23" s="334"/>
      <c r="F23" s="350"/>
      <c r="G23" s="349"/>
      <c r="H23" s="235"/>
      <c r="I23" s="235"/>
      <c r="J23" s="235"/>
      <c r="K23" s="235"/>
      <c r="L23" s="289">
        <f t="shared" si="2"/>
        <v>0</v>
      </c>
      <c r="M23" s="258" t="e">
        <f t="shared" si="3"/>
        <v>#DIV/0!</v>
      </c>
      <c r="N23" s="259"/>
      <c r="O23" s="259"/>
      <c r="P23" s="259"/>
      <c r="Q23" s="259"/>
      <c r="R23" s="259"/>
      <c r="S23" s="259"/>
      <c r="T23" s="259"/>
      <c r="U23" s="259"/>
      <c r="V23" s="259"/>
    </row>
    <row r="24" spans="1:22" s="260" customFormat="1" ht="21" customHeight="1">
      <c r="A24" s="248"/>
      <c r="B24" s="237" t="s">
        <v>2559</v>
      </c>
      <c r="C24" s="236"/>
      <c r="D24" s="348">
        <f t="shared" si="1"/>
        <v>0</v>
      </c>
      <c r="E24" s="334"/>
      <c r="F24" s="348"/>
      <c r="G24" s="349"/>
      <c r="H24" s="235"/>
      <c r="I24" s="235"/>
      <c r="J24" s="235"/>
      <c r="K24" s="235"/>
      <c r="L24" s="289">
        <f t="shared" si="2"/>
        <v>0</v>
      </c>
      <c r="M24" s="258" t="e">
        <f t="shared" si="3"/>
        <v>#DIV/0!</v>
      </c>
      <c r="N24" s="259"/>
      <c r="O24" s="259"/>
      <c r="P24" s="259"/>
      <c r="Q24" s="259"/>
      <c r="R24" s="259"/>
      <c r="S24" s="259"/>
      <c r="T24" s="259"/>
      <c r="U24" s="259"/>
      <c r="V24" s="259"/>
    </row>
    <row r="25" spans="1:22" s="260" customFormat="1" ht="21" customHeight="1">
      <c r="A25" s="248"/>
      <c r="B25" s="237" t="s">
        <v>2560</v>
      </c>
      <c r="C25" s="236"/>
      <c r="D25" s="348">
        <f t="shared" si="1"/>
        <v>0</v>
      </c>
      <c r="E25" s="334"/>
      <c r="F25" s="348"/>
      <c r="G25" s="349"/>
      <c r="H25" s="235"/>
      <c r="I25" s="235"/>
      <c r="J25" s="235"/>
      <c r="K25" s="235"/>
      <c r="L25" s="289">
        <f t="shared" si="2"/>
        <v>0</v>
      </c>
      <c r="M25" s="258" t="e">
        <f t="shared" si="3"/>
        <v>#DIV/0!</v>
      </c>
      <c r="N25" s="259"/>
      <c r="O25" s="259"/>
      <c r="P25" s="259"/>
      <c r="Q25" s="259"/>
      <c r="R25" s="259"/>
      <c r="S25" s="259"/>
      <c r="T25" s="259"/>
      <c r="U25" s="259"/>
      <c r="V25" s="259"/>
    </row>
    <row r="26" spans="1:22" s="260" customFormat="1" ht="21" customHeight="1">
      <c r="A26" s="248"/>
      <c r="B26" s="237" t="s">
        <v>2561</v>
      </c>
      <c r="C26" s="236"/>
      <c r="D26" s="348">
        <f t="shared" si="1"/>
        <v>0</v>
      </c>
      <c r="E26" s="334"/>
      <c r="F26" s="348"/>
      <c r="G26" s="349"/>
      <c r="H26" s="235"/>
      <c r="I26" s="235"/>
      <c r="J26" s="235"/>
      <c r="K26" s="235"/>
      <c r="L26" s="289">
        <f t="shared" si="2"/>
        <v>0</v>
      </c>
      <c r="M26" s="258" t="e">
        <f t="shared" si="3"/>
        <v>#DIV/0!</v>
      </c>
      <c r="N26" s="259"/>
      <c r="O26" s="259"/>
      <c r="P26" s="259"/>
      <c r="Q26" s="259"/>
      <c r="R26" s="259"/>
      <c r="S26" s="259"/>
      <c r="T26" s="259"/>
      <c r="U26" s="259"/>
      <c r="V26" s="259"/>
    </row>
    <row r="27" spans="1:22" s="260" customFormat="1" ht="21" customHeight="1">
      <c r="A27" s="248"/>
      <c r="B27" s="237" t="s">
        <v>2562</v>
      </c>
      <c r="C27" s="236"/>
      <c r="D27" s="348">
        <f t="shared" si="1"/>
        <v>0</v>
      </c>
      <c r="E27" s="334"/>
      <c r="F27" s="348"/>
      <c r="G27" s="349"/>
      <c r="H27" s="235"/>
      <c r="I27" s="235"/>
      <c r="J27" s="235"/>
      <c r="K27" s="235"/>
      <c r="L27" s="289">
        <f t="shared" si="2"/>
        <v>0</v>
      </c>
      <c r="M27" s="258" t="e">
        <f t="shared" si="3"/>
        <v>#DIV/0!</v>
      </c>
      <c r="N27" s="259"/>
      <c r="O27" s="259"/>
      <c r="P27" s="259"/>
      <c r="Q27" s="259"/>
      <c r="R27" s="259"/>
      <c r="S27" s="259"/>
      <c r="T27" s="259"/>
      <c r="U27" s="259"/>
      <c r="V27" s="259"/>
    </row>
    <row r="28" spans="1:22" s="260" customFormat="1" ht="21" customHeight="1">
      <c r="A28" s="248"/>
      <c r="B28" s="237" t="s">
        <v>2563</v>
      </c>
      <c r="C28" s="236"/>
      <c r="D28" s="348">
        <f>SUM(E28:G28)</f>
        <v>0</v>
      </c>
      <c r="E28" s="334"/>
      <c r="F28" s="348"/>
      <c r="G28" s="349"/>
      <c r="H28" s="235"/>
      <c r="I28" s="235"/>
      <c r="J28" s="235"/>
      <c r="K28" s="235"/>
      <c r="L28" s="289">
        <f t="shared" si="2"/>
        <v>0</v>
      </c>
      <c r="M28" s="258" t="e">
        <f t="shared" si="3"/>
        <v>#DIV/0!</v>
      </c>
      <c r="N28" s="259"/>
      <c r="O28" s="259"/>
      <c r="P28" s="259"/>
      <c r="Q28" s="259"/>
      <c r="R28" s="259"/>
      <c r="S28" s="259"/>
      <c r="T28" s="259"/>
      <c r="U28" s="259"/>
      <c r="V28" s="259"/>
    </row>
    <row r="29" spans="1:22" s="260" customFormat="1" ht="21" customHeight="1">
      <c r="A29" s="248"/>
      <c r="B29" s="237" t="s">
        <v>2564</v>
      </c>
      <c r="C29" s="236"/>
      <c r="D29" s="348">
        <f t="shared" si="1"/>
        <v>0</v>
      </c>
      <c r="E29" s="334"/>
      <c r="F29" s="348"/>
      <c r="G29" s="349"/>
      <c r="H29" s="235"/>
      <c r="I29" s="235"/>
      <c r="J29" s="235"/>
      <c r="K29" s="235"/>
      <c r="L29" s="289">
        <f t="shared" si="2"/>
        <v>0</v>
      </c>
      <c r="M29" s="258" t="e">
        <f t="shared" si="3"/>
        <v>#DIV/0!</v>
      </c>
      <c r="N29" s="259"/>
      <c r="O29" s="259"/>
      <c r="P29" s="259"/>
      <c r="Q29" s="259"/>
      <c r="R29" s="259"/>
      <c r="S29" s="259"/>
      <c r="T29" s="259"/>
      <c r="U29" s="259"/>
      <c r="V29" s="259"/>
    </row>
    <row r="30" spans="1:22" s="260" customFormat="1" ht="21" customHeight="1">
      <c r="A30" s="248"/>
      <c r="B30" s="237" t="s">
        <v>2565</v>
      </c>
      <c r="C30" s="236"/>
      <c r="D30" s="348">
        <f t="shared" si="1"/>
        <v>0</v>
      </c>
      <c r="E30" s="334"/>
      <c r="F30" s="348"/>
      <c r="G30" s="349"/>
      <c r="H30" s="235"/>
      <c r="I30" s="235"/>
      <c r="J30" s="235"/>
      <c r="K30" s="235"/>
      <c r="L30" s="289">
        <f t="shared" si="2"/>
        <v>0</v>
      </c>
      <c r="M30" s="258" t="e">
        <f t="shared" si="3"/>
        <v>#DIV/0!</v>
      </c>
      <c r="N30" s="259"/>
      <c r="O30" s="259"/>
      <c r="P30" s="259"/>
      <c r="Q30" s="259"/>
      <c r="R30" s="259"/>
      <c r="S30" s="259"/>
      <c r="T30" s="259"/>
      <c r="U30" s="259"/>
      <c r="V30" s="259"/>
    </row>
    <row r="31" spans="1:22" s="260" customFormat="1" ht="21" customHeight="1">
      <c r="A31" s="248"/>
      <c r="B31" s="237" t="s">
        <v>2566</v>
      </c>
      <c r="C31" s="236"/>
      <c r="D31" s="348">
        <f t="shared" si="1"/>
        <v>0</v>
      </c>
      <c r="E31" s="334"/>
      <c r="F31" s="348"/>
      <c r="G31" s="349"/>
      <c r="H31" s="235"/>
      <c r="I31" s="235"/>
      <c r="J31" s="235"/>
      <c r="K31" s="235"/>
      <c r="L31" s="289">
        <f t="shared" si="2"/>
        <v>0</v>
      </c>
      <c r="M31" s="258" t="e">
        <f t="shared" si="3"/>
        <v>#DIV/0!</v>
      </c>
      <c r="N31" s="259"/>
      <c r="O31" s="259"/>
      <c r="P31" s="259"/>
      <c r="Q31" s="259"/>
      <c r="R31" s="259"/>
      <c r="S31" s="259"/>
      <c r="T31" s="259"/>
      <c r="U31" s="259"/>
      <c r="V31" s="259"/>
    </row>
    <row r="32" spans="1:22" s="260" customFormat="1" ht="21" customHeight="1">
      <c r="A32" s="248"/>
      <c r="B32" s="237" t="s">
        <v>2567</v>
      </c>
      <c r="C32" s="236"/>
      <c r="D32" s="348">
        <f t="shared" si="1"/>
        <v>0</v>
      </c>
      <c r="E32" s="334"/>
      <c r="F32" s="348"/>
      <c r="G32" s="349"/>
      <c r="H32" s="235"/>
      <c r="I32" s="235"/>
      <c r="J32" s="235"/>
      <c r="K32" s="235"/>
      <c r="L32" s="289">
        <f t="shared" si="2"/>
        <v>0</v>
      </c>
      <c r="M32" s="258" t="e">
        <f t="shared" si="3"/>
        <v>#DIV/0!</v>
      </c>
      <c r="N32" s="259"/>
      <c r="O32" s="259"/>
      <c r="P32" s="259"/>
      <c r="Q32" s="259"/>
      <c r="R32" s="259"/>
      <c r="S32" s="259"/>
      <c r="T32" s="259"/>
      <c r="U32" s="259"/>
      <c r="V32" s="259"/>
    </row>
    <row r="33" spans="1:22" s="260" customFormat="1" ht="21" customHeight="1">
      <c r="A33" s="248"/>
      <c r="B33" s="237" t="s">
        <v>2568</v>
      </c>
      <c r="C33" s="236"/>
      <c r="D33" s="348">
        <f t="shared" si="1"/>
        <v>0</v>
      </c>
      <c r="E33" s="334"/>
      <c r="F33" s="351"/>
      <c r="G33" s="349"/>
      <c r="H33" s="235"/>
      <c r="I33" s="235"/>
      <c r="J33" s="235"/>
      <c r="K33" s="235"/>
      <c r="L33" s="289">
        <f t="shared" si="2"/>
        <v>0</v>
      </c>
      <c r="M33" s="258" t="e">
        <f t="shared" si="3"/>
        <v>#DIV/0!</v>
      </c>
      <c r="N33" s="259"/>
      <c r="O33" s="259"/>
      <c r="P33" s="259"/>
      <c r="Q33" s="259"/>
      <c r="R33" s="259"/>
      <c r="S33" s="259"/>
      <c r="T33" s="259"/>
      <c r="U33" s="259"/>
      <c r="V33" s="259"/>
    </row>
    <row r="34" spans="1:22" s="260" customFormat="1" ht="21" customHeight="1">
      <c r="A34" s="248"/>
      <c r="B34" s="237" t="s">
        <v>2569</v>
      </c>
      <c r="C34" s="236"/>
      <c r="D34" s="348">
        <f t="shared" si="1"/>
        <v>0</v>
      </c>
      <c r="E34" s="334"/>
      <c r="F34" s="352"/>
      <c r="G34" s="349"/>
      <c r="H34" s="235"/>
      <c r="I34" s="235"/>
      <c r="J34" s="235"/>
      <c r="K34" s="235"/>
      <c r="L34" s="289">
        <f t="shared" si="2"/>
        <v>0</v>
      </c>
      <c r="M34" s="258" t="e">
        <f t="shared" si="3"/>
        <v>#DIV/0!</v>
      </c>
      <c r="N34" s="259"/>
      <c r="O34" s="259"/>
      <c r="P34" s="259"/>
      <c r="Q34" s="259"/>
      <c r="R34" s="259"/>
      <c r="S34" s="259"/>
      <c r="T34" s="259"/>
      <c r="U34" s="259"/>
      <c r="V34" s="259"/>
    </row>
    <row r="35" spans="1:22" s="260" customFormat="1" ht="21" customHeight="1">
      <c r="A35" s="248"/>
      <c r="B35" s="237" t="s">
        <v>2570</v>
      </c>
      <c r="C35" s="236"/>
      <c r="D35" s="348">
        <f t="shared" si="1"/>
        <v>0</v>
      </c>
      <c r="E35" s="334"/>
      <c r="F35" s="348"/>
      <c r="G35" s="349"/>
      <c r="H35" s="235"/>
      <c r="I35" s="235"/>
      <c r="J35" s="235"/>
      <c r="K35" s="235"/>
      <c r="L35" s="289">
        <f t="shared" si="2"/>
        <v>0</v>
      </c>
      <c r="M35" s="258" t="e">
        <f t="shared" si="3"/>
        <v>#DIV/0!</v>
      </c>
      <c r="N35" s="259"/>
      <c r="O35" s="259"/>
      <c r="P35" s="259"/>
      <c r="Q35" s="259"/>
      <c r="R35" s="259"/>
      <c r="S35" s="259"/>
      <c r="T35" s="259"/>
      <c r="U35" s="259"/>
      <c r="V35" s="259"/>
    </row>
    <row r="36" spans="1:22" s="260" customFormat="1" ht="21" customHeight="1">
      <c r="A36" s="248"/>
      <c r="B36" s="237" t="s">
        <v>2571</v>
      </c>
      <c r="C36" s="236"/>
      <c r="D36" s="348">
        <f t="shared" si="1"/>
        <v>0</v>
      </c>
      <c r="E36" s="334"/>
      <c r="F36" s="348"/>
      <c r="G36" s="349"/>
      <c r="H36" s="235"/>
      <c r="I36" s="235"/>
      <c r="J36" s="235"/>
      <c r="K36" s="235"/>
      <c r="L36" s="289">
        <f t="shared" si="2"/>
        <v>0</v>
      </c>
      <c r="M36" s="258" t="e">
        <f t="shared" si="3"/>
        <v>#DIV/0!</v>
      </c>
      <c r="N36" s="259"/>
      <c r="O36" s="259"/>
      <c r="P36" s="259"/>
      <c r="Q36" s="259"/>
      <c r="R36" s="259"/>
      <c r="S36" s="259"/>
      <c r="T36" s="259"/>
      <c r="U36" s="259"/>
      <c r="V36" s="259"/>
    </row>
    <row r="37" spans="1:22" s="260" customFormat="1" ht="21" customHeight="1">
      <c r="A37" s="248"/>
      <c r="B37" s="237" t="s">
        <v>2572</v>
      </c>
      <c r="C37" s="236"/>
      <c r="D37" s="348">
        <f t="shared" si="1"/>
        <v>0</v>
      </c>
      <c r="E37" s="334"/>
      <c r="F37" s="348"/>
      <c r="G37" s="349"/>
      <c r="H37" s="235"/>
      <c r="I37" s="235"/>
      <c r="J37" s="235"/>
      <c r="K37" s="235"/>
      <c r="L37" s="289">
        <f t="shared" si="2"/>
        <v>0</v>
      </c>
      <c r="M37" s="258" t="e">
        <f t="shared" si="3"/>
        <v>#DIV/0!</v>
      </c>
      <c r="N37" s="259"/>
      <c r="O37" s="259"/>
      <c r="P37" s="259"/>
      <c r="Q37" s="259"/>
      <c r="R37" s="259"/>
      <c r="S37" s="259"/>
      <c r="T37" s="259"/>
      <c r="U37" s="259"/>
      <c r="V37" s="259"/>
    </row>
    <row r="38" spans="1:22" s="260" customFormat="1" ht="21" customHeight="1">
      <c r="A38" s="248"/>
      <c r="B38" s="237" t="s">
        <v>2573</v>
      </c>
      <c r="C38" s="236"/>
      <c r="D38" s="348">
        <f t="shared" si="1"/>
        <v>0</v>
      </c>
      <c r="E38" s="334"/>
      <c r="F38" s="348"/>
      <c r="G38" s="349"/>
      <c r="H38" s="235"/>
      <c r="I38" s="235"/>
      <c r="J38" s="235"/>
      <c r="K38" s="235"/>
      <c r="L38" s="289">
        <f t="shared" si="2"/>
        <v>0</v>
      </c>
      <c r="M38" s="258" t="e">
        <f t="shared" si="3"/>
        <v>#DIV/0!</v>
      </c>
      <c r="N38" s="259"/>
      <c r="O38" s="259"/>
      <c r="P38" s="259"/>
      <c r="Q38" s="259"/>
      <c r="R38" s="259"/>
      <c r="S38" s="259"/>
      <c r="T38" s="259"/>
      <c r="U38" s="259"/>
      <c r="V38" s="259"/>
    </row>
    <row r="39" spans="1:22" s="260" customFormat="1" ht="21" customHeight="1">
      <c r="A39" s="248"/>
      <c r="B39" s="237" t="s">
        <v>2574</v>
      </c>
      <c r="C39" s="236"/>
      <c r="D39" s="348">
        <f t="shared" si="1"/>
        <v>0</v>
      </c>
      <c r="E39" s="334"/>
      <c r="F39" s="348"/>
      <c r="G39" s="349"/>
      <c r="H39" s="235"/>
      <c r="I39" s="235"/>
      <c r="J39" s="235"/>
      <c r="K39" s="235"/>
      <c r="L39" s="289">
        <f t="shared" si="2"/>
        <v>0</v>
      </c>
      <c r="M39" s="258" t="e">
        <f t="shared" si="3"/>
        <v>#DIV/0!</v>
      </c>
      <c r="N39" s="259"/>
      <c r="O39" s="259"/>
      <c r="P39" s="259"/>
      <c r="Q39" s="259"/>
      <c r="R39" s="259"/>
      <c r="S39" s="259"/>
      <c r="T39" s="259"/>
      <c r="U39" s="259"/>
      <c r="V39" s="259"/>
    </row>
    <row r="40" spans="1:22" s="260" customFormat="1" ht="21" customHeight="1">
      <c r="A40" s="248"/>
      <c r="B40" s="237" t="s">
        <v>2575</v>
      </c>
      <c r="C40" s="236"/>
      <c r="D40" s="348">
        <f t="shared" si="1"/>
        <v>0</v>
      </c>
      <c r="E40" s="334"/>
      <c r="F40" s="348"/>
      <c r="G40" s="349"/>
      <c r="H40" s="235"/>
      <c r="I40" s="235"/>
      <c r="J40" s="235"/>
      <c r="K40" s="235"/>
      <c r="L40" s="289">
        <f t="shared" si="2"/>
        <v>0</v>
      </c>
      <c r="M40" s="258" t="e">
        <f t="shared" si="3"/>
        <v>#DIV/0!</v>
      </c>
      <c r="N40" s="259"/>
      <c r="O40" s="259"/>
      <c r="P40" s="259"/>
      <c r="Q40" s="259"/>
      <c r="R40" s="259"/>
      <c r="S40" s="259"/>
      <c r="T40" s="259"/>
      <c r="U40" s="259"/>
      <c r="V40" s="259"/>
    </row>
    <row r="41" spans="1:22" s="260" customFormat="1" ht="21" customHeight="1">
      <c r="A41" s="248"/>
      <c r="B41" s="237" t="s">
        <v>3056</v>
      </c>
      <c r="C41" s="236"/>
      <c r="D41" s="348">
        <f t="shared" si="1"/>
        <v>0</v>
      </c>
      <c r="E41" s="334"/>
      <c r="F41" s="348"/>
      <c r="G41" s="349"/>
      <c r="H41" s="235"/>
      <c r="I41" s="235"/>
      <c r="J41" s="235"/>
      <c r="K41" s="235"/>
      <c r="L41" s="289">
        <f t="shared" si="2"/>
        <v>0</v>
      </c>
      <c r="M41" s="258" t="e">
        <f t="shared" si="3"/>
        <v>#DIV/0!</v>
      </c>
      <c r="N41" s="259"/>
      <c r="O41" s="259"/>
      <c r="P41" s="259"/>
      <c r="Q41" s="259"/>
      <c r="R41" s="259"/>
      <c r="S41" s="259"/>
      <c r="T41" s="259"/>
      <c r="U41" s="259"/>
      <c r="V41" s="259"/>
    </row>
    <row r="42" spans="1:22" s="260" customFormat="1" ht="21" customHeight="1">
      <c r="A42" s="248"/>
      <c r="B42" s="237" t="s">
        <v>2577</v>
      </c>
      <c r="C42" s="236"/>
      <c r="D42" s="348">
        <f t="shared" si="1"/>
        <v>0</v>
      </c>
      <c r="E42" s="334"/>
      <c r="F42" s="348"/>
      <c r="G42" s="349"/>
      <c r="H42" s="235"/>
      <c r="I42" s="235"/>
      <c r="J42" s="235"/>
      <c r="K42" s="235"/>
      <c r="L42" s="289">
        <f t="shared" si="2"/>
        <v>0</v>
      </c>
      <c r="M42" s="258" t="e">
        <f t="shared" si="3"/>
        <v>#DIV/0!</v>
      </c>
      <c r="N42" s="259"/>
      <c r="O42" s="259"/>
      <c r="P42" s="259"/>
      <c r="Q42" s="259"/>
      <c r="R42" s="259"/>
      <c r="S42" s="259"/>
      <c r="T42" s="259"/>
      <c r="U42" s="259"/>
      <c r="V42" s="259"/>
    </row>
    <row r="43" spans="1:22" s="260" customFormat="1" ht="21" customHeight="1">
      <c r="A43" s="248"/>
      <c r="B43" s="237" t="s">
        <v>2578</v>
      </c>
      <c r="C43" s="236"/>
      <c r="D43" s="348">
        <f t="shared" si="1"/>
        <v>0</v>
      </c>
      <c r="E43" s="334"/>
      <c r="F43" s="348"/>
      <c r="G43" s="349"/>
      <c r="H43" s="235"/>
      <c r="I43" s="235"/>
      <c r="J43" s="235"/>
      <c r="K43" s="235"/>
      <c r="L43" s="289">
        <f t="shared" si="2"/>
        <v>0</v>
      </c>
      <c r="M43" s="258" t="e">
        <f t="shared" si="3"/>
        <v>#DIV/0!</v>
      </c>
      <c r="N43" s="259"/>
      <c r="O43" s="259"/>
      <c r="P43" s="259"/>
      <c r="Q43" s="259"/>
      <c r="R43" s="259"/>
      <c r="S43" s="259"/>
      <c r="T43" s="259"/>
      <c r="U43" s="259"/>
      <c r="V43" s="259"/>
    </row>
    <row r="44" spans="1:22" s="260" customFormat="1" ht="21" customHeight="1">
      <c r="A44" s="248"/>
      <c r="B44" s="237" t="s">
        <v>2579</v>
      </c>
      <c r="C44" s="236"/>
      <c r="D44" s="348">
        <f t="shared" si="1"/>
        <v>0</v>
      </c>
      <c r="E44" s="334"/>
      <c r="F44" s="348"/>
      <c r="G44" s="349"/>
      <c r="H44" s="235"/>
      <c r="I44" s="235"/>
      <c r="J44" s="235"/>
      <c r="K44" s="235"/>
      <c r="L44" s="289">
        <f t="shared" si="2"/>
        <v>0</v>
      </c>
      <c r="M44" s="258" t="e">
        <f t="shared" si="3"/>
        <v>#DIV/0!</v>
      </c>
      <c r="N44" s="259"/>
      <c r="O44" s="259"/>
      <c r="P44" s="259"/>
      <c r="Q44" s="259"/>
      <c r="R44" s="259"/>
      <c r="S44" s="259"/>
      <c r="T44" s="259"/>
      <c r="U44" s="259"/>
      <c r="V44" s="259"/>
    </row>
    <row r="45" spans="1:22" s="260" customFormat="1" ht="21" customHeight="1">
      <c r="A45" s="248"/>
      <c r="B45" s="237" t="s">
        <v>2580</v>
      </c>
      <c r="C45" s="236"/>
      <c r="D45" s="348">
        <f t="shared" si="1"/>
        <v>0</v>
      </c>
      <c r="E45" s="334"/>
      <c r="F45" s="351"/>
      <c r="G45" s="349"/>
      <c r="H45" s="235"/>
      <c r="I45" s="235"/>
      <c r="J45" s="235"/>
      <c r="K45" s="235"/>
      <c r="L45" s="289">
        <f t="shared" si="2"/>
        <v>0</v>
      </c>
      <c r="M45" s="258" t="e">
        <f t="shared" si="3"/>
        <v>#DIV/0!</v>
      </c>
      <c r="N45" s="259"/>
      <c r="O45" s="259"/>
      <c r="P45" s="259"/>
      <c r="Q45" s="259"/>
      <c r="R45" s="259"/>
      <c r="S45" s="259"/>
      <c r="T45" s="259"/>
      <c r="U45" s="259"/>
      <c r="V45" s="259"/>
    </row>
    <row r="46" spans="1:22" s="260" customFormat="1" ht="21" customHeight="1">
      <c r="A46" s="248"/>
      <c r="B46" s="237" t="s">
        <v>2581</v>
      </c>
      <c r="C46" s="236"/>
      <c r="D46" s="348">
        <f t="shared" si="1"/>
        <v>0</v>
      </c>
      <c r="E46" s="334"/>
      <c r="F46" s="351"/>
      <c r="G46" s="349"/>
      <c r="H46" s="235"/>
      <c r="I46" s="235"/>
      <c r="J46" s="235"/>
      <c r="K46" s="235"/>
      <c r="L46" s="289">
        <f t="shared" si="2"/>
        <v>0</v>
      </c>
      <c r="M46" s="258" t="e">
        <f t="shared" si="3"/>
        <v>#DIV/0!</v>
      </c>
      <c r="N46" s="259"/>
      <c r="O46" s="259"/>
      <c r="P46" s="259"/>
      <c r="Q46" s="259"/>
      <c r="R46" s="259"/>
      <c r="S46" s="259"/>
      <c r="T46" s="259"/>
      <c r="U46" s="259"/>
      <c r="V46" s="259"/>
    </row>
    <row r="47" spans="1:22" s="260" customFormat="1" ht="21" customHeight="1">
      <c r="A47" s="248"/>
      <c r="B47" s="237" t="s">
        <v>2582</v>
      </c>
      <c r="C47" s="236"/>
      <c r="D47" s="348">
        <f t="shared" si="1"/>
        <v>0</v>
      </c>
      <c r="E47" s="334"/>
      <c r="F47" s="351"/>
      <c r="G47" s="349"/>
      <c r="H47" s="235"/>
      <c r="I47" s="235"/>
      <c r="J47" s="235"/>
      <c r="K47" s="235"/>
      <c r="L47" s="289">
        <f t="shared" si="2"/>
        <v>0</v>
      </c>
      <c r="M47" s="258" t="e">
        <f t="shared" si="3"/>
        <v>#DIV/0!</v>
      </c>
      <c r="N47" s="259"/>
      <c r="O47" s="259"/>
      <c r="P47" s="259"/>
      <c r="Q47" s="259"/>
      <c r="R47" s="259"/>
      <c r="S47" s="259"/>
      <c r="T47" s="259"/>
      <c r="U47" s="259"/>
      <c r="V47" s="259"/>
    </row>
    <row r="48" spans="1:22" s="260" customFormat="1" ht="21" customHeight="1">
      <c r="A48" s="248"/>
      <c r="B48" s="237" t="s">
        <v>2583</v>
      </c>
      <c r="C48" s="236"/>
      <c r="D48" s="348">
        <f t="shared" si="1"/>
        <v>0</v>
      </c>
      <c r="E48" s="334"/>
      <c r="F48" s="351"/>
      <c r="G48" s="349"/>
      <c r="H48" s="235"/>
      <c r="I48" s="235"/>
      <c r="J48" s="235"/>
      <c r="K48" s="235"/>
      <c r="L48" s="289">
        <f t="shared" si="2"/>
        <v>0</v>
      </c>
      <c r="M48" s="258" t="e">
        <f t="shared" si="3"/>
        <v>#DIV/0!</v>
      </c>
      <c r="N48" s="259"/>
      <c r="O48" s="259"/>
      <c r="P48" s="259"/>
      <c r="Q48" s="259"/>
      <c r="R48" s="259"/>
      <c r="S48" s="259"/>
      <c r="T48" s="259"/>
      <c r="U48" s="259"/>
      <c r="V48" s="259"/>
    </row>
    <row r="49" spans="1:22" s="260" customFormat="1" ht="21" customHeight="1">
      <c r="A49" s="248"/>
      <c r="B49" s="237" t="s">
        <v>2584</v>
      </c>
      <c r="C49" s="236"/>
      <c r="D49" s="348">
        <f t="shared" si="1"/>
        <v>0</v>
      </c>
      <c r="E49" s="334"/>
      <c r="F49" s="351"/>
      <c r="G49" s="349"/>
      <c r="H49" s="235"/>
      <c r="I49" s="235"/>
      <c r="J49" s="235"/>
      <c r="K49" s="235"/>
      <c r="L49" s="289">
        <f t="shared" si="2"/>
        <v>0</v>
      </c>
      <c r="M49" s="258" t="e">
        <f t="shared" si="3"/>
        <v>#DIV/0!</v>
      </c>
      <c r="N49" s="259"/>
      <c r="O49" s="259"/>
      <c r="P49" s="259"/>
      <c r="Q49" s="259"/>
      <c r="R49" s="259"/>
      <c r="S49" s="259"/>
      <c r="T49" s="259"/>
      <c r="U49" s="259"/>
      <c r="V49" s="259"/>
    </row>
    <row r="50" spans="1:22" s="260" customFormat="1" ht="21" customHeight="1">
      <c r="A50" s="248"/>
      <c r="B50" s="237" t="s">
        <v>2585</v>
      </c>
      <c r="C50" s="236"/>
      <c r="D50" s="348">
        <f t="shared" si="1"/>
        <v>0</v>
      </c>
      <c r="E50" s="334"/>
      <c r="F50" s="351"/>
      <c r="G50" s="349"/>
      <c r="H50" s="235"/>
      <c r="I50" s="235"/>
      <c r="J50" s="235"/>
      <c r="K50" s="235"/>
      <c r="L50" s="289">
        <f t="shared" si="2"/>
        <v>0</v>
      </c>
      <c r="M50" s="258" t="e">
        <f t="shared" si="3"/>
        <v>#DIV/0!</v>
      </c>
      <c r="N50" s="259"/>
      <c r="O50" s="259"/>
      <c r="P50" s="259"/>
      <c r="Q50" s="259"/>
      <c r="R50" s="259"/>
      <c r="S50" s="259"/>
      <c r="T50" s="259"/>
      <c r="U50" s="259"/>
      <c r="V50" s="259"/>
    </row>
    <row r="51" spans="1:22" s="260" customFormat="1" ht="21" customHeight="1">
      <c r="A51" s="248"/>
      <c r="B51" s="237" t="s">
        <v>2586</v>
      </c>
      <c r="C51" s="236"/>
      <c r="D51" s="348">
        <f t="shared" si="1"/>
        <v>0</v>
      </c>
      <c r="E51" s="334"/>
      <c r="F51" s="351"/>
      <c r="G51" s="349"/>
      <c r="H51" s="235"/>
      <c r="I51" s="235"/>
      <c r="J51" s="235"/>
      <c r="K51" s="235"/>
      <c r="L51" s="289">
        <f t="shared" si="2"/>
        <v>0</v>
      </c>
      <c r="M51" s="258" t="e">
        <f t="shared" si="3"/>
        <v>#DIV/0!</v>
      </c>
      <c r="N51" s="259"/>
      <c r="O51" s="259"/>
      <c r="P51" s="259"/>
      <c r="Q51" s="259"/>
      <c r="R51" s="259"/>
      <c r="S51" s="259"/>
      <c r="T51" s="259"/>
      <c r="U51" s="259"/>
      <c r="V51" s="259"/>
    </row>
    <row r="52" spans="1:22" s="260" customFormat="1" ht="21" customHeight="1">
      <c r="A52" s="248"/>
      <c r="B52" s="237" t="s">
        <v>2587</v>
      </c>
      <c r="C52" s="236"/>
      <c r="D52" s="348">
        <f t="shared" si="1"/>
        <v>0</v>
      </c>
      <c r="E52" s="334"/>
      <c r="F52" s="351"/>
      <c r="G52" s="349"/>
      <c r="H52" s="235"/>
      <c r="I52" s="235"/>
      <c r="J52" s="235"/>
      <c r="K52" s="235"/>
      <c r="L52" s="289">
        <f t="shared" si="2"/>
        <v>0</v>
      </c>
      <c r="M52" s="258" t="e">
        <f t="shared" si="3"/>
        <v>#DIV/0!</v>
      </c>
      <c r="N52" s="259"/>
      <c r="O52" s="259"/>
      <c r="P52" s="259"/>
      <c r="Q52" s="259"/>
      <c r="R52" s="259"/>
      <c r="S52" s="259"/>
      <c r="T52" s="259"/>
      <c r="U52" s="259"/>
      <c r="V52" s="259"/>
    </row>
    <row r="53" spans="1:22" s="260" customFormat="1" ht="21" customHeight="1">
      <c r="A53" s="248"/>
      <c r="B53" s="237" t="s">
        <v>2588</v>
      </c>
      <c r="C53" s="236"/>
      <c r="D53" s="348">
        <f t="shared" si="1"/>
        <v>0</v>
      </c>
      <c r="E53" s="334"/>
      <c r="F53" s="351"/>
      <c r="G53" s="349"/>
      <c r="H53" s="235"/>
      <c r="I53" s="235"/>
      <c r="J53" s="235"/>
      <c r="K53" s="235"/>
      <c r="L53" s="289">
        <f t="shared" si="2"/>
        <v>0</v>
      </c>
      <c r="M53" s="258" t="e">
        <f t="shared" si="3"/>
        <v>#DIV/0!</v>
      </c>
      <c r="N53" s="259"/>
      <c r="O53" s="259"/>
      <c r="P53" s="259"/>
      <c r="Q53" s="259"/>
      <c r="R53" s="259"/>
      <c r="S53" s="259"/>
      <c r="T53" s="259"/>
      <c r="U53" s="259"/>
      <c r="V53" s="259"/>
    </row>
    <row r="54" spans="1:22" s="260" customFormat="1" ht="21" customHeight="1">
      <c r="A54" s="248"/>
      <c r="B54" s="232" t="s">
        <v>2589</v>
      </c>
      <c r="C54" s="257"/>
      <c r="D54" s="347"/>
      <c r="E54" s="347"/>
      <c r="F54" s="347"/>
      <c r="G54" s="347"/>
      <c r="H54" s="263"/>
      <c r="I54" s="263"/>
      <c r="J54" s="263"/>
      <c r="K54" s="263"/>
      <c r="L54" s="289">
        <f t="shared" si="2"/>
        <v>0</v>
      </c>
      <c r="M54" s="258" t="e">
        <f t="shared" si="3"/>
        <v>#DIV/0!</v>
      </c>
      <c r="N54" s="259"/>
      <c r="O54" s="259"/>
      <c r="P54" s="259"/>
      <c r="Q54" s="259"/>
      <c r="R54" s="259"/>
      <c r="S54" s="259"/>
      <c r="T54" s="259"/>
      <c r="U54" s="259"/>
      <c r="V54" s="259"/>
    </row>
    <row r="55" spans="1:22" s="260" customFormat="1" ht="21" customHeight="1">
      <c r="A55" s="248">
        <v>2</v>
      </c>
      <c r="B55" s="232" t="s">
        <v>2590</v>
      </c>
      <c r="C55" s="238"/>
      <c r="D55" s="353">
        <f>SUM(E55:G55)</f>
        <v>0</v>
      </c>
      <c r="E55" s="354"/>
      <c r="F55" s="355"/>
      <c r="G55" s="353"/>
      <c r="H55" s="239">
        <v>20.222136999999996</v>
      </c>
      <c r="I55" s="239"/>
      <c r="J55" s="239"/>
      <c r="K55" s="239"/>
      <c r="L55" s="289">
        <f t="shared" si="2"/>
        <v>0</v>
      </c>
      <c r="M55" s="258" t="e">
        <f t="shared" si="3"/>
        <v>#DIV/0!</v>
      </c>
      <c r="N55" s="259"/>
      <c r="O55" s="259"/>
      <c r="P55" s="259"/>
      <c r="Q55" s="259"/>
      <c r="R55" s="259"/>
      <c r="S55" s="259"/>
      <c r="T55" s="259"/>
      <c r="U55" s="259"/>
      <c r="V55" s="259"/>
    </row>
    <row r="56" spans="1:22" s="260" customFormat="1" ht="21" customHeight="1">
      <c r="A56" s="290"/>
      <c r="B56" s="291" t="s">
        <v>2529</v>
      </c>
      <c r="C56" s="257">
        <f>C54</f>
        <v>0</v>
      </c>
      <c r="D56" s="347">
        <f>D54</f>
        <v>0</v>
      </c>
      <c r="E56" s="347">
        <f>E54</f>
        <v>0</v>
      </c>
      <c r="F56" s="347">
        <f>F54</f>
        <v>0</v>
      </c>
      <c r="G56" s="347">
        <f>G54</f>
        <v>0</v>
      </c>
      <c r="H56" s="292"/>
      <c r="I56" s="292"/>
      <c r="J56" s="292"/>
      <c r="K56" s="292"/>
      <c r="L56" s="289">
        <f t="shared" si="2"/>
        <v>0</v>
      </c>
      <c r="M56" s="258" t="e">
        <f t="shared" si="3"/>
        <v>#DIV/0!</v>
      </c>
      <c r="N56" s="259"/>
      <c r="O56" s="259"/>
      <c r="P56" s="259"/>
      <c r="Q56" s="259"/>
      <c r="R56" s="259"/>
      <c r="S56" s="259"/>
      <c r="T56" s="259"/>
      <c r="U56" s="259"/>
      <c r="V56" s="259"/>
    </row>
    <row r="57" spans="1:22" s="260" customFormat="1" ht="21" customHeight="1">
      <c r="A57" s="290"/>
      <c r="B57" s="288" t="s">
        <v>2491</v>
      </c>
      <c r="C57" s="257">
        <f>SUM(C58:C65)</f>
        <v>0</v>
      </c>
      <c r="D57" s="347">
        <f>SUM(D58:D65)</f>
        <v>0</v>
      </c>
      <c r="E57" s="347">
        <f>SUM(E58:E65)</f>
        <v>0</v>
      </c>
      <c r="F57" s="347">
        <f>SUM(F58:F65)</f>
        <v>0</v>
      </c>
      <c r="G57" s="347">
        <f>SUM(G58:G65)</f>
        <v>0</v>
      </c>
      <c r="H57" s="263">
        <v>90.862233000000003</v>
      </c>
      <c r="I57" s="263"/>
      <c r="J57" s="263"/>
      <c r="K57" s="263"/>
      <c r="L57" s="289">
        <f t="shared" si="2"/>
        <v>0</v>
      </c>
      <c r="M57" s="258" t="e">
        <f t="shared" si="3"/>
        <v>#DIV/0!</v>
      </c>
      <c r="N57" s="259"/>
      <c r="O57" s="259"/>
      <c r="P57" s="259"/>
      <c r="Q57" s="259"/>
      <c r="R57" s="259"/>
      <c r="S57" s="259"/>
      <c r="T57" s="259"/>
      <c r="U57" s="259"/>
      <c r="V57" s="259"/>
    </row>
    <row r="58" spans="1:22" s="260" customFormat="1" ht="21" customHeight="1">
      <c r="A58" s="290">
        <v>3</v>
      </c>
      <c r="B58" s="232" t="s">
        <v>2591</v>
      </c>
      <c r="C58" s="293"/>
      <c r="D58" s="347"/>
      <c r="E58" s="347"/>
      <c r="F58" s="347"/>
      <c r="G58" s="347"/>
      <c r="H58" s="263">
        <v>0</v>
      </c>
      <c r="I58" s="263"/>
      <c r="J58" s="263" t="s">
        <v>2591</v>
      </c>
      <c r="K58" s="263"/>
      <c r="L58" s="289">
        <f t="shared" si="2"/>
        <v>0</v>
      </c>
      <c r="M58" s="258" t="e">
        <f t="shared" si="3"/>
        <v>#DIV/0!</v>
      </c>
      <c r="N58" s="259"/>
      <c r="O58" s="259"/>
      <c r="P58" s="259"/>
      <c r="Q58" s="259"/>
      <c r="R58" s="259"/>
      <c r="S58" s="259"/>
      <c r="T58" s="259"/>
      <c r="U58" s="259"/>
      <c r="V58" s="259"/>
    </row>
    <row r="59" spans="1:22" s="260" customFormat="1" ht="21" customHeight="1">
      <c r="A59" s="290">
        <v>4</v>
      </c>
      <c r="B59" s="232" t="s">
        <v>2592</v>
      </c>
      <c r="C59" s="240"/>
      <c r="D59" s="348">
        <f>SUM(E59:G59)</f>
        <v>0</v>
      </c>
      <c r="E59" s="354"/>
      <c r="F59" s="356"/>
      <c r="G59" s="348"/>
      <c r="H59" s="263">
        <v>13.441369499999999</v>
      </c>
      <c r="I59" s="263"/>
      <c r="J59" s="263" t="s">
        <v>2592</v>
      </c>
      <c r="K59" s="241"/>
      <c r="L59" s="289">
        <f t="shared" si="2"/>
        <v>0</v>
      </c>
      <c r="M59" s="258" t="e">
        <f t="shared" si="3"/>
        <v>#DIV/0!</v>
      </c>
      <c r="N59" s="259"/>
      <c r="O59" s="259"/>
      <c r="P59" s="259"/>
      <c r="Q59" s="259"/>
      <c r="R59" s="259"/>
      <c r="S59" s="259"/>
      <c r="T59" s="259"/>
      <c r="U59" s="259"/>
      <c r="V59" s="259"/>
    </row>
    <row r="60" spans="1:22" s="260" customFormat="1" ht="31.5">
      <c r="A60" s="290">
        <v>5</v>
      </c>
      <c r="B60" s="232" t="s">
        <v>2593</v>
      </c>
      <c r="C60" s="294"/>
      <c r="D60" s="357">
        <f>E60+F60+G60</f>
        <v>0</v>
      </c>
      <c r="E60" s="357"/>
      <c r="F60" s="357"/>
      <c r="G60" s="357"/>
      <c r="H60" s="263">
        <v>17.976659999999999</v>
      </c>
      <c r="I60" s="263"/>
      <c r="J60" s="263" t="s">
        <v>2593</v>
      </c>
      <c r="K60" s="296"/>
      <c r="L60" s="289">
        <f t="shared" si="2"/>
        <v>0</v>
      </c>
      <c r="M60" s="258" t="e">
        <f t="shared" si="3"/>
        <v>#DIV/0!</v>
      </c>
      <c r="N60" s="259"/>
      <c r="O60" s="259"/>
      <c r="P60" s="259"/>
      <c r="Q60" s="259"/>
      <c r="R60" s="259"/>
      <c r="S60" s="259"/>
      <c r="T60" s="259"/>
      <c r="U60" s="259"/>
      <c r="V60" s="259"/>
    </row>
    <row r="61" spans="1:22" s="260" customFormat="1" ht="21" customHeight="1">
      <c r="A61" s="290">
        <v>6</v>
      </c>
      <c r="B61" s="232" t="s">
        <v>2594</v>
      </c>
      <c r="C61" s="293"/>
      <c r="D61" s="348">
        <f>SUM(E61:G61)</f>
        <v>0</v>
      </c>
      <c r="E61" s="347"/>
      <c r="F61" s="347"/>
      <c r="G61" s="347"/>
      <c r="H61" s="263">
        <v>15.8790125</v>
      </c>
      <c r="I61" s="263"/>
      <c r="J61" s="263" t="s">
        <v>2594</v>
      </c>
      <c r="K61" s="263"/>
      <c r="L61" s="289">
        <f t="shared" si="2"/>
        <v>0</v>
      </c>
      <c r="M61" s="258" t="e">
        <f t="shared" si="3"/>
        <v>#DIV/0!</v>
      </c>
      <c r="N61" s="259"/>
      <c r="O61" s="259"/>
      <c r="P61" s="259"/>
      <c r="Q61" s="259"/>
      <c r="R61" s="259"/>
      <c r="S61" s="259"/>
      <c r="T61" s="259"/>
      <c r="U61" s="259"/>
      <c r="V61" s="259"/>
    </row>
    <row r="62" spans="1:22" s="260" customFormat="1" ht="21" customHeight="1">
      <c r="A62" s="290">
        <v>7</v>
      </c>
      <c r="B62" s="232" t="s">
        <v>2595</v>
      </c>
      <c r="C62" s="240"/>
      <c r="D62" s="348">
        <f>SUM(E62:G62)</f>
        <v>0</v>
      </c>
      <c r="E62" s="354"/>
      <c r="F62" s="356"/>
      <c r="G62" s="348"/>
      <c r="H62" s="263">
        <v>21.698456</v>
      </c>
      <c r="I62" s="263"/>
      <c r="J62" s="263" t="s">
        <v>2595</v>
      </c>
      <c r="K62" s="241"/>
      <c r="L62" s="289">
        <f t="shared" si="2"/>
        <v>0</v>
      </c>
      <c r="M62" s="258" t="e">
        <f t="shared" si="3"/>
        <v>#DIV/0!</v>
      </c>
      <c r="N62" s="259"/>
      <c r="O62" s="259"/>
      <c r="P62" s="259"/>
      <c r="Q62" s="259"/>
      <c r="R62" s="259"/>
      <c r="S62" s="259"/>
      <c r="T62" s="259"/>
      <c r="U62" s="259"/>
      <c r="V62" s="259"/>
    </row>
    <row r="63" spans="1:22" s="260" customFormat="1" ht="36.75" customHeight="1">
      <c r="A63" s="290">
        <v>8</v>
      </c>
      <c r="B63" s="232" t="s">
        <v>2596</v>
      </c>
      <c r="C63" s="294"/>
      <c r="D63" s="357">
        <f>E63+F63+G63</f>
        <v>0</v>
      </c>
      <c r="E63" s="358"/>
      <c r="F63" s="358"/>
      <c r="G63" s="357"/>
      <c r="H63" s="263">
        <v>21.866734999999998</v>
      </c>
      <c r="I63" s="263"/>
      <c r="J63" s="263" t="s">
        <v>2596</v>
      </c>
      <c r="K63" s="296"/>
      <c r="L63" s="289">
        <f t="shared" si="2"/>
        <v>0</v>
      </c>
      <c r="M63" s="258" t="e">
        <f t="shared" si="3"/>
        <v>#DIV/0!</v>
      </c>
      <c r="N63" s="259"/>
      <c r="O63" s="259"/>
      <c r="P63" s="259"/>
      <c r="Q63" s="259"/>
      <c r="R63" s="259"/>
      <c r="S63" s="259"/>
      <c r="T63" s="259"/>
      <c r="U63" s="259"/>
      <c r="V63" s="259"/>
    </row>
    <row r="64" spans="1:22" s="260" customFormat="1" ht="36.75" customHeight="1">
      <c r="A64" s="290">
        <v>9</v>
      </c>
      <c r="B64" s="232" t="s">
        <v>2597</v>
      </c>
      <c r="C64" s="293"/>
      <c r="D64" s="347"/>
      <c r="E64" s="347"/>
      <c r="F64" s="347"/>
      <c r="G64" s="347"/>
      <c r="H64" s="263">
        <v>0</v>
      </c>
      <c r="I64" s="263"/>
      <c r="J64" s="263" t="s">
        <v>2597</v>
      </c>
      <c r="K64" s="263"/>
      <c r="L64" s="289">
        <f t="shared" si="2"/>
        <v>0</v>
      </c>
      <c r="M64" s="258" t="e">
        <f t="shared" si="3"/>
        <v>#DIV/0!</v>
      </c>
      <c r="N64" s="259"/>
      <c r="O64" s="259"/>
      <c r="P64" s="259"/>
      <c r="Q64" s="259"/>
      <c r="R64" s="259"/>
      <c r="S64" s="259"/>
      <c r="T64" s="259"/>
      <c r="U64" s="259"/>
      <c r="V64" s="259"/>
    </row>
    <row r="65" spans="1:22" s="260" customFormat="1" ht="36.75" customHeight="1">
      <c r="A65" s="290">
        <v>10</v>
      </c>
      <c r="B65" s="232" t="s">
        <v>2598</v>
      </c>
      <c r="C65" s="293"/>
      <c r="D65" s="347"/>
      <c r="E65" s="347"/>
      <c r="F65" s="347"/>
      <c r="G65" s="347"/>
      <c r="H65" s="263">
        <v>0</v>
      </c>
      <c r="I65" s="263"/>
      <c r="J65" s="263" t="s">
        <v>2598</v>
      </c>
      <c r="K65" s="263"/>
      <c r="L65" s="289">
        <f t="shared" si="2"/>
        <v>0</v>
      </c>
      <c r="M65" s="258" t="e">
        <f t="shared" si="3"/>
        <v>#DIV/0!</v>
      </c>
      <c r="N65" s="259"/>
      <c r="O65" s="259"/>
      <c r="P65" s="259"/>
      <c r="Q65" s="259"/>
      <c r="R65" s="259"/>
      <c r="S65" s="259"/>
      <c r="T65" s="259"/>
      <c r="U65" s="259"/>
      <c r="V65" s="259"/>
    </row>
    <row r="66" spans="1:22" s="260" customFormat="1" ht="21" customHeight="1">
      <c r="A66" s="290"/>
      <c r="B66" s="291" t="s">
        <v>2529</v>
      </c>
      <c r="C66" s="262"/>
      <c r="D66" s="347">
        <f>D58+D61</f>
        <v>0</v>
      </c>
      <c r="E66" s="347"/>
      <c r="F66" s="347"/>
      <c r="G66" s="347"/>
      <c r="H66" s="292"/>
      <c r="I66" s="292"/>
      <c r="J66" s="292"/>
      <c r="K66" s="292"/>
      <c r="L66" s="289">
        <f t="shared" si="2"/>
        <v>0</v>
      </c>
      <c r="M66" s="258" t="e">
        <f t="shared" si="3"/>
        <v>#DIV/0!</v>
      </c>
      <c r="N66" s="259"/>
      <c r="O66" s="259"/>
      <c r="P66" s="259"/>
      <c r="Q66" s="259"/>
      <c r="R66" s="259"/>
      <c r="S66" s="259"/>
      <c r="T66" s="259"/>
      <c r="U66" s="259"/>
      <c r="V66" s="259"/>
    </row>
    <row r="67" spans="1:22" s="260" customFormat="1" ht="21" customHeight="1">
      <c r="A67" s="268">
        <v>2</v>
      </c>
      <c r="B67" s="269" t="s">
        <v>2237</v>
      </c>
      <c r="C67" s="257">
        <f>C68+C103</f>
        <v>0</v>
      </c>
      <c r="D67" s="347">
        <f>D68+D103</f>
        <v>0</v>
      </c>
      <c r="E67" s="347">
        <f>E68+E103</f>
        <v>0</v>
      </c>
      <c r="F67" s="347">
        <f>F68+F103</f>
        <v>0</v>
      </c>
      <c r="G67" s="347">
        <f>G68+G103</f>
        <v>0</v>
      </c>
      <c r="H67" s="263">
        <v>407.76923977769229</v>
      </c>
      <c r="I67" s="263"/>
      <c r="J67" s="263"/>
      <c r="K67" s="263"/>
      <c r="L67" s="289">
        <f t="shared" si="2"/>
        <v>0</v>
      </c>
      <c r="M67" s="258" t="e">
        <f t="shared" si="3"/>
        <v>#DIV/0!</v>
      </c>
      <c r="N67" s="259"/>
      <c r="O67" s="259"/>
      <c r="P67" s="259"/>
      <c r="Q67" s="259"/>
      <c r="R67" s="259"/>
      <c r="S67" s="259"/>
      <c r="T67" s="259"/>
      <c r="U67" s="259"/>
      <c r="V67" s="259"/>
    </row>
    <row r="68" spans="1:22" s="256" customFormat="1" ht="21" customHeight="1">
      <c r="A68" s="248">
        <v>11</v>
      </c>
      <c r="B68" s="244" t="s">
        <v>2293</v>
      </c>
      <c r="C68" s="252">
        <f>SUM(C69:C77,C87:C89,C92,C98:C102)</f>
        <v>0</v>
      </c>
      <c r="D68" s="359">
        <f>SUM(D69:D77,D87:D89,D92,D98:D102)</f>
        <v>0</v>
      </c>
      <c r="E68" s="359">
        <f>SUM(E69:E77,E87:E89,E92,E98:E102)</f>
        <v>0</v>
      </c>
      <c r="F68" s="359">
        <f>SUM(F69:F77,F87:F89,F92,F98:F102)</f>
        <v>0</v>
      </c>
      <c r="G68" s="359">
        <f>SUM(G69:G77,G87:G89,G92,G98:G102)</f>
        <v>0</v>
      </c>
      <c r="H68" s="253"/>
      <c r="I68" s="253"/>
      <c r="J68" s="253"/>
      <c r="K68" s="253"/>
      <c r="L68" s="297">
        <f t="shared" si="2"/>
        <v>0</v>
      </c>
      <c r="M68" s="254" t="e">
        <f t="shared" si="3"/>
        <v>#DIV/0!</v>
      </c>
      <c r="N68" s="255"/>
      <c r="O68" s="255"/>
      <c r="P68" s="255"/>
      <c r="Q68" s="255"/>
      <c r="R68" s="255"/>
      <c r="S68" s="255"/>
      <c r="T68" s="255"/>
      <c r="U68" s="255"/>
      <c r="V68" s="255"/>
    </row>
    <row r="69" spans="1:22" s="256" customFormat="1" ht="21" customHeight="1">
      <c r="A69" s="248"/>
      <c r="B69" s="242" t="s">
        <v>2889</v>
      </c>
      <c r="C69" s="252"/>
      <c r="D69" s="359">
        <f>E69+F69+G69</f>
        <v>0</v>
      </c>
      <c r="E69" s="359"/>
      <c r="F69" s="359"/>
      <c r="G69" s="359"/>
      <c r="H69" s="253"/>
      <c r="I69" s="253"/>
      <c r="J69" s="253"/>
      <c r="K69" s="253"/>
      <c r="L69" s="297"/>
      <c r="M69" s="254"/>
      <c r="N69" s="255"/>
      <c r="O69" s="255"/>
      <c r="P69" s="255"/>
      <c r="Q69" s="255"/>
      <c r="R69" s="255"/>
      <c r="S69" s="255"/>
      <c r="T69" s="255"/>
      <c r="U69" s="255"/>
      <c r="V69" s="255"/>
    </row>
    <row r="70" spans="1:22" s="256" customFormat="1" ht="21" customHeight="1">
      <c r="A70" s="248"/>
      <c r="B70" s="242" t="s">
        <v>2600</v>
      </c>
      <c r="C70" s="252"/>
      <c r="D70" s="359">
        <f t="shared" ref="D70:D103" si="4">E70+F70+G70</f>
        <v>0</v>
      </c>
      <c r="E70" s="359"/>
      <c r="F70" s="359"/>
      <c r="G70" s="359"/>
      <c r="H70" s="253"/>
      <c r="I70" s="253"/>
      <c r="J70" s="253"/>
      <c r="K70" s="253"/>
      <c r="L70" s="297">
        <f t="shared" si="2"/>
        <v>0</v>
      </c>
      <c r="M70" s="254" t="e">
        <f t="shared" si="3"/>
        <v>#DIV/0!</v>
      </c>
      <c r="N70" s="255"/>
      <c r="O70" s="255"/>
      <c r="P70" s="255"/>
      <c r="Q70" s="255"/>
      <c r="R70" s="255"/>
      <c r="S70" s="255"/>
      <c r="T70" s="255"/>
      <c r="U70" s="255"/>
      <c r="V70" s="255"/>
    </row>
    <row r="71" spans="1:22" s="256" customFormat="1" ht="21" customHeight="1">
      <c r="A71" s="248"/>
      <c r="B71" s="242" t="s">
        <v>3057</v>
      </c>
      <c r="C71" s="252"/>
      <c r="D71" s="359">
        <f t="shared" si="4"/>
        <v>0</v>
      </c>
      <c r="E71" s="359"/>
      <c r="F71" s="359"/>
      <c r="G71" s="359"/>
      <c r="H71" s="253"/>
      <c r="I71" s="253"/>
      <c r="J71" s="253"/>
      <c r="K71" s="253"/>
      <c r="L71" s="297">
        <f t="shared" si="2"/>
        <v>0</v>
      </c>
      <c r="M71" s="254" t="e">
        <f t="shared" si="3"/>
        <v>#DIV/0!</v>
      </c>
      <c r="N71" s="255"/>
      <c r="O71" s="255"/>
      <c r="P71" s="255"/>
      <c r="Q71" s="255"/>
      <c r="R71" s="255"/>
      <c r="S71" s="255"/>
      <c r="T71" s="255"/>
      <c r="U71" s="255"/>
      <c r="V71" s="255"/>
    </row>
    <row r="72" spans="1:22" s="256" customFormat="1" ht="21" customHeight="1">
      <c r="A72" s="248"/>
      <c r="B72" s="242" t="s">
        <v>2602</v>
      </c>
      <c r="C72" s="252"/>
      <c r="D72" s="359">
        <f t="shared" si="4"/>
        <v>0</v>
      </c>
      <c r="E72" s="359"/>
      <c r="F72" s="359"/>
      <c r="G72" s="359"/>
      <c r="H72" s="253"/>
      <c r="I72" s="253"/>
      <c r="J72" s="253"/>
      <c r="K72" s="253"/>
      <c r="L72" s="297">
        <f t="shared" si="2"/>
        <v>0</v>
      </c>
      <c r="M72" s="254" t="e">
        <f t="shared" si="3"/>
        <v>#DIV/0!</v>
      </c>
      <c r="N72" s="255"/>
      <c r="O72" s="255"/>
      <c r="P72" s="255"/>
      <c r="Q72" s="255"/>
      <c r="R72" s="255"/>
      <c r="S72" s="255"/>
      <c r="T72" s="255"/>
      <c r="U72" s="255"/>
      <c r="V72" s="255"/>
    </row>
    <row r="73" spans="1:22" s="256" customFormat="1" ht="21" customHeight="1">
      <c r="A73" s="248"/>
      <c r="B73" s="242" t="s">
        <v>2603</v>
      </c>
      <c r="C73" s="252"/>
      <c r="D73" s="359">
        <f t="shared" si="4"/>
        <v>0</v>
      </c>
      <c r="E73" s="359"/>
      <c r="F73" s="359"/>
      <c r="G73" s="359"/>
      <c r="H73" s="253"/>
      <c r="I73" s="253"/>
      <c r="J73" s="253"/>
      <c r="K73" s="253"/>
      <c r="L73" s="297">
        <f t="shared" si="2"/>
        <v>0</v>
      </c>
      <c r="M73" s="254" t="e">
        <f t="shared" si="3"/>
        <v>#DIV/0!</v>
      </c>
      <c r="N73" s="255"/>
      <c r="O73" s="255"/>
      <c r="P73" s="255"/>
      <c r="Q73" s="255"/>
      <c r="R73" s="255"/>
      <c r="S73" s="255"/>
      <c r="T73" s="255"/>
      <c r="U73" s="255"/>
      <c r="V73" s="255"/>
    </row>
    <row r="74" spans="1:22" s="256" customFormat="1" ht="21" customHeight="1">
      <c r="A74" s="248"/>
      <c r="B74" s="242" t="s">
        <v>2604</v>
      </c>
      <c r="C74" s="252"/>
      <c r="D74" s="359">
        <f t="shared" si="4"/>
        <v>0</v>
      </c>
      <c r="E74" s="359"/>
      <c r="F74" s="359"/>
      <c r="G74" s="359"/>
      <c r="H74" s="253"/>
      <c r="I74" s="253"/>
      <c r="J74" s="253"/>
      <c r="K74" s="253"/>
      <c r="L74" s="297">
        <f t="shared" si="2"/>
        <v>0</v>
      </c>
      <c r="M74" s="254" t="e">
        <f t="shared" si="3"/>
        <v>#DIV/0!</v>
      </c>
      <c r="N74" s="255"/>
      <c r="O74" s="255"/>
      <c r="P74" s="255"/>
      <c r="Q74" s="255"/>
      <c r="R74" s="255"/>
      <c r="S74" s="255"/>
      <c r="T74" s="255"/>
      <c r="U74" s="255"/>
      <c r="V74" s="255"/>
    </row>
    <row r="75" spans="1:22" s="256" customFormat="1" ht="21" customHeight="1">
      <c r="A75" s="248"/>
      <c r="B75" s="242" t="s">
        <v>2605</v>
      </c>
      <c r="C75" s="252"/>
      <c r="D75" s="359">
        <f t="shared" si="4"/>
        <v>0</v>
      </c>
      <c r="E75" s="359"/>
      <c r="F75" s="359"/>
      <c r="G75" s="359"/>
      <c r="H75" s="253"/>
      <c r="I75" s="253"/>
      <c r="J75" s="253"/>
      <c r="K75" s="253"/>
      <c r="L75" s="297">
        <f t="shared" si="2"/>
        <v>0</v>
      </c>
      <c r="M75" s="254" t="e">
        <f t="shared" si="3"/>
        <v>#DIV/0!</v>
      </c>
      <c r="N75" s="255"/>
      <c r="O75" s="255"/>
      <c r="P75" s="255"/>
      <c r="Q75" s="255"/>
      <c r="R75" s="255"/>
      <c r="S75" s="255"/>
      <c r="T75" s="255"/>
      <c r="U75" s="255"/>
      <c r="V75" s="255"/>
    </row>
    <row r="76" spans="1:22" s="256" customFormat="1" ht="21" customHeight="1">
      <c r="A76" s="248"/>
      <c r="B76" s="242" t="s">
        <v>2606</v>
      </c>
      <c r="C76" s="252"/>
      <c r="D76" s="359">
        <f t="shared" si="4"/>
        <v>0</v>
      </c>
      <c r="E76" s="359"/>
      <c r="F76" s="359"/>
      <c r="G76" s="359"/>
      <c r="H76" s="253"/>
      <c r="I76" s="253"/>
      <c r="J76" s="253"/>
      <c r="K76" s="253"/>
      <c r="L76" s="297">
        <f t="shared" si="2"/>
        <v>0</v>
      </c>
      <c r="M76" s="254" t="e">
        <f t="shared" si="3"/>
        <v>#DIV/0!</v>
      </c>
      <c r="N76" s="255"/>
      <c r="O76" s="255"/>
      <c r="P76" s="255"/>
      <c r="Q76" s="255"/>
      <c r="R76" s="255"/>
      <c r="S76" s="255"/>
      <c r="T76" s="255"/>
      <c r="U76" s="255"/>
      <c r="V76" s="255"/>
    </row>
    <row r="77" spans="1:22" s="256" customFormat="1" ht="21" customHeight="1">
      <c r="A77" s="248"/>
      <c r="B77" s="243" t="s">
        <v>2607</v>
      </c>
      <c r="C77" s="252">
        <f>SUM(C78:C86)</f>
        <v>0</v>
      </c>
      <c r="D77" s="359">
        <f>SUM(D78:D86)</f>
        <v>0</v>
      </c>
      <c r="E77" s="359">
        <f>SUM(E78:E86)</f>
        <v>0</v>
      </c>
      <c r="F77" s="359">
        <f>SUM(F78:F86)</f>
        <v>0</v>
      </c>
      <c r="G77" s="359">
        <f>SUM(G78:G86)</f>
        <v>0</v>
      </c>
      <c r="H77" s="253"/>
      <c r="I77" s="253"/>
      <c r="J77" s="253"/>
      <c r="K77" s="253"/>
      <c r="L77" s="297">
        <f t="shared" si="2"/>
        <v>0</v>
      </c>
      <c r="M77" s="254" t="e">
        <f t="shared" si="3"/>
        <v>#DIV/0!</v>
      </c>
      <c r="N77" s="255"/>
      <c r="O77" s="255"/>
      <c r="P77" s="255"/>
      <c r="Q77" s="255"/>
      <c r="R77" s="255"/>
      <c r="S77" s="255"/>
      <c r="T77" s="255"/>
      <c r="U77" s="255"/>
      <c r="V77" s="255"/>
    </row>
    <row r="78" spans="1:22" s="256" customFormat="1" ht="21" customHeight="1">
      <c r="A78" s="248"/>
      <c r="B78" s="244" t="s">
        <v>2608</v>
      </c>
      <c r="C78" s="252"/>
      <c r="D78" s="359">
        <f t="shared" si="4"/>
        <v>0</v>
      </c>
      <c r="E78" s="359"/>
      <c r="F78" s="359"/>
      <c r="G78" s="359"/>
      <c r="H78" s="253"/>
      <c r="I78" s="253"/>
      <c r="J78" s="253"/>
      <c r="K78" s="253"/>
      <c r="L78" s="297">
        <f t="shared" si="2"/>
        <v>0</v>
      </c>
      <c r="M78" s="254" t="e">
        <f t="shared" si="3"/>
        <v>#DIV/0!</v>
      </c>
      <c r="N78" s="255"/>
      <c r="O78" s="255"/>
      <c r="P78" s="255"/>
      <c r="Q78" s="255"/>
      <c r="R78" s="255"/>
      <c r="S78" s="255"/>
      <c r="T78" s="255"/>
      <c r="U78" s="255"/>
      <c r="V78" s="255"/>
    </row>
    <row r="79" spans="1:22" s="256" customFormat="1" ht="21" customHeight="1">
      <c r="A79" s="248"/>
      <c r="B79" s="244" t="s">
        <v>2609</v>
      </c>
      <c r="C79" s="252"/>
      <c r="D79" s="359">
        <f t="shared" si="4"/>
        <v>0</v>
      </c>
      <c r="E79" s="359"/>
      <c r="F79" s="359"/>
      <c r="G79" s="359"/>
      <c r="H79" s="253"/>
      <c r="I79" s="253"/>
      <c r="J79" s="253"/>
      <c r="K79" s="253"/>
      <c r="L79" s="297">
        <f t="shared" si="2"/>
        <v>0</v>
      </c>
      <c r="M79" s="254" t="e">
        <f t="shared" si="3"/>
        <v>#DIV/0!</v>
      </c>
      <c r="N79" s="255"/>
      <c r="O79" s="255"/>
      <c r="P79" s="255"/>
      <c r="Q79" s="255"/>
      <c r="R79" s="255"/>
      <c r="S79" s="255"/>
      <c r="T79" s="255"/>
      <c r="U79" s="255"/>
      <c r="V79" s="255"/>
    </row>
    <row r="80" spans="1:22" s="256" customFormat="1" ht="21" customHeight="1">
      <c r="A80" s="248"/>
      <c r="B80" s="244" t="s">
        <v>2610</v>
      </c>
      <c r="C80" s="252"/>
      <c r="D80" s="359">
        <f t="shared" si="4"/>
        <v>0</v>
      </c>
      <c r="E80" s="359"/>
      <c r="F80" s="359"/>
      <c r="G80" s="359"/>
      <c r="H80" s="253"/>
      <c r="I80" s="253"/>
      <c r="J80" s="253"/>
      <c r="K80" s="253"/>
      <c r="L80" s="297">
        <f t="shared" si="2"/>
        <v>0</v>
      </c>
      <c r="M80" s="254" t="e">
        <f t="shared" si="3"/>
        <v>#DIV/0!</v>
      </c>
      <c r="N80" s="255"/>
      <c r="O80" s="255"/>
      <c r="P80" s="255"/>
      <c r="Q80" s="255"/>
      <c r="R80" s="255"/>
      <c r="S80" s="255"/>
      <c r="T80" s="255"/>
      <c r="U80" s="255"/>
      <c r="V80" s="255"/>
    </row>
    <row r="81" spans="1:22" s="256" customFormat="1" ht="21" customHeight="1">
      <c r="A81" s="248"/>
      <c r="B81" s="244" t="s">
        <v>2611</v>
      </c>
      <c r="C81" s="252"/>
      <c r="D81" s="359">
        <f t="shared" si="4"/>
        <v>0</v>
      </c>
      <c r="E81" s="359"/>
      <c r="F81" s="359"/>
      <c r="G81" s="359"/>
      <c r="H81" s="253"/>
      <c r="I81" s="253"/>
      <c r="J81" s="253"/>
      <c r="K81" s="253"/>
      <c r="L81" s="297">
        <f t="shared" si="2"/>
        <v>0</v>
      </c>
      <c r="M81" s="254" t="e">
        <f t="shared" si="3"/>
        <v>#DIV/0!</v>
      </c>
      <c r="N81" s="255"/>
      <c r="O81" s="255"/>
      <c r="P81" s="255"/>
      <c r="Q81" s="255"/>
      <c r="R81" s="255"/>
      <c r="S81" s="255"/>
      <c r="T81" s="255"/>
      <c r="U81" s="255"/>
      <c r="V81" s="255"/>
    </row>
    <row r="82" spans="1:22" s="256" customFormat="1" ht="21" customHeight="1">
      <c r="A82" s="248"/>
      <c r="B82" s="244" t="s">
        <v>2612</v>
      </c>
      <c r="C82" s="252"/>
      <c r="D82" s="359">
        <f t="shared" si="4"/>
        <v>0</v>
      </c>
      <c r="E82" s="359"/>
      <c r="F82" s="359"/>
      <c r="G82" s="359"/>
      <c r="H82" s="253"/>
      <c r="I82" s="253"/>
      <c r="J82" s="253"/>
      <c r="K82" s="253"/>
      <c r="L82" s="297">
        <f t="shared" si="2"/>
        <v>0</v>
      </c>
      <c r="M82" s="254" t="e">
        <f t="shared" si="3"/>
        <v>#DIV/0!</v>
      </c>
      <c r="N82" s="255"/>
      <c r="O82" s="255"/>
      <c r="P82" s="255"/>
      <c r="Q82" s="255"/>
      <c r="R82" s="255"/>
      <c r="S82" s="255"/>
      <c r="T82" s="255"/>
      <c r="U82" s="255"/>
      <c r="V82" s="255"/>
    </row>
    <row r="83" spans="1:22" s="256" customFormat="1" ht="21" customHeight="1">
      <c r="A83" s="248"/>
      <c r="B83" s="244" t="s">
        <v>2613</v>
      </c>
      <c r="C83" s="252"/>
      <c r="D83" s="359">
        <f t="shared" si="4"/>
        <v>0</v>
      </c>
      <c r="E83" s="359"/>
      <c r="F83" s="359"/>
      <c r="G83" s="359"/>
      <c r="H83" s="253"/>
      <c r="I83" s="253"/>
      <c r="J83" s="253"/>
      <c r="K83" s="253"/>
      <c r="L83" s="297">
        <f t="shared" ref="L83:L154" si="5">E83/1.39</f>
        <v>0</v>
      </c>
      <c r="M83" s="254" t="e">
        <f t="shared" ref="M83:M154" si="6">L83/C83</f>
        <v>#DIV/0!</v>
      </c>
      <c r="N83" s="255"/>
      <c r="O83" s="255"/>
      <c r="P83" s="255"/>
      <c r="Q83" s="255"/>
      <c r="R83" s="255"/>
      <c r="S83" s="255"/>
      <c r="T83" s="255"/>
      <c r="U83" s="255"/>
      <c r="V83" s="255"/>
    </row>
    <row r="84" spans="1:22" s="256" customFormat="1" ht="21" customHeight="1">
      <c r="A84" s="248"/>
      <c r="B84" s="244" t="s">
        <v>2614</v>
      </c>
      <c r="C84" s="252"/>
      <c r="D84" s="359">
        <f t="shared" si="4"/>
        <v>0</v>
      </c>
      <c r="E84" s="359"/>
      <c r="F84" s="359"/>
      <c r="G84" s="359"/>
      <c r="H84" s="253"/>
      <c r="I84" s="253"/>
      <c r="J84" s="253"/>
      <c r="K84" s="253"/>
      <c r="L84" s="297">
        <f t="shared" si="5"/>
        <v>0</v>
      </c>
      <c r="M84" s="254" t="e">
        <f t="shared" si="6"/>
        <v>#DIV/0!</v>
      </c>
      <c r="N84" s="255"/>
      <c r="O84" s="255"/>
      <c r="P84" s="255"/>
      <c r="Q84" s="255"/>
      <c r="R84" s="255"/>
      <c r="S84" s="255"/>
      <c r="T84" s="255"/>
      <c r="U84" s="255"/>
      <c r="V84" s="255"/>
    </row>
    <row r="85" spans="1:22" s="256" customFormat="1" ht="21" customHeight="1">
      <c r="A85" s="248"/>
      <c r="B85" s="244" t="s">
        <v>2615</v>
      </c>
      <c r="C85" s="252"/>
      <c r="D85" s="359">
        <f t="shared" si="4"/>
        <v>0</v>
      </c>
      <c r="E85" s="359"/>
      <c r="F85" s="359"/>
      <c r="G85" s="359"/>
      <c r="H85" s="253"/>
      <c r="I85" s="253"/>
      <c r="J85" s="253"/>
      <c r="K85" s="253"/>
      <c r="L85" s="297">
        <f t="shared" si="5"/>
        <v>0</v>
      </c>
      <c r="M85" s="254" t="e">
        <f t="shared" si="6"/>
        <v>#DIV/0!</v>
      </c>
      <c r="N85" s="255"/>
      <c r="O85" s="255"/>
      <c r="P85" s="255"/>
      <c r="Q85" s="255"/>
      <c r="R85" s="255"/>
      <c r="S85" s="255"/>
      <c r="T85" s="255"/>
      <c r="U85" s="255"/>
      <c r="V85" s="255"/>
    </row>
    <row r="86" spans="1:22" s="256" customFormat="1" ht="21" customHeight="1">
      <c r="A86" s="248"/>
      <c r="B86" s="244" t="s">
        <v>2616</v>
      </c>
      <c r="C86" s="252"/>
      <c r="D86" s="359">
        <f t="shared" si="4"/>
        <v>0</v>
      </c>
      <c r="E86" s="359"/>
      <c r="F86" s="359"/>
      <c r="G86" s="359"/>
      <c r="H86" s="253"/>
      <c r="I86" s="253"/>
      <c r="J86" s="253"/>
      <c r="K86" s="253"/>
      <c r="L86" s="297">
        <f t="shared" si="5"/>
        <v>0</v>
      </c>
      <c r="M86" s="254" t="e">
        <f t="shared" si="6"/>
        <v>#DIV/0!</v>
      </c>
      <c r="N86" s="255"/>
      <c r="O86" s="255"/>
      <c r="P86" s="255"/>
      <c r="Q86" s="255"/>
      <c r="R86" s="255"/>
      <c r="S86" s="255"/>
      <c r="T86" s="255"/>
      <c r="U86" s="255"/>
      <c r="V86" s="255"/>
    </row>
    <row r="87" spans="1:22" s="256" customFormat="1" ht="21" customHeight="1">
      <c r="A87" s="248"/>
      <c r="B87" s="242" t="s">
        <v>2898</v>
      </c>
      <c r="C87" s="252">
        <v>0</v>
      </c>
      <c r="D87" s="359">
        <f t="shared" si="4"/>
        <v>0</v>
      </c>
      <c r="E87" s="359"/>
      <c r="F87" s="359"/>
      <c r="G87" s="359"/>
      <c r="H87" s="253"/>
      <c r="I87" s="253"/>
      <c r="J87" s="253"/>
      <c r="K87" s="253"/>
      <c r="L87" s="297">
        <f t="shared" si="5"/>
        <v>0</v>
      </c>
      <c r="M87" s="254" t="e">
        <f t="shared" si="6"/>
        <v>#DIV/0!</v>
      </c>
      <c r="N87" s="255"/>
      <c r="O87" s="255"/>
      <c r="P87" s="255"/>
      <c r="Q87" s="255"/>
      <c r="R87" s="255"/>
      <c r="S87" s="255"/>
      <c r="T87" s="255"/>
      <c r="U87" s="255"/>
      <c r="V87" s="255"/>
    </row>
    <row r="88" spans="1:22" s="256" customFormat="1" ht="21" customHeight="1">
      <c r="A88" s="248"/>
      <c r="B88" s="243" t="s">
        <v>2618</v>
      </c>
      <c r="C88" s="252">
        <v>0</v>
      </c>
      <c r="D88" s="359">
        <f t="shared" si="4"/>
        <v>0</v>
      </c>
      <c r="E88" s="359"/>
      <c r="F88" s="359"/>
      <c r="G88" s="359"/>
      <c r="H88" s="253"/>
      <c r="I88" s="253"/>
      <c r="J88" s="253"/>
      <c r="K88" s="253"/>
      <c r="L88" s="297">
        <f t="shared" si="5"/>
        <v>0</v>
      </c>
      <c r="M88" s="254" t="e">
        <f t="shared" si="6"/>
        <v>#DIV/0!</v>
      </c>
      <c r="N88" s="255"/>
      <c r="O88" s="255"/>
      <c r="P88" s="255"/>
      <c r="Q88" s="255"/>
      <c r="R88" s="255"/>
      <c r="S88" s="255"/>
      <c r="T88" s="255"/>
      <c r="U88" s="255"/>
      <c r="V88" s="255"/>
    </row>
    <row r="89" spans="1:22" s="256" customFormat="1" ht="21" customHeight="1">
      <c r="A89" s="248"/>
      <c r="B89" s="243" t="s">
        <v>2619</v>
      </c>
      <c r="C89" s="252">
        <f>SUM(C90:C91)</f>
        <v>0</v>
      </c>
      <c r="D89" s="359">
        <f>SUM(D90:D91)</f>
        <v>0</v>
      </c>
      <c r="E89" s="359">
        <f>SUM(E90:E91)</f>
        <v>0</v>
      </c>
      <c r="F89" s="359">
        <f>SUM(F90:F91)</f>
        <v>0</v>
      </c>
      <c r="G89" s="359">
        <f>SUM(G90:G91)</f>
        <v>0</v>
      </c>
      <c r="H89" s="253"/>
      <c r="I89" s="253"/>
      <c r="J89" s="253"/>
      <c r="K89" s="253"/>
      <c r="L89" s="297">
        <f t="shared" si="5"/>
        <v>0</v>
      </c>
      <c r="M89" s="254" t="e">
        <f t="shared" si="6"/>
        <v>#DIV/0!</v>
      </c>
      <c r="N89" s="255"/>
      <c r="O89" s="255"/>
      <c r="P89" s="255"/>
      <c r="Q89" s="255"/>
      <c r="R89" s="255"/>
      <c r="S89" s="255"/>
      <c r="T89" s="255"/>
      <c r="U89" s="255"/>
      <c r="V89" s="255"/>
    </row>
    <row r="90" spans="1:22" s="256" customFormat="1" ht="21" customHeight="1">
      <c r="A90" s="248"/>
      <c r="B90" s="243" t="s">
        <v>2620</v>
      </c>
      <c r="C90" s="252"/>
      <c r="D90" s="359">
        <f t="shared" si="4"/>
        <v>0</v>
      </c>
      <c r="E90" s="359"/>
      <c r="F90" s="359"/>
      <c r="G90" s="359"/>
      <c r="H90" s="253"/>
      <c r="I90" s="253"/>
      <c r="J90" s="253"/>
      <c r="K90" s="253"/>
      <c r="L90" s="297">
        <f t="shared" si="5"/>
        <v>0</v>
      </c>
      <c r="M90" s="254" t="e">
        <f t="shared" si="6"/>
        <v>#DIV/0!</v>
      </c>
      <c r="N90" s="255"/>
      <c r="O90" s="255"/>
      <c r="P90" s="255"/>
      <c r="Q90" s="255"/>
      <c r="R90" s="255"/>
      <c r="S90" s="255"/>
      <c r="T90" s="255"/>
      <c r="U90" s="255"/>
      <c r="V90" s="255"/>
    </row>
    <row r="91" spans="1:22" s="256" customFormat="1" ht="21" customHeight="1">
      <c r="A91" s="248"/>
      <c r="B91" s="243" t="s">
        <v>2621</v>
      </c>
      <c r="C91" s="252"/>
      <c r="D91" s="359">
        <f t="shared" si="4"/>
        <v>0</v>
      </c>
      <c r="E91" s="359"/>
      <c r="F91" s="359"/>
      <c r="G91" s="359"/>
      <c r="H91" s="253"/>
      <c r="I91" s="253"/>
      <c r="J91" s="253"/>
      <c r="K91" s="253"/>
      <c r="L91" s="297">
        <f t="shared" si="5"/>
        <v>0</v>
      </c>
      <c r="M91" s="254" t="e">
        <f t="shared" si="6"/>
        <v>#DIV/0!</v>
      </c>
      <c r="N91" s="255"/>
      <c r="O91" s="255"/>
      <c r="P91" s="255"/>
      <c r="Q91" s="255"/>
      <c r="R91" s="255"/>
      <c r="S91" s="255"/>
      <c r="T91" s="255"/>
      <c r="U91" s="255"/>
      <c r="V91" s="255"/>
    </row>
    <row r="92" spans="1:22" s="256" customFormat="1" ht="21" customHeight="1">
      <c r="A92" s="248"/>
      <c r="B92" s="243" t="s">
        <v>2622</v>
      </c>
      <c r="C92" s="252">
        <f>SUM(C93:C97)</f>
        <v>0</v>
      </c>
      <c r="D92" s="359">
        <f>SUM(D93:D97)</f>
        <v>0</v>
      </c>
      <c r="E92" s="359">
        <f>SUM(E93:E97)</f>
        <v>0</v>
      </c>
      <c r="F92" s="359">
        <f>SUM(F93:F97)</f>
        <v>0</v>
      </c>
      <c r="G92" s="359">
        <f>SUM(G93:G97)</f>
        <v>0</v>
      </c>
      <c r="H92" s="298"/>
      <c r="I92" s="298"/>
      <c r="J92" s="298"/>
      <c r="K92" s="298"/>
      <c r="L92" s="297">
        <f t="shared" si="5"/>
        <v>0</v>
      </c>
      <c r="M92" s="254" t="e">
        <f t="shared" si="6"/>
        <v>#DIV/0!</v>
      </c>
      <c r="N92" s="255"/>
      <c r="O92" s="255"/>
      <c r="P92" s="255"/>
      <c r="Q92" s="255"/>
      <c r="R92" s="255"/>
      <c r="S92" s="255"/>
      <c r="T92" s="255"/>
      <c r="U92" s="255"/>
      <c r="V92" s="255"/>
    </row>
    <row r="93" spans="1:22" s="256" customFormat="1" ht="21" customHeight="1">
      <c r="A93" s="248"/>
      <c r="B93" s="243" t="s">
        <v>2899</v>
      </c>
      <c r="C93" s="252">
        <v>0</v>
      </c>
      <c r="D93" s="359">
        <f t="shared" si="4"/>
        <v>0</v>
      </c>
      <c r="E93" s="359"/>
      <c r="F93" s="359"/>
      <c r="G93" s="359"/>
      <c r="H93" s="253"/>
      <c r="I93" s="253"/>
      <c r="J93" s="253"/>
      <c r="K93" s="253"/>
      <c r="L93" s="297">
        <f t="shared" si="5"/>
        <v>0</v>
      </c>
      <c r="M93" s="254" t="e">
        <f t="shared" si="6"/>
        <v>#DIV/0!</v>
      </c>
      <c r="N93" s="255"/>
      <c r="O93" s="255"/>
      <c r="P93" s="255"/>
      <c r="Q93" s="255"/>
      <c r="R93" s="255"/>
      <c r="S93" s="255"/>
      <c r="T93" s="255"/>
      <c r="U93" s="255"/>
      <c r="V93" s="255"/>
    </row>
    <row r="94" spans="1:22" s="256" customFormat="1" ht="21" customHeight="1">
      <c r="A94" s="248"/>
      <c r="B94" s="243" t="s">
        <v>2900</v>
      </c>
      <c r="C94" s="252">
        <v>0</v>
      </c>
      <c r="D94" s="359">
        <f t="shared" si="4"/>
        <v>0</v>
      </c>
      <c r="E94" s="359"/>
      <c r="F94" s="359"/>
      <c r="G94" s="359"/>
      <c r="H94" s="253"/>
      <c r="I94" s="253"/>
      <c r="J94" s="253"/>
      <c r="K94" s="253"/>
      <c r="L94" s="297">
        <f t="shared" si="5"/>
        <v>0</v>
      </c>
      <c r="M94" s="254" t="e">
        <f t="shared" si="6"/>
        <v>#DIV/0!</v>
      </c>
      <c r="N94" s="255"/>
      <c r="O94" s="255"/>
      <c r="P94" s="255"/>
      <c r="Q94" s="255"/>
      <c r="R94" s="255"/>
      <c r="S94" s="255"/>
      <c r="T94" s="255"/>
      <c r="U94" s="255"/>
      <c r="V94" s="255"/>
    </row>
    <row r="95" spans="1:22" s="256" customFormat="1" ht="21" customHeight="1">
      <c r="A95" s="248"/>
      <c r="B95" s="243" t="s">
        <v>2901</v>
      </c>
      <c r="C95" s="252">
        <v>0</v>
      </c>
      <c r="D95" s="359">
        <f t="shared" si="4"/>
        <v>0</v>
      </c>
      <c r="E95" s="359"/>
      <c r="F95" s="359"/>
      <c r="G95" s="359"/>
      <c r="H95" s="253"/>
      <c r="I95" s="253"/>
      <c r="J95" s="253"/>
      <c r="K95" s="253"/>
      <c r="L95" s="297"/>
      <c r="M95" s="254"/>
      <c r="N95" s="255"/>
      <c r="O95" s="255"/>
      <c r="P95" s="255"/>
      <c r="Q95" s="255"/>
      <c r="R95" s="255"/>
      <c r="S95" s="255"/>
      <c r="T95" s="255"/>
      <c r="U95" s="255"/>
      <c r="V95" s="255"/>
    </row>
    <row r="96" spans="1:22" s="256" customFormat="1" ht="21" customHeight="1">
      <c r="A96" s="248"/>
      <c r="B96" s="243" t="s">
        <v>2902</v>
      </c>
      <c r="C96" s="252">
        <v>0</v>
      </c>
      <c r="D96" s="359">
        <f t="shared" si="4"/>
        <v>0</v>
      </c>
      <c r="E96" s="359"/>
      <c r="F96" s="359"/>
      <c r="G96" s="359"/>
      <c r="H96" s="253"/>
      <c r="I96" s="253"/>
      <c r="J96" s="253"/>
      <c r="K96" s="253"/>
      <c r="L96" s="297"/>
      <c r="M96" s="254"/>
      <c r="N96" s="255"/>
      <c r="O96" s="255"/>
      <c r="P96" s="255"/>
      <c r="Q96" s="255"/>
      <c r="R96" s="255"/>
      <c r="S96" s="255"/>
      <c r="T96" s="255"/>
      <c r="U96" s="255"/>
      <c r="V96" s="255"/>
    </row>
    <row r="97" spans="1:22" s="256" customFormat="1" ht="21" customHeight="1">
      <c r="A97" s="248"/>
      <c r="B97" s="243" t="s">
        <v>2903</v>
      </c>
      <c r="C97" s="252">
        <v>0</v>
      </c>
      <c r="D97" s="359">
        <f t="shared" si="4"/>
        <v>0</v>
      </c>
      <c r="E97" s="359"/>
      <c r="F97" s="359"/>
      <c r="G97" s="359"/>
      <c r="H97" s="253"/>
      <c r="I97" s="253"/>
      <c r="J97" s="253"/>
      <c r="K97" s="253"/>
      <c r="L97" s="297"/>
      <c r="M97" s="254"/>
      <c r="N97" s="255"/>
      <c r="O97" s="255"/>
      <c r="P97" s="255"/>
      <c r="Q97" s="255"/>
      <c r="R97" s="255"/>
      <c r="S97" s="255"/>
      <c r="T97" s="255"/>
      <c r="U97" s="255"/>
      <c r="V97" s="255"/>
    </row>
    <row r="98" spans="1:22" s="256" customFormat="1" ht="21" customHeight="1">
      <c r="A98" s="248"/>
      <c r="B98" s="242" t="s">
        <v>2628</v>
      </c>
      <c r="C98" s="252"/>
      <c r="D98" s="359">
        <f t="shared" si="4"/>
        <v>0</v>
      </c>
      <c r="E98" s="359"/>
      <c r="F98" s="359"/>
      <c r="G98" s="359"/>
      <c r="H98" s="253"/>
      <c r="I98" s="253"/>
      <c r="J98" s="253"/>
      <c r="K98" s="253"/>
      <c r="L98" s="297"/>
      <c r="M98" s="254"/>
      <c r="N98" s="255"/>
      <c r="O98" s="255"/>
      <c r="P98" s="255"/>
      <c r="Q98" s="255"/>
      <c r="R98" s="255"/>
      <c r="S98" s="255"/>
      <c r="T98" s="255"/>
      <c r="U98" s="255"/>
      <c r="V98" s="255"/>
    </row>
    <row r="99" spans="1:22" s="256" customFormat="1" ht="21" customHeight="1">
      <c r="A99" s="248"/>
      <c r="B99" s="242" t="s">
        <v>2629</v>
      </c>
      <c r="C99" s="252"/>
      <c r="D99" s="359">
        <f t="shared" si="4"/>
        <v>0</v>
      </c>
      <c r="E99" s="359"/>
      <c r="F99" s="359"/>
      <c r="G99" s="359"/>
      <c r="H99" s="253"/>
      <c r="I99" s="253"/>
      <c r="J99" s="253"/>
      <c r="K99" s="253"/>
      <c r="L99" s="297"/>
      <c r="M99" s="254"/>
      <c r="N99" s="255"/>
      <c r="O99" s="255"/>
      <c r="P99" s="255"/>
      <c r="Q99" s="255"/>
      <c r="R99" s="255"/>
      <c r="S99" s="255"/>
      <c r="T99" s="255"/>
      <c r="U99" s="255"/>
      <c r="V99" s="255"/>
    </row>
    <row r="100" spans="1:22" s="256" customFormat="1" ht="21" customHeight="1">
      <c r="A100" s="248"/>
      <c r="B100" s="242" t="s">
        <v>2630</v>
      </c>
      <c r="C100" s="252"/>
      <c r="D100" s="359">
        <f t="shared" si="4"/>
        <v>0</v>
      </c>
      <c r="E100" s="359"/>
      <c r="F100" s="359"/>
      <c r="G100" s="359"/>
      <c r="H100" s="253"/>
      <c r="I100" s="253"/>
      <c r="J100" s="253"/>
      <c r="K100" s="253"/>
      <c r="L100" s="297"/>
      <c r="M100" s="254"/>
      <c r="N100" s="255"/>
      <c r="O100" s="255"/>
      <c r="P100" s="255"/>
      <c r="Q100" s="255"/>
      <c r="R100" s="255"/>
      <c r="S100" s="255"/>
      <c r="T100" s="255"/>
      <c r="U100" s="255"/>
      <c r="V100" s="255"/>
    </row>
    <row r="101" spans="1:22" s="256" customFormat="1" ht="21" customHeight="1">
      <c r="A101" s="248"/>
      <c r="B101" s="242" t="s">
        <v>2631</v>
      </c>
      <c r="C101" s="252"/>
      <c r="D101" s="359">
        <f t="shared" si="4"/>
        <v>0</v>
      </c>
      <c r="E101" s="359"/>
      <c r="F101" s="359"/>
      <c r="G101" s="359"/>
      <c r="H101" s="253"/>
      <c r="I101" s="253"/>
      <c r="J101" s="253"/>
      <c r="K101" s="253"/>
      <c r="L101" s="297"/>
      <c r="M101" s="254"/>
      <c r="N101" s="255"/>
      <c r="O101" s="255"/>
      <c r="P101" s="255"/>
      <c r="Q101" s="255"/>
      <c r="R101" s="255"/>
      <c r="S101" s="255"/>
      <c r="T101" s="255"/>
      <c r="U101" s="255"/>
      <c r="V101" s="255"/>
    </row>
    <row r="102" spans="1:22" s="256" customFormat="1" ht="21" customHeight="1">
      <c r="A102" s="248"/>
      <c r="B102" s="245" t="s">
        <v>2904</v>
      </c>
      <c r="C102" s="252"/>
      <c r="D102" s="359">
        <f t="shared" si="4"/>
        <v>0</v>
      </c>
      <c r="E102" s="359"/>
      <c r="F102" s="359"/>
      <c r="G102" s="359"/>
      <c r="H102" s="253"/>
      <c r="I102" s="253"/>
      <c r="J102" s="253"/>
      <c r="K102" s="253"/>
      <c r="L102" s="297"/>
      <c r="M102" s="254"/>
      <c r="N102" s="255"/>
      <c r="O102" s="255"/>
      <c r="P102" s="255"/>
      <c r="Q102" s="255"/>
      <c r="R102" s="255"/>
      <c r="S102" s="255"/>
      <c r="T102" s="255"/>
      <c r="U102" s="255"/>
      <c r="V102" s="255"/>
    </row>
    <row r="103" spans="1:22" s="256" customFormat="1" ht="21" customHeight="1">
      <c r="A103" s="248">
        <v>12</v>
      </c>
      <c r="B103" s="246" t="s">
        <v>2643</v>
      </c>
      <c r="C103" s="252"/>
      <c r="D103" s="359">
        <f t="shared" si="4"/>
        <v>0</v>
      </c>
      <c r="E103" s="359"/>
      <c r="F103" s="359"/>
      <c r="G103" s="359"/>
      <c r="H103" s="253"/>
      <c r="I103" s="253"/>
      <c r="J103" s="253"/>
      <c r="K103" s="253"/>
      <c r="L103" s="297">
        <f t="shared" si="5"/>
        <v>0</v>
      </c>
      <c r="M103" s="254" t="e">
        <f t="shared" si="6"/>
        <v>#DIV/0!</v>
      </c>
      <c r="N103" s="255"/>
      <c r="O103" s="255"/>
      <c r="P103" s="255"/>
      <c r="Q103" s="255"/>
      <c r="R103" s="255"/>
      <c r="S103" s="255"/>
      <c r="T103" s="255"/>
      <c r="U103" s="255"/>
      <c r="V103" s="255"/>
    </row>
    <row r="104" spans="1:22" s="256" customFormat="1" ht="21" customHeight="1">
      <c r="A104" s="290"/>
      <c r="B104" s="291" t="s">
        <v>2529</v>
      </c>
      <c r="C104" s="252">
        <f>C98+C99+C90+C91</f>
        <v>0</v>
      </c>
      <c r="D104" s="359">
        <f>D98+D99+D90+D91</f>
        <v>0</v>
      </c>
      <c r="E104" s="359">
        <f>E98+E99+E90+E91</f>
        <v>0</v>
      </c>
      <c r="F104" s="359">
        <f>F98+F99+F90+F91</f>
        <v>0</v>
      </c>
      <c r="G104" s="359">
        <f>G98+G99+G90+G91</f>
        <v>0</v>
      </c>
      <c r="H104" s="253"/>
      <c r="I104" s="253"/>
      <c r="J104" s="253"/>
      <c r="K104" s="253"/>
      <c r="L104" s="297">
        <f t="shared" si="5"/>
        <v>0</v>
      </c>
      <c r="M104" s="254" t="e">
        <f t="shared" si="6"/>
        <v>#DIV/0!</v>
      </c>
      <c r="N104" s="255"/>
      <c r="O104" s="255"/>
      <c r="P104" s="255"/>
      <c r="Q104" s="255"/>
      <c r="R104" s="255"/>
      <c r="S104" s="255"/>
      <c r="T104" s="255"/>
      <c r="U104" s="255"/>
      <c r="V104" s="255"/>
    </row>
    <row r="105" spans="1:22" s="260" customFormat="1" ht="21" customHeight="1">
      <c r="A105" s="268">
        <v>3</v>
      </c>
      <c r="B105" s="269" t="s">
        <v>2531</v>
      </c>
      <c r="C105" s="257">
        <f>C106</f>
        <v>0</v>
      </c>
      <c r="D105" s="347">
        <f>D106</f>
        <v>0</v>
      </c>
      <c r="E105" s="347">
        <f>E106</f>
        <v>0</v>
      </c>
      <c r="F105" s="347">
        <f>F106</f>
        <v>0</v>
      </c>
      <c r="G105" s="347">
        <f>G106</f>
        <v>0</v>
      </c>
      <c r="H105" s="263">
        <v>15.843567499999999</v>
      </c>
      <c r="I105" s="263"/>
      <c r="J105" s="263"/>
      <c r="K105" s="263"/>
      <c r="L105" s="289">
        <f t="shared" si="5"/>
        <v>0</v>
      </c>
      <c r="M105" s="258" t="e">
        <f t="shared" si="6"/>
        <v>#DIV/0!</v>
      </c>
      <c r="N105" s="259"/>
      <c r="O105" s="259"/>
      <c r="P105" s="259"/>
      <c r="Q105" s="259"/>
      <c r="R105" s="259"/>
      <c r="S105" s="259"/>
      <c r="T105" s="259"/>
      <c r="U105" s="259"/>
      <c r="V105" s="259"/>
    </row>
    <row r="106" spans="1:22" s="256" customFormat="1" ht="21" customHeight="1">
      <c r="A106" s="248">
        <v>13</v>
      </c>
      <c r="B106" s="244" t="s">
        <v>2644</v>
      </c>
      <c r="C106" s="252">
        <f>SUM(C107:C111)</f>
        <v>0</v>
      </c>
      <c r="D106" s="359">
        <f>SUM(D107:D111)</f>
        <v>0</v>
      </c>
      <c r="E106" s="359">
        <f>SUM(E107:E111)</f>
        <v>0</v>
      </c>
      <c r="F106" s="359">
        <f>SUM(F107:F111)</f>
        <v>0</v>
      </c>
      <c r="G106" s="359">
        <f>SUM(G107:G111)</f>
        <v>0</v>
      </c>
      <c r="H106" s="253"/>
      <c r="I106" s="253"/>
      <c r="J106" s="253"/>
      <c r="K106" s="253"/>
      <c r="L106" s="297">
        <f t="shared" si="5"/>
        <v>0</v>
      </c>
      <c r="M106" s="254" t="e">
        <f t="shared" si="6"/>
        <v>#DIV/0!</v>
      </c>
      <c r="N106" s="255"/>
      <c r="O106" s="255"/>
      <c r="P106" s="255"/>
      <c r="Q106" s="255"/>
      <c r="R106" s="255"/>
      <c r="S106" s="255"/>
      <c r="T106" s="255"/>
      <c r="U106" s="255"/>
      <c r="V106" s="255"/>
    </row>
    <row r="107" spans="1:22" s="256" customFormat="1" ht="21" customHeight="1">
      <c r="A107" s="248"/>
      <c r="B107" s="247" t="s">
        <v>2645</v>
      </c>
      <c r="C107" s="252"/>
      <c r="D107" s="359"/>
      <c r="E107" s="359"/>
      <c r="F107" s="359"/>
      <c r="G107" s="359"/>
      <c r="H107" s="253"/>
      <c r="I107" s="253"/>
      <c r="J107" s="253"/>
      <c r="K107" s="253"/>
      <c r="L107" s="297">
        <f t="shared" si="5"/>
        <v>0</v>
      </c>
      <c r="M107" s="254" t="e">
        <f t="shared" si="6"/>
        <v>#DIV/0!</v>
      </c>
      <c r="N107" s="255"/>
      <c r="O107" s="255"/>
      <c r="P107" s="255"/>
      <c r="Q107" s="255"/>
      <c r="R107" s="255"/>
      <c r="S107" s="255"/>
      <c r="T107" s="255"/>
      <c r="U107" s="255"/>
      <c r="V107" s="255"/>
    </row>
    <row r="108" spans="1:22" s="256" customFormat="1" ht="21" customHeight="1">
      <c r="A108" s="248"/>
      <c r="B108" s="232" t="s">
        <v>2646</v>
      </c>
      <c r="C108" s="252"/>
      <c r="D108" s="359">
        <f>E108+F108+G108</f>
        <v>0</v>
      </c>
      <c r="E108" s="359"/>
      <c r="F108" s="359"/>
      <c r="G108" s="359"/>
      <c r="H108" s="253"/>
      <c r="I108" s="253"/>
      <c r="J108" s="253"/>
      <c r="K108" s="253"/>
      <c r="L108" s="297">
        <f t="shared" si="5"/>
        <v>0</v>
      </c>
      <c r="M108" s="254" t="e">
        <f t="shared" si="6"/>
        <v>#DIV/0!</v>
      </c>
      <c r="N108" s="255"/>
      <c r="O108" s="255"/>
      <c r="P108" s="255"/>
      <c r="Q108" s="255"/>
      <c r="R108" s="255"/>
      <c r="S108" s="255"/>
      <c r="T108" s="255"/>
      <c r="U108" s="255"/>
      <c r="V108" s="255"/>
    </row>
    <row r="109" spans="1:22" s="256" customFormat="1" ht="21" customHeight="1">
      <c r="A109" s="248"/>
      <c r="B109" s="232" t="s">
        <v>2649</v>
      </c>
      <c r="C109" s="252"/>
      <c r="D109" s="359"/>
      <c r="E109" s="359"/>
      <c r="F109" s="359"/>
      <c r="G109" s="359"/>
      <c r="H109" s="253"/>
      <c r="I109" s="253"/>
      <c r="J109" s="253"/>
      <c r="K109" s="253"/>
      <c r="L109" s="297">
        <f t="shared" si="5"/>
        <v>0</v>
      </c>
      <c r="M109" s="254" t="e">
        <f t="shared" si="6"/>
        <v>#DIV/0!</v>
      </c>
      <c r="N109" s="255"/>
      <c r="O109" s="255"/>
      <c r="P109" s="255"/>
      <c r="Q109" s="255"/>
      <c r="R109" s="255"/>
      <c r="S109" s="255"/>
      <c r="T109" s="255"/>
      <c r="U109" s="255"/>
      <c r="V109" s="255"/>
    </row>
    <row r="110" spans="1:22" s="256" customFormat="1" ht="21" customHeight="1">
      <c r="A110" s="248"/>
      <c r="B110" s="247" t="s">
        <v>2650</v>
      </c>
      <c r="C110" s="252"/>
      <c r="D110" s="359">
        <f>E110+F110+G110</f>
        <v>0</v>
      </c>
      <c r="E110" s="359"/>
      <c r="F110" s="359"/>
      <c r="G110" s="359"/>
      <c r="H110" s="253"/>
      <c r="I110" s="253"/>
      <c r="J110" s="253"/>
      <c r="K110" s="253"/>
      <c r="L110" s="297">
        <f t="shared" si="5"/>
        <v>0</v>
      </c>
      <c r="M110" s="254" t="e">
        <f t="shared" si="6"/>
        <v>#DIV/0!</v>
      </c>
      <c r="N110" s="255"/>
      <c r="O110" s="255"/>
      <c r="P110" s="255"/>
      <c r="Q110" s="255"/>
      <c r="R110" s="255"/>
      <c r="S110" s="255"/>
      <c r="T110" s="255"/>
      <c r="U110" s="255"/>
      <c r="V110" s="255"/>
    </row>
    <row r="111" spans="1:22" s="256" customFormat="1" ht="21" customHeight="1">
      <c r="A111" s="248"/>
      <c r="B111" s="232" t="s">
        <v>2890</v>
      </c>
      <c r="C111" s="252"/>
      <c r="D111" s="359"/>
      <c r="E111" s="359"/>
      <c r="F111" s="359"/>
      <c r="G111" s="359"/>
      <c r="H111" s="253"/>
      <c r="I111" s="253"/>
      <c r="J111" s="253"/>
      <c r="K111" s="253"/>
      <c r="L111" s="297">
        <f t="shared" si="5"/>
        <v>0</v>
      </c>
      <c r="M111" s="254" t="e">
        <f t="shared" si="6"/>
        <v>#DIV/0!</v>
      </c>
      <c r="N111" s="255"/>
      <c r="O111" s="255"/>
      <c r="P111" s="255"/>
      <c r="Q111" s="255"/>
      <c r="R111" s="255"/>
      <c r="S111" s="255"/>
      <c r="T111" s="255"/>
      <c r="U111" s="255"/>
      <c r="V111" s="255"/>
    </row>
    <row r="112" spans="1:22" s="260" customFormat="1" ht="21" customHeight="1">
      <c r="A112" s="268">
        <v>4</v>
      </c>
      <c r="B112" s="269" t="s">
        <v>3060</v>
      </c>
      <c r="C112" s="257">
        <f>C113</f>
        <v>0</v>
      </c>
      <c r="D112" s="347">
        <f>D113</f>
        <v>0</v>
      </c>
      <c r="E112" s="347">
        <f>E113</f>
        <v>0</v>
      </c>
      <c r="F112" s="347">
        <f>F113</f>
        <v>0</v>
      </c>
      <c r="G112" s="347">
        <f>G113</f>
        <v>0</v>
      </c>
      <c r="H112" s="263">
        <v>90.825604999999996</v>
      </c>
      <c r="I112" s="263"/>
      <c r="J112" s="263"/>
      <c r="K112" s="263"/>
      <c r="L112" s="289">
        <f t="shared" si="5"/>
        <v>0</v>
      </c>
      <c r="M112" s="258" t="e">
        <f t="shared" si="6"/>
        <v>#DIV/0!</v>
      </c>
      <c r="N112" s="259"/>
      <c r="O112" s="259"/>
      <c r="P112" s="259"/>
      <c r="Q112" s="259"/>
      <c r="R112" s="259"/>
      <c r="S112" s="259"/>
      <c r="T112" s="259"/>
      <c r="U112" s="259"/>
      <c r="V112" s="259"/>
    </row>
    <row r="113" spans="1:22" s="256" customFormat="1" ht="21" customHeight="1">
      <c r="A113" s="248">
        <v>14</v>
      </c>
      <c r="B113" s="244" t="s">
        <v>2652</v>
      </c>
      <c r="C113" s="252">
        <f>SUM(C114:C119)</f>
        <v>0</v>
      </c>
      <c r="D113" s="359">
        <f>SUM(D114:D119)</f>
        <v>0</v>
      </c>
      <c r="E113" s="359">
        <f>SUM(E114:E119)</f>
        <v>0</v>
      </c>
      <c r="F113" s="359">
        <f>SUM(F114:F119)</f>
        <v>0</v>
      </c>
      <c r="G113" s="359">
        <f>SUM(G114:G119)</f>
        <v>0</v>
      </c>
      <c r="H113" s="253">
        <v>90.825604999999996</v>
      </c>
      <c r="I113" s="253"/>
      <c r="J113" s="253"/>
      <c r="K113" s="253"/>
      <c r="L113" s="297">
        <f t="shared" si="5"/>
        <v>0</v>
      </c>
      <c r="M113" s="254" t="e">
        <f t="shared" si="6"/>
        <v>#DIV/0!</v>
      </c>
      <c r="N113" s="255"/>
      <c r="O113" s="255"/>
      <c r="P113" s="255"/>
      <c r="Q113" s="255"/>
      <c r="R113" s="255"/>
      <c r="S113" s="255"/>
      <c r="T113" s="255"/>
      <c r="U113" s="255"/>
      <c r="V113" s="255"/>
    </row>
    <row r="114" spans="1:22" s="256" customFormat="1" ht="21" customHeight="1">
      <c r="A114" s="248"/>
      <c r="B114" s="232" t="s">
        <v>2653</v>
      </c>
      <c r="C114" s="299"/>
      <c r="D114" s="357">
        <f>E114+F114+G114</f>
        <v>0</v>
      </c>
      <c r="E114" s="357"/>
      <c r="F114" s="357"/>
      <c r="G114" s="357"/>
      <c r="H114" s="253">
        <v>19.000474999999998</v>
      </c>
      <c r="I114" s="253"/>
      <c r="J114" s="296"/>
      <c r="K114" s="296"/>
      <c r="L114" s="297">
        <f t="shared" si="5"/>
        <v>0</v>
      </c>
      <c r="M114" s="254" t="e">
        <f t="shared" si="6"/>
        <v>#DIV/0!</v>
      </c>
      <c r="N114" s="255"/>
      <c r="O114" s="255"/>
      <c r="P114" s="255"/>
      <c r="Q114" s="255"/>
      <c r="R114" s="255"/>
      <c r="S114" s="255"/>
      <c r="T114" s="255"/>
      <c r="U114" s="255"/>
      <c r="V114" s="255"/>
    </row>
    <row r="115" spans="1:22" s="256" customFormat="1" ht="21" customHeight="1">
      <c r="A115" s="248"/>
      <c r="B115" s="232" t="s">
        <v>2654</v>
      </c>
      <c r="C115" s="299"/>
      <c r="D115" s="357">
        <f>E115+F115+G115</f>
        <v>0</v>
      </c>
      <c r="E115" s="357"/>
      <c r="F115" s="357"/>
      <c r="G115" s="357"/>
      <c r="H115" s="253">
        <v>4.9091250000000004</v>
      </c>
      <c r="I115" s="253"/>
      <c r="J115" s="296"/>
      <c r="K115" s="296"/>
      <c r="L115" s="297">
        <f t="shared" si="5"/>
        <v>0</v>
      </c>
      <c r="M115" s="254" t="e">
        <f t="shared" si="6"/>
        <v>#DIV/0!</v>
      </c>
      <c r="N115" s="255"/>
      <c r="O115" s="255"/>
      <c r="P115" s="255"/>
      <c r="Q115" s="255"/>
      <c r="R115" s="255"/>
      <c r="S115" s="255"/>
      <c r="T115" s="255"/>
      <c r="U115" s="255"/>
      <c r="V115" s="255"/>
    </row>
    <row r="116" spans="1:22" s="256" customFormat="1" ht="21" customHeight="1">
      <c r="A116" s="248"/>
      <c r="B116" s="232" t="s">
        <v>2655</v>
      </c>
      <c r="C116" s="299"/>
      <c r="D116" s="357">
        <f>E116+F116+G116</f>
        <v>0</v>
      </c>
      <c r="E116" s="357"/>
      <c r="F116" s="357"/>
      <c r="G116" s="357"/>
      <c r="H116" s="253">
        <v>5.2191099999999997</v>
      </c>
      <c r="I116" s="253"/>
      <c r="J116" s="296"/>
      <c r="K116" s="296"/>
      <c r="L116" s="297">
        <f t="shared" si="5"/>
        <v>0</v>
      </c>
      <c r="M116" s="254" t="e">
        <f t="shared" si="6"/>
        <v>#DIV/0!</v>
      </c>
      <c r="N116" s="255"/>
      <c r="O116" s="255"/>
      <c r="P116" s="255"/>
      <c r="Q116" s="255"/>
      <c r="R116" s="255"/>
      <c r="S116" s="255"/>
      <c r="T116" s="255"/>
      <c r="U116" s="255"/>
      <c r="V116" s="255"/>
    </row>
    <row r="117" spans="1:22" s="256" customFormat="1" ht="21" customHeight="1">
      <c r="A117" s="248"/>
      <c r="B117" s="232" t="s">
        <v>2656</v>
      </c>
      <c r="C117" s="252"/>
      <c r="D117" s="359"/>
      <c r="E117" s="359"/>
      <c r="F117" s="359"/>
      <c r="G117" s="359"/>
      <c r="H117" s="253">
        <v>0</v>
      </c>
      <c r="I117" s="253"/>
      <c r="J117" s="253"/>
      <c r="K117" s="253"/>
      <c r="L117" s="297">
        <f t="shared" si="5"/>
        <v>0</v>
      </c>
      <c r="M117" s="254" t="e">
        <f t="shared" si="6"/>
        <v>#DIV/0!</v>
      </c>
      <c r="N117" s="255"/>
      <c r="O117" s="255"/>
      <c r="P117" s="255"/>
      <c r="Q117" s="255"/>
      <c r="R117" s="255"/>
      <c r="S117" s="255"/>
      <c r="T117" s="255"/>
      <c r="U117" s="255"/>
      <c r="V117" s="255"/>
    </row>
    <row r="118" spans="1:22" s="256" customFormat="1" ht="21" customHeight="1">
      <c r="A118" s="248"/>
      <c r="B118" s="232" t="s">
        <v>2657</v>
      </c>
      <c r="C118" s="299"/>
      <c r="D118" s="357">
        <f>E118+F118+G118</f>
        <v>0</v>
      </c>
      <c r="E118" s="357"/>
      <c r="F118" s="357"/>
      <c r="G118" s="357"/>
      <c r="H118" s="253">
        <v>41.612090000000002</v>
      </c>
      <c r="I118" s="253"/>
      <c r="J118" s="296"/>
      <c r="K118" s="296"/>
      <c r="L118" s="297">
        <f t="shared" si="5"/>
        <v>0</v>
      </c>
      <c r="M118" s="254" t="e">
        <f t="shared" si="6"/>
        <v>#DIV/0!</v>
      </c>
      <c r="N118" s="255"/>
      <c r="O118" s="255"/>
      <c r="P118" s="255"/>
      <c r="Q118" s="255"/>
      <c r="R118" s="255"/>
      <c r="S118" s="255"/>
      <c r="T118" s="255"/>
      <c r="U118" s="255"/>
      <c r="V118" s="255"/>
    </row>
    <row r="119" spans="1:22" s="256" customFormat="1" ht="21" customHeight="1">
      <c r="A119" s="248"/>
      <c r="B119" s="232" t="s">
        <v>2658</v>
      </c>
      <c r="C119" s="299"/>
      <c r="D119" s="357">
        <f>E119+F119+G119</f>
        <v>0</v>
      </c>
      <c r="E119" s="357"/>
      <c r="F119" s="357"/>
      <c r="G119" s="357"/>
      <c r="H119" s="253">
        <v>20.084804999999996</v>
      </c>
      <c r="I119" s="253"/>
      <c r="J119" s="296"/>
      <c r="K119" s="296"/>
      <c r="L119" s="297">
        <f t="shared" si="5"/>
        <v>0</v>
      </c>
      <c r="M119" s="254" t="e">
        <f t="shared" si="6"/>
        <v>#DIV/0!</v>
      </c>
      <c r="N119" s="255"/>
      <c r="O119" s="255"/>
      <c r="P119" s="255"/>
      <c r="Q119" s="255"/>
      <c r="R119" s="255"/>
      <c r="S119" s="255"/>
      <c r="T119" s="255"/>
      <c r="U119" s="255"/>
      <c r="V119" s="255"/>
    </row>
    <row r="120" spans="1:22" s="260" customFormat="1" ht="21" customHeight="1">
      <c r="A120" s="268">
        <v>5</v>
      </c>
      <c r="B120" s="269" t="s">
        <v>2533</v>
      </c>
      <c r="C120" s="257">
        <f>C121</f>
        <v>0</v>
      </c>
      <c r="D120" s="347">
        <f>D121</f>
        <v>0</v>
      </c>
      <c r="E120" s="347">
        <f>E121</f>
        <v>0</v>
      </c>
      <c r="F120" s="347">
        <f>F121</f>
        <v>0</v>
      </c>
      <c r="G120" s="347">
        <f>G121</f>
        <v>0</v>
      </c>
      <c r="H120" s="263">
        <v>22.646218465</v>
      </c>
      <c r="I120" s="263"/>
      <c r="J120" s="263"/>
      <c r="K120" s="263"/>
      <c r="L120" s="289">
        <f t="shared" si="5"/>
        <v>0</v>
      </c>
      <c r="M120" s="258" t="e">
        <f t="shared" si="6"/>
        <v>#DIV/0!</v>
      </c>
      <c r="N120" s="259"/>
      <c r="O120" s="259"/>
      <c r="P120" s="259"/>
      <c r="Q120" s="259"/>
      <c r="R120" s="259"/>
      <c r="S120" s="259"/>
      <c r="T120" s="259"/>
      <c r="U120" s="259"/>
      <c r="V120" s="259"/>
    </row>
    <row r="121" spans="1:22" s="256" customFormat="1" ht="21" customHeight="1">
      <c r="A121" s="248">
        <v>15</v>
      </c>
      <c r="B121" s="232" t="s">
        <v>2294</v>
      </c>
      <c r="C121" s="252"/>
      <c r="D121" s="359">
        <f>E121+F121+G121</f>
        <v>0</v>
      </c>
      <c r="E121" s="359"/>
      <c r="F121" s="359"/>
      <c r="G121" s="359"/>
      <c r="H121" s="253"/>
      <c r="I121" s="253"/>
      <c r="J121" s="253"/>
      <c r="K121" s="253"/>
      <c r="L121" s="297">
        <f t="shared" si="5"/>
        <v>0</v>
      </c>
      <c r="M121" s="254" t="e">
        <f t="shared" si="6"/>
        <v>#DIV/0!</v>
      </c>
      <c r="N121" s="255"/>
      <c r="O121" s="255"/>
      <c r="P121" s="255"/>
      <c r="Q121" s="255"/>
      <c r="R121" s="255"/>
      <c r="S121" s="255"/>
      <c r="T121" s="255"/>
      <c r="U121" s="255"/>
      <c r="V121" s="255"/>
    </row>
    <row r="122" spans="1:22" s="260" customFormat="1" ht="21" customHeight="1">
      <c r="A122" s="268">
        <v>6</v>
      </c>
      <c r="B122" s="269" t="s">
        <v>2534</v>
      </c>
      <c r="C122" s="257">
        <f t="shared" ref="C122:G123" si="7">C123</f>
        <v>0</v>
      </c>
      <c r="D122" s="347">
        <f t="shared" si="7"/>
        <v>0</v>
      </c>
      <c r="E122" s="347">
        <f t="shared" si="7"/>
        <v>0</v>
      </c>
      <c r="F122" s="347">
        <f t="shared" si="7"/>
        <v>0</v>
      </c>
      <c r="G122" s="347">
        <f t="shared" si="7"/>
        <v>0</v>
      </c>
      <c r="H122" s="263">
        <v>18.900316499999999</v>
      </c>
      <c r="I122" s="263"/>
      <c r="J122" s="263"/>
      <c r="K122" s="263"/>
      <c r="L122" s="289">
        <f t="shared" si="5"/>
        <v>0</v>
      </c>
      <c r="M122" s="258" t="e">
        <f t="shared" si="6"/>
        <v>#DIV/0!</v>
      </c>
      <c r="N122" s="259"/>
      <c r="O122" s="259"/>
      <c r="P122" s="259"/>
      <c r="Q122" s="259"/>
      <c r="R122" s="259"/>
      <c r="S122" s="259"/>
      <c r="T122" s="259"/>
      <c r="U122" s="259"/>
      <c r="V122" s="259"/>
    </row>
    <row r="123" spans="1:22" s="260" customFormat="1" ht="21" customHeight="1">
      <c r="A123" s="248">
        <v>16</v>
      </c>
      <c r="B123" s="244" t="s">
        <v>2652</v>
      </c>
      <c r="C123" s="252">
        <f t="shared" si="7"/>
        <v>0</v>
      </c>
      <c r="D123" s="359">
        <f t="shared" si="7"/>
        <v>0</v>
      </c>
      <c r="E123" s="359">
        <f t="shared" si="7"/>
        <v>0</v>
      </c>
      <c r="F123" s="359">
        <f t="shared" si="7"/>
        <v>0</v>
      </c>
      <c r="G123" s="359">
        <f t="shared" si="7"/>
        <v>0</v>
      </c>
      <c r="H123" s="253"/>
      <c r="I123" s="253"/>
      <c r="J123" s="253"/>
      <c r="K123" s="253"/>
      <c r="L123" s="289">
        <f t="shared" si="5"/>
        <v>0</v>
      </c>
      <c r="M123" s="258" t="e">
        <f t="shared" si="6"/>
        <v>#DIV/0!</v>
      </c>
      <c r="N123" s="259"/>
      <c r="O123" s="259"/>
      <c r="P123" s="259"/>
      <c r="Q123" s="259"/>
      <c r="R123" s="259"/>
      <c r="S123" s="259"/>
      <c r="T123" s="259"/>
      <c r="U123" s="259"/>
      <c r="V123" s="259"/>
    </row>
    <row r="124" spans="1:22" s="260" customFormat="1" ht="21" customHeight="1">
      <c r="A124" s="248"/>
      <c r="B124" s="232" t="s">
        <v>2656</v>
      </c>
      <c r="C124" s="295"/>
      <c r="D124" s="357">
        <f>E124+F124+G124</f>
        <v>0</v>
      </c>
      <c r="E124" s="357"/>
      <c r="F124" s="357"/>
      <c r="G124" s="357"/>
      <c r="H124" s="296"/>
      <c r="I124" s="296"/>
      <c r="J124" s="296"/>
      <c r="K124" s="296"/>
      <c r="L124" s="289">
        <f t="shared" si="5"/>
        <v>0</v>
      </c>
      <c r="M124" s="258" t="e">
        <f t="shared" si="6"/>
        <v>#DIV/0!</v>
      </c>
      <c r="N124" s="259"/>
      <c r="O124" s="259"/>
      <c r="P124" s="259"/>
      <c r="Q124" s="259"/>
      <c r="R124" s="259"/>
      <c r="S124" s="259"/>
      <c r="T124" s="259"/>
      <c r="U124" s="259"/>
      <c r="V124" s="259"/>
    </row>
    <row r="125" spans="1:22" s="260" customFormat="1" ht="21" customHeight="1">
      <c r="A125" s="268">
        <v>7</v>
      </c>
      <c r="B125" s="269" t="s">
        <v>2535</v>
      </c>
      <c r="C125" s="257">
        <f>C126</f>
        <v>0</v>
      </c>
      <c r="D125" s="347">
        <f>D126</f>
        <v>0</v>
      </c>
      <c r="E125" s="347">
        <f>E126</f>
        <v>0</v>
      </c>
      <c r="F125" s="347">
        <f>F126</f>
        <v>0</v>
      </c>
      <c r="G125" s="347">
        <f>G126</f>
        <v>0</v>
      </c>
      <c r="H125" s="263">
        <v>171.07612244000001</v>
      </c>
      <c r="I125" s="263"/>
      <c r="J125" s="263"/>
      <c r="K125" s="263"/>
      <c r="L125" s="289">
        <f t="shared" si="5"/>
        <v>0</v>
      </c>
      <c r="M125" s="258" t="e">
        <f t="shared" si="6"/>
        <v>#DIV/0!</v>
      </c>
      <c r="N125" s="259"/>
      <c r="O125" s="259"/>
      <c r="P125" s="259"/>
      <c r="Q125" s="259"/>
      <c r="R125" s="259"/>
      <c r="S125" s="259"/>
      <c r="T125" s="259"/>
      <c r="U125" s="259"/>
      <c r="V125" s="259"/>
    </row>
    <row r="126" spans="1:22" s="256" customFormat="1" ht="28.5" customHeight="1">
      <c r="A126" s="248">
        <v>17</v>
      </c>
      <c r="B126" s="232" t="s">
        <v>2659</v>
      </c>
      <c r="C126" s="252">
        <f>SUM(C127:C132)</f>
        <v>0</v>
      </c>
      <c r="D126" s="359">
        <f>SUM(D127:D132)</f>
        <v>0</v>
      </c>
      <c r="E126" s="359">
        <f>SUM(E127:E132)</f>
        <v>0</v>
      </c>
      <c r="F126" s="359">
        <f>SUM(F127:F132)</f>
        <v>0</v>
      </c>
      <c r="G126" s="359">
        <f>SUM(G127:G132)</f>
        <v>0</v>
      </c>
      <c r="H126" s="253"/>
      <c r="I126" s="253"/>
      <c r="J126" s="253"/>
      <c r="K126" s="253"/>
      <c r="L126" s="297">
        <f t="shared" si="5"/>
        <v>0</v>
      </c>
      <c r="M126" s="254" t="e">
        <f t="shared" si="6"/>
        <v>#DIV/0!</v>
      </c>
      <c r="N126" s="255"/>
      <c r="O126" s="255"/>
      <c r="P126" s="255"/>
      <c r="Q126" s="255"/>
      <c r="R126" s="255"/>
      <c r="S126" s="255"/>
      <c r="T126" s="255"/>
      <c r="U126" s="255"/>
      <c r="V126" s="255"/>
    </row>
    <row r="127" spans="1:22" s="260" customFormat="1" ht="21" customHeight="1">
      <c r="A127" s="248"/>
      <c r="B127" s="232" t="s">
        <v>2660</v>
      </c>
      <c r="C127" s="257"/>
      <c r="D127" s="347"/>
      <c r="E127" s="347"/>
      <c r="F127" s="347"/>
      <c r="G127" s="347"/>
      <c r="H127" s="263"/>
      <c r="I127" s="263"/>
      <c r="J127" s="263"/>
      <c r="K127" s="263"/>
      <c r="L127" s="289">
        <f t="shared" si="5"/>
        <v>0</v>
      </c>
      <c r="M127" s="258" t="e">
        <f t="shared" si="6"/>
        <v>#DIV/0!</v>
      </c>
      <c r="N127" s="259"/>
      <c r="O127" s="259"/>
      <c r="P127" s="259"/>
      <c r="Q127" s="259"/>
      <c r="R127" s="259"/>
      <c r="S127" s="259"/>
      <c r="T127" s="259"/>
      <c r="U127" s="259"/>
      <c r="V127" s="259"/>
    </row>
    <row r="128" spans="1:22" s="260" customFormat="1" ht="21" customHeight="1">
      <c r="A128" s="248"/>
      <c r="B128" s="232" t="s">
        <v>2661</v>
      </c>
      <c r="C128" s="295"/>
      <c r="D128" s="357">
        <f>E128+F128+G128</f>
        <v>0</v>
      </c>
      <c r="E128" s="357"/>
      <c r="F128" s="357"/>
      <c r="G128" s="357"/>
      <c r="H128" s="296"/>
      <c r="I128" s="296"/>
      <c r="J128" s="296"/>
      <c r="K128" s="296"/>
      <c r="L128" s="289">
        <f t="shared" si="5"/>
        <v>0</v>
      </c>
      <c r="M128" s="258" t="e">
        <f t="shared" si="6"/>
        <v>#DIV/0!</v>
      </c>
      <c r="N128" s="259"/>
      <c r="O128" s="259"/>
      <c r="P128" s="259"/>
      <c r="Q128" s="259"/>
      <c r="R128" s="259"/>
      <c r="S128" s="259"/>
      <c r="T128" s="259"/>
      <c r="U128" s="259"/>
      <c r="V128" s="259"/>
    </row>
    <row r="129" spans="1:22" s="260" customFormat="1" ht="21" customHeight="1">
      <c r="A129" s="248"/>
      <c r="B129" s="232" t="s">
        <v>2662</v>
      </c>
      <c r="C129" s="295"/>
      <c r="D129" s="357">
        <f>E129+F129+G129</f>
        <v>0</v>
      </c>
      <c r="E129" s="357"/>
      <c r="F129" s="357"/>
      <c r="G129" s="357"/>
      <c r="H129" s="296"/>
      <c r="I129" s="296"/>
      <c r="J129" s="296"/>
      <c r="K129" s="296"/>
      <c r="L129" s="289">
        <f t="shared" si="5"/>
        <v>0</v>
      </c>
      <c r="M129" s="258" t="e">
        <f t="shared" si="6"/>
        <v>#DIV/0!</v>
      </c>
      <c r="N129" s="259"/>
      <c r="O129" s="259"/>
      <c r="P129" s="259"/>
      <c r="Q129" s="259"/>
      <c r="R129" s="259"/>
      <c r="S129" s="259"/>
      <c r="T129" s="259"/>
      <c r="U129" s="259"/>
      <c r="V129" s="259"/>
    </row>
    <row r="130" spans="1:22" s="260" customFormat="1" ht="21" customHeight="1">
      <c r="A130" s="248"/>
      <c r="B130" s="232" t="s">
        <v>2663</v>
      </c>
      <c r="C130" s="295"/>
      <c r="D130" s="357">
        <f>E130+F130+G130</f>
        <v>0</v>
      </c>
      <c r="E130" s="357"/>
      <c r="F130" s="357"/>
      <c r="G130" s="357"/>
      <c r="H130" s="296"/>
      <c r="I130" s="296"/>
      <c r="J130" s="296"/>
      <c r="K130" s="296"/>
      <c r="L130" s="289">
        <f t="shared" si="5"/>
        <v>0</v>
      </c>
      <c r="M130" s="258" t="e">
        <f t="shared" si="6"/>
        <v>#DIV/0!</v>
      </c>
      <c r="N130" s="259"/>
      <c r="O130" s="259"/>
      <c r="P130" s="259"/>
      <c r="Q130" s="259"/>
      <c r="R130" s="259"/>
      <c r="S130" s="259"/>
      <c r="T130" s="259"/>
      <c r="U130" s="259"/>
      <c r="V130" s="259"/>
    </row>
    <row r="131" spans="1:22" s="260" customFormat="1" ht="21" customHeight="1">
      <c r="A131" s="248"/>
      <c r="B131" s="232" t="s">
        <v>2664</v>
      </c>
      <c r="C131" s="295"/>
      <c r="D131" s="357">
        <f>E131+F131+G131</f>
        <v>0</v>
      </c>
      <c r="E131" s="357"/>
      <c r="F131" s="357"/>
      <c r="G131" s="357"/>
      <c r="H131" s="296"/>
      <c r="I131" s="296"/>
      <c r="J131" s="296"/>
      <c r="K131" s="296"/>
      <c r="L131" s="289">
        <f t="shared" si="5"/>
        <v>0</v>
      </c>
      <c r="M131" s="258" t="e">
        <f t="shared" si="6"/>
        <v>#DIV/0!</v>
      </c>
      <c r="N131" s="259"/>
      <c r="O131" s="259"/>
      <c r="P131" s="259"/>
      <c r="Q131" s="259"/>
      <c r="R131" s="259"/>
      <c r="S131" s="259"/>
      <c r="T131" s="259"/>
      <c r="U131" s="259"/>
      <c r="V131" s="259"/>
    </row>
    <row r="132" spans="1:22" s="260" customFormat="1" ht="21" customHeight="1">
      <c r="A132" s="248"/>
      <c r="B132" s="232" t="s">
        <v>2665</v>
      </c>
      <c r="C132" s="257"/>
      <c r="D132" s="347"/>
      <c r="E132" s="347"/>
      <c r="F132" s="347"/>
      <c r="G132" s="347"/>
      <c r="H132" s="263"/>
      <c r="I132" s="263"/>
      <c r="J132" s="263"/>
      <c r="K132" s="263"/>
      <c r="L132" s="289">
        <f t="shared" si="5"/>
        <v>0</v>
      </c>
      <c r="M132" s="258" t="e">
        <f t="shared" si="6"/>
        <v>#DIV/0!</v>
      </c>
      <c r="N132" s="259"/>
      <c r="O132" s="259"/>
      <c r="P132" s="259"/>
      <c r="Q132" s="259"/>
      <c r="R132" s="259"/>
      <c r="S132" s="259"/>
      <c r="T132" s="259"/>
      <c r="U132" s="259"/>
      <c r="V132" s="259"/>
    </row>
    <row r="133" spans="1:22" s="260" customFormat="1" ht="21" customHeight="1">
      <c r="A133" s="268">
        <v>8</v>
      </c>
      <c r="B133" s="270" t="s">
        <v>2536</v>
      </c>
      <c r="C133" s="262">
        <f>SUM(C134,C151:C161)</f>
        <v>0</v>
      </c>
      <c r="D133" s="347">
        <f>SUM(D134,D151:D161)</f>
        <v>0</v>
      </c>
      <c r="E133" s="347">
        <f>SUM(E134,E151:E161)</f>
        <v>0</v>
      </c>
      <c r="F133" s="347">
        <f>SUM(F134,F151:F161)</f>
        <v>0</v>
      </c>
      <c r="G133" s="347">
        <f>SUM(G134,G151:G161)</f>
        <v>0</v>
      </c>
      <c r="H133" s="263">
        <v>238.20877899999999</v>
      </c>
      <c r="I133" s="263"/>
      <c r="J133" s="263"/>
      <c r="K133" s="263"/>
      <c r="L133" s="289">
        <f t="shared" si="5"/>
        <v>0</v>
      </c>
      <c r="M133" s="258" t="e">
        <f t="shared" si="6"/>
        <v>#DIV/0!</v>
      </c>
      <c r="N133" s="259"/>
      <c r="O133" s="259"/>
      <c r="P133" s="259"/>
      <c r="Q133" s="259"/>
      <c r="R133" s="259"/>
      <c r="S133" s="259"/>
      <c r="T133" s="259"/>
      <c r="U133" s="259"/>
      <c r="V133" s="259"/>
    </row>
    <row r="134" spans="1:22" s="260" customFormat="1" ht="21" customHeight="1">
      <c r="A134" s="248">
        <v>18</v>
      </c>
      <c r="B134" s="232" t="s">
        <v>2666</v>
      </c>
      <c r="C134" s="252">
        <f>SUM(C135:C150)</f>
        <v>0</v>
      </c>
      <c r="D134" s="359">
        <f>SUM(D135:D150)</f>
        <v>0</v>
      </c>
      <c r="E134" s="359">
        <f>SUM(E135:E150)</f>
        <v>0</v>
      </c>
      <c r="F134" s="359">
        <f>SUM(F135:F150)</f>
        <v>0</v>
      </c>
      <c r="G134" s="359">
        <f>SUM(G135:G150)</f>
        <v>0</v>
      </c>
      <c r="H134" s="253"/>
      <c r="I134" s="253"/>
      <c r="J134" s="253"/>
      <c r="K134" s="253"/>
      <c r="L134" s="289">
        <f t="shared" si="5"/>
        <v>0</v>
      </c>
      <c r="M134" s="258" t="e">
        <f t="shared" si="6"/>
        <v>#DIV/0!</v>
      </c>
      <c r="N134" s="259"/>
      <c r="O134" s="259"/>
      <c r="P134" s="259"/>
      <c r="Q134" s="259"/>
      <c r="R134" s="259"/>
      <c r="S134" s="259"/>
      <c r="T134" s="259"/>
      <c r="U134" s="259"/>
      <c r="V134" s="259"/>
    </row>
    <row r="135" spans="1:22" s="260" customFormat="1" ht="21" customHeight="1">
      <c r="A135" s="248"/>
      <c r="B135" s="232" t="s">
        <v>2667</v>
      </c>
      <c r="C135" s="252"/>
      <c r="D135" s="359">
        <f t="shared" ref="D135:D142" si="8">E135+F135+G135</f>
        <v>0</v>
      </c>
      <c r="E135" s="359"/>
      <c r="F135" s="359"/>
      <c r="G135" s="359"/>
      <c r="H135" s="253"/>
      <c r="I135" s="253"/>
      <c r="J135" s="253"/>
      <c r="K135" s="253"/>
      <c r="L135" s="289">
        <f t="shared" si="5"/>
        <v>0</v>
      </c>
      <c r="M135" s="258" t="e">
        <f t="shared" si="6"/>
        <v>#DIV/0!</v>
      </c>
      <c r="N135" s="259"/>
      <c r="O135" s="259"/>
      <c r="P135" s="259"/>
      <c r="Q135" s="259"/>
      <c r="R135" s="259"/>
      <c r="S135" s="259"/>
      <c r="T135" s="259"/>
      <c r="U135" s="259"/>
      <c r="V135" s="259"/>
    </row>
    <row r="136" spans="1:22" s="260" customFormat="1" ht="21" customHeight="1">
      <c r="A136" s="248"/>
      <c r="B136" s="232" t="s">
        <v>2668</v>
      </c>
      <c r="C136" s="257"/>
      <c r="D136" s="359">
        <f t="shared" si="8"/>
        <v>0</v>
      </c>
      <c r="E136" s="359"/>
      <c r="F136" s="359"/>
      <c r="G136" s="359"/>
      <c r="H136" s="253"/>
      <c r="I136" s="253"/>
      <c r="J136" s="253"/>
      <c r="K136" s="253"/>
      <c r="L136" s="289">
        <f t="shared" si="5"/>
        <v>0</v>
      </c>
      <c r="M136" s="258" t="e">
        <f t="shared" si="6"/>
        <v>#DIV/0!</v>
      </c>
      <c r="N136" s="259"/>
      <c r="O136" s="259"/>
      <c r="P136" s="259"/>
      <c r="Q136" s="259"/>
      <c r="R136" s="259"/>
      <c r="S136" s="259"/>
      <c r="T136" s="259"/>
      <c r="U136" s="259"/>
      <c r="V136" s="259"/>
    </row>
    <row r="137" spans="1:22" s="260" customFormat="1" ht="21" customHeight="1">
      <c r="A137" s="248"/>
      <c r="B137" s="232" t="s">
        <v>2671</v>
      </c>
      <c r="C137" s="257"/>
      <c r="D137" s="359">
        <f t="shared" si="8"/>
        <v>0</v>
      </c>
      <c r="E137" s="359"/>
      <c r="F137" s="359"/>
      <c r="G137" s="359"/>
      <c r="H137" s="253"/>
      <c r="I137" s="253"/>
      <c r="J137" s="253"/>
      <c r="K137" s="253"/>
      <c r="L137" s="289">
        <f t="shared" si="5"/>
        <v>0</v>
      </c>
      <c r="M137" s="258" t="e">
        <f t="shared" si="6"/>
        <v>#DIV/0!</v>
      </c>
      <c r="N137" s="259"/>
      <c r="O137" s="259"/>
      <c r="P137" s="259"/>
      <c r="Q137" s="259"/>
      <c r="R137" s="259"/>
      <c r="S137" s="259"/>
      <c r="T137" s="259"/>
      <c r="U137" s="259"/>
      <c r="V137" s="259"/>
    </row>
    <row r="138" spans="1:22" s="260" customFormat="1" ht="21" customHeight="1">
      <c r="A138" s="248"/>
      <c r="B138" s="232" t="s">
        <v>2672</v>
      </c>
      <c r="C138" s="257"/>
      <c r="D138" s="359">
        <f t="shared" si="8"/>
        <v>0</v>
      </c>
      <c r="E138" s="359"/>
      <c r="F138" s="359"/>
      <c r="G138" s="359"/>
      <c r="H138" s="253"/>
      <c r="I138" s="253"/>
      <c r="J138" s="253"/>
      <c r="K138" s="253"/>
      <c r="L138" s="289">
        <f t="shared" si="5"/>
        <v>0</v>
      </c>
      <c r="M138" s="258" t="e">
        <f t="shared" si="6"/>
        <v>#DIV/0!</v>
      </c>
      <c r="N138" s="259"/>
      <c r="O138" s="259"/>
      <c r="P138" s="259"/>
      <c r="Q138" s="259"/>
      <c r="R138" s="259"/>
      <c r="S138" s="259"/>
      <c r="T138" s="259"/>
      <c r="U138" s="259"/>
      <c r="V138" s="259"/>
    </row>
    <row r="139" spans="1:22" s="260" customFormat="1" ht="21" customHeight="1">
      <c r="A139" s="248"/>
      <c r="B139" s="232" t="s">
        <v>2674</v>
      </c>
      <c r="C139" s="257"/>
      <c r="D139" s="359">
        <f t="shared" si="8"/>
        <v>0</v>
      </c>
      <c r="E139" s="359"/>
      <c r="F139" s="359"/>
      <c r="G139" s="359"/>
      <c r="H139" s="253"/>
      <c r="I139" s="253"/>
      <c r="J139" s="253"/>
      <c r="K139" s="253"/>
      <c r="L139" s="289">
        <f t="shared" si="5"/>
        <v>0</v>
      </c>
      <c r="M139" s="258" t="e">
        <f t="shared" si="6"/>
        <v>#DIV/0!</v>
      </c>
      <c r="N139" s="259"/>
      <c r="O139" s="259"/>
      <c r="P139" s="259"/>
      <c r="Q139" s="259"/>
      <c r="R139" s="259"/>
      <c r="S139" s="259"/>
      <c r="T139" s="259"/>
      <c r="U139" s="259"/>
      <c r="V139" s="259"/>
    </row>
    <row r="140" spans="1:22" s="260" customFormat="1" ht="21" customHeight="1">
      <c r="A140" s="248"/>
      <c r="B140" s="232" t="s">
        <v>2675</v>
      </c>
      <c r="C140" s="257"/>
      <c r="D140" s="359">
        <f t="shared" si="8"/>
        <v>0</v>
      </c>
      <c r="E140" s="359"/>
      <c r="F140" s="359"/>
      <c r="G140" s="359"/>
      <c r="H140" s="253"/>
      <c r="I140" s="253"/>
      <c r="J140" s="253"/>
      <c r="K140" s="253"/>
      <c r="L140" s="289">
        <f t="shared" si="5"/>
        <v>0</v>
      </c>
      <c r="M140" s="258" t="e">
        <f t="shared" si="6"/>
        <v>#DIV/0!</v>
      </c>
      <c r="N140" s="259"/>
      <c r="O140" s="259"/>
      <c r="P140" s="259"/>
      <c r="Q140" s="259"/>
      <c r="R140" s="259"/>
      <c r="S140" s="259"/>
      <c r="T140" s="259"/>
      <c r="U140" s="259"/>
      <c r="V140" s="259"/>
    </row>
    <row r="141" spans="1:22" s="260" customFormat="1" ht="37.15" customHeight="1">
      <c r="A141" s="248"/>
      <c r="B141" s="232" t="s">
        <v>2678</v>
      </c>
      <c r="C141" s="257"/>
      <c r="D141" s="359">
        <f t="shared" si="8"/>
        <v>0</v>
      </c>
      <c r="E141" s="359"/>
      <c r="F141" s="359"/>
      <c r="G141" s="359"/>
      <c r="H141" s="253"/>
      <c r="I141" s="253"/>
      <c r="J141" s="253"/>
      <c r="K141" s="253"/>
      <c r="L141" s="289">
        <f t="shared" si="5"/>
        <v>0</v>
      </c>
      <c r="M141" s="258" t="e">
        <f t="shared" si="6"/>
        <v>#DIV/0!</v>
      </c>
      <c r="N141" s="259"/>
      <c r="O141" s="259"/>
      <c r="P141" s="259"/>
      <c r="Q141" s="259"/>
      <c r="R141" s="259"/>
      <c r="S141" s="259"/>
      <c r="T141" s="259"/>
      <c r="U141" s="259"/>
      <c r="V141" s="259"/>
    </row>
    <row r="142" spans="1:22" s="260" customFormat="1" ht="21" customHeight="1">
      <c r="A142" s="248"/>
      <c r="B142" s="232" t="s">
        <v>2679</v>
      </c>
      <c r="C142" s="257"/>
      <c r="D142" s="359">
        <f t="shared" si="8"/>
        <v>0</v>
      </c>
      <c r="E142" s="359"/>
      <c r="F142" s="359"/>
      <c r="G142" s="359"/>
      <c r="H142" s="253"/>
      <c r="I142" s="253"/>
      <c r="J142" s="253"/>
      <c r="K142" s="253"/>
      <c r="L142" s="289">
        <f t="shared" si="5"/>
        <v>0</v>
      </c>
      <c r="M142" s="258" t="e">
        <f t="shared" si="6"/>
        <v>#DIV/0!</v>
      </c>
      <c r="N142" s="259"/>
      <c r="O142" s="259"/>
      <c r="P142" s="259"/>
      <c r="Q142" s="259"/>
      <c r="R142" s="259"/>
      <c r="S142" s="259"/>
      <c r="T142" s="259"/>
      <c r="U142" s="259"/>
      <c r="V142" s="259"/>
    </row>
    <row r="143" spans="1:22" s="260" customFormat="1" ht="21" customHeight="1">
      <c r="A143" s="248"/>
      <c r="B143" s="232" t="s">
        <v>2680</v>
      </c>
      <c r="C143" s="257"/>
      <c r="D143" s="347"/>
      <c r="E143" s="347"/>
      <c r="F143" s="347"/>
      <c r="G143" s="347"/>
      <c r="H143" s="263"/>
      <c r="I143" s="263"/>
      <c r="J143" s="263"/>
      <c r="K143" s="263"/>
      <c r="L143" s="289">
        <f t="shared" si="5"/>
        <v>0</v>
      </c>
      <c r="M143" s="258" t="e">
        <f t="shared" si="6"/>
        <v>#DIV/0!</v>
      </c>
      <c r="N143" s="259"/>
      <c r="O143" s="259"/>
      <c r="P143" s="259"/>
      <c r="Q143" s="259"/>
      <c r="R143" s="259"/>
      <c r="S143" s="259"/>
      <c r="T143" s="259"/>
      <c r="U143" s="259"/>
      <c r="V143" s="259"/>
    </row>
    <row r="144" spans="1:22" s="260" customFormat="1" ht="21" customHeight="1">
      <c r="A144" s="248"/>
      <c r="B144" s="232" t="s">
        <v>2681</v>
      </c>
      <c r="C144" s="257"/>
      <c r="D144" s="359">
        <f>E144+F144+G144</f>
        <v>0</v>
      </c>
      <c r="E144" s="359"/>
      <c r="F144" s="359"/>
      <c r="G144" s="359"/>
      <c r="H144" s="253"/>
      <c r="I144" s="253"/>
      <c r="J144" s="253"/>
      <c r="K144" s="253"/>
      <c r="L144" s="289">
        <f t="shared" si="5"/>
        <v>0</v>
      </c>
      <c r="M144" s="258" t="e">
        <f t="shared" si="6"/>
        <v>#DIV/0!</v>
      </c>
      <c r="N144" s="259"/>
      <c r="O144" s="259"/>
      <c r="P144" s="259"/>
      <c r="Q144" s="259"/>
      <c r="R144" s="259"/>
      <c r="S144" s="259"/>
      <c r="T144" s="259"/>
      <c r="U144" s="259"/>
      <c r="V144" s="259"/>
    </row>
    <row r="145" spans="1:22" s="260" customFormat="1" ht="21" customHeight="1">
      <c r="A145" s="248"/>
      <c r="B145" s="232" t="s">
        <v>2682</v>
      </c>
      <c r="C145" s="257"/>
      <c r="D145" s="347"/>
      <c r="E145" s="347"/>
      <c r="F145" s="347"/>
      <c r="G145" s="347"/>
      <c r="H145" s="263"/>
      <c r="I145" s="263"/>
      <c r="J145" s="263"/>
      <c r="K145" s="263"/>
      <c r="L145" s="289">
        <f t="shared" si="5"/>
        <v>0</v>
      </c>
      <c r="M145" s="258" t="e">
        <f t="shared" si="6"/>
        <v>#DIV/0!</v>
      </c>
      <c r="N145" s="259"/>
      <c r="O145" s="259"/>
      <c r="P145" s="259"/>
      <c r="Q145" s="259"/>
      <c r="R145" s="259"/>
      <c r="S145" s="259"/>
      <c r="T145" s="259"/>
      <c r="U145" s="259"/>
      <c r="V145" s="259"/>
    </row>
    <row r="146" spans="1:22" s="260" customFormat="1" ht="21" customHeight="1">
      <c r="A146" s="248"/>
      <c r="B146" s="232" t="s">
        <v>2683</v>
      </c>
      <c r="C146" s="257"/>
      <c r="D146" s="359">
        <f>E146+F146+G146</f>
        <v>0</v>
      </c>
      <c r="E146" s="359"/>
      <c r="F146" s="359"/>
      <c r="G146" s="359"/>
      <c r="H146" s="253"/>
      <c r="I146" s="253"/>
      <c r="J146" s="253"/>
      <c r="K146" s="253"/>
      <c r="L146" s="289">
        <f t="shared" si="5"/>
        <v>0</v>
      </c>
      <c r="M146" s="258" t="e">
        <f t="shared" si="6"/>
        <v>#DIV/0!</v>
      </c>
      <c r="N146" s="259"/>
      <c r="O146" s="259"/>
      <c r="P146" s="259"/>
      <c r="Q146" s="259"/>
      <c r="R146" s="259"/>
      <c r="S146" s="259"/>
      <c r="T146" s="259"/>
      <c r="U146" s="259"/>
      <c r="V146" s="259"/>
    </row>
    <row r="147" spans="1:22" s="260" customFormat="1" ht="21" customHeight="1">
      <c r="A147" s="248"/>
      <c r="B147" s="232" t="s">
        <v>2684</v>
      </c>
      <c r="C147" s="257"/>
      <c r="D147" s="347"/>
      <c r="E147" s="347"/>
      <c r="F147" s="347"/>
      <c r="G147" s="347"/>
      <c r="H147" s="263"/>
      <c r="I147" s="263"/>
      <c r="J147" s="263"/>
      <c r="K147" s="263"/>
      <c r="L147" s="289">
        <f t="shared" si="5"/>
        <v>0</v>
      </c>
      <c r="M147" s="258" t="e">
        <f t="shared" si="6"/>
        <v>#DIV/0!</v>
      </c>
      <c r="N147" s="259"/>
      <c r="O147" s="259"/>
      <c r="P147" s="259"/>
      <c r="Q147" s="259"/>
      <c r="R147" s="259"/>
      <c r="S147" s="259"/>
      <c r="T147" s="259"/>
      <c r="U147" s="259"/>
      <c r="V147" s="259"/>
    </row>
    <row r="148" spans="1:22" s="260" customFormat="1" ht="21" customHeight="1">
      <c r="A148" s="248"/>
      <c r="B148" s="232" t="s">
        <v>2685</v>
      </c>
      <c r="C148" s="257"/>
      <c r="D148" s="359">
        <f>E148+F148+G148</f>
        <v>0</v>
      </c>
      <c r="E148" s="359"/>
      <c r="F148" s="359"/>
      <c r="G148" s="359"/>
      <c r="H148" s="253"/>
      <c r="I148" s="253"/>
      <c r="J148" s="253"/>
      <c r="K148" s="253"/>
      <c r="L148" s="289">
        <f t="shared" si="5"/>
        <v>0</v>
      </c>
      <c r="M148" s="258" t="e">
        <f t="shared" si="6"/>
        <v>#DIV/0!</v>
      </c>
      <c r="N148" s="259"/>
      <c r="O148" s="259"/>
      <c r="P148" s="259"/>
      <c r="Q148" s="259"/>
      <c r="R148" s="259"/>
      <c r="S148" s="259"/>
      <c r="T148" s="259"/>
      <c r="U148" s="259"/>
      <c r="V148" s="259"/>
    </row>
    <row r="149" spans="1:22" s="260" customFormat="1" ht="21" customHeight="1">
      <c r="A149" s="248"/>
      <c r="B149" s="232" t="s">
        <v>2686</v>
      </c>
      <c r="C149" s="257"/>
      <c r="D149" s="347"/>
      <c r="E149" s="347"/>
      <c r="F149" s="347"/>
      <c r="G149" s="347"/>
      <c r="H149" s="263"/>
      <c r="I149" s="263"/>
      <c r="J149" s="263"/>
      <c r="K149" s="263"/>
      <c r="L149" s="289">
        <f t="shared" si="5"/>
        <v>0</v>
      </c>
      <c r="M149" s="258" t="e">
        <f t="shared" si="6"/>
        <v>#DIV/0!</v>
      </c>
      <c r="N149" s="259"/>
      <c r="O149" s="259"/>
      <c r="P149" s="259"/>
      <c r="Q149" s="259"/>
      <c r="R149" s="259"/>
      <c r="S149" s="259"/>
      <c r="T149" s="259"/>
      <c r="U149" s="259"/>
      <c r="V149" s="259"/>
    </row>
    <row r="150" spans="1:22" s="260" customFormat="1" ht="21" customHeight="1">
      <c r="A150" s="248"/>
      <c r="B150" s="232" t="s">
        <v>2687</v>
      </c>
      <c r="C150" s="257"/>
      <c r="D150" s="347"/>
      <c r="E150" s="347"/>
      <c r="F150" s="347"/>
      <c r="G150" s="347"/>
      <c r="H150" s="263"/>
      <c r="I150" s="263"/>
      <c r="J150" s="263"/>
      <c r="K150" s="263"/>
      <c r="L150" s="289">
        <f t="shared" si="5"/>
        <v>0</v>
      </c>
      <c r="M150" s="258" t="e">
        <f t="shared" si="6"/>
        <v>#DIV/0!</v>
      </c>
      <c r="N150" s="259"/>
      <c r="O150" s="259"/>
      <c r="P150" s="259"/>
      <c r="Q150" s="259"/>
      <c r="R150" s="259"/>
      <c r="S150" s="259"/>
      <c r="T150" s="259"/>
      <c r="U150" s="259"/>
      <c r="V150" s="259"/>
    </row>
    <row r="151" spans="1:22" s="260" customFormat="1" ht="31.5">
      <c r="A151" s="248">
        <v>19</v>
      </c>
      <c r="B151" s="232" t="s">
        <v>2688</v>
      </c>
      <c r="C151" s="257"/>
      <c r="D151" s="347">
        <f>E151+F151+G151</f>
        <v>0</v>
      </c>
      <c r="E151" s="347"/>
      <c r="F151" s="347"/>
      <c r="G151" s="347"/>
      <c r="H151" s="263"/>
      <c r="I151" s="263"/>
      <c r="J151" s="263"/>
      <c r="K151" s="263"/>
      <c r="L151" s="289">
        <f t="shared" si="5"/>
        <v>0</v>
      </c>
      <c r="M151" s="258" t="e">
        <f t="shared" si="6"/>
        <v>#DIV/0!</v>
      </c>
      <c r="N151" s="259"/>
      <c r="O151" s="259"/>
      <c r="P151" s="259"/>
      <c r="Q151" s="259"/>
      <c r="R151" s="259"/>
      <c r="S151" s="259"/>
      <c r="T151" s="259"/>
      <c r="U151" s="259"/>
      <c r="V151" s="259"/>
    </row>
    <row r="152" spans="1:22" s="260" customFormat="1" ht="30.75" customHeight="1">
      <c r="A152" s="248">
        <v>20</v>
      </c>
      <c r="B152" s="232" t="s">
        <v>2689</v>
      </c>
      <c r="C152" s="257"/>
      <c r="D152" s="347"/>
      <c r="E152" s="347"/>
      <c r="F152" s="347"/>
      <c r="G152" s="347"/>
      <c r="H152" s="263"/>
      <c r="I152" s="263"/>
      <c r="J152" s="263"/>
      <c r="K152" s="263"/>
      <c r="L152" s="289">
        <f t="shared" si="5"/>
        <v>0</v>
      </c>
      <c r="M152" s="258" t="e">
        <f t="shared" si="6"/>
        <v>#DIV/0!</v>
      </c>
      <c r="N152" s="259"/>
      <c r="O152" s="259"/>
      <c r="P152" s="259"/>
      <c r="Q152" s="259"/>
      <c r="R152" s="259"/>
      <c r="S152" s="259"/>
      <c r="T152" s="259"/>
      <c r="U152" s="259"/>
      <c r="V152" s="259"/>
    </row>
    <row r="153" spans="1:22" s="256" customFormat="1" ht="41.25" customHeight="1">
      <c r="A153" s="248">
        <v>21</v>
      </c>
      <c r="B153" s="232" t="s">
        <v>2690</v>
      </c>
      <c r="C153" s="252"/>
      <c r="D153" s="359">
        <f>E153+F153+G153</f>
        <v>0</v>
      </c>
      <c r="E153" s="359"/>
      <c r="F153" s="359"/>
      <c r="G153" s="359"/>
      <c r="H153" s="253"/>
      <c r="I153" s="253"/>
      <c r="J153" s="253"/>
      <c r="K153" s="253"/>
      <c r="L153" s="297">
        <f t="shared" si="5"/>
        <v>0</v>
      </c>
      <c r="M153" s="254" t="e">
        <f t="shared" si="6"/>
        <v>#DIV/0!</v>
      </c>
      <c r="N153" s="255"/>
      <c r="O153" s="255"/>
      <c r="P153" s="255"/>
      <c r="Q153" s="255"/>
      <c r="R153" s="255"/>
      <c r="S153" s="255"/>
      <c r="T153" s="255"/>
      <c r="U153" s="255"/>
      <c r="V153" s="255"/>
    </row>
    <row r="154" spans="1:22" s="260" customFormat="1" ht="36.75" customHeight="1">
      <c r="A154" s="248">
        <v>22</v>
      </c>
      <c r="B154" s="232" t="s">
        <v>2691</v>
      </c>
      <c r="C154" s="257"/>
      <c r="D154" s="359">
        <f>E154+F154+G154</f>
        <v>0</v>
      </c>
      <c r="E154" s="347"/>
      <c r="F154" s="347"/>
      <c r="G154" s="347"/>
      <c r="H154" s="263"/>
      <c r="I154" s="263"/>
      <c r="J154" s="263"/>
      <c r="K154" s="263"/>
      <c r="L154" s="289">
        <f t="shared" si="5"/>
        <v>0</v>
      </c>
      <c r="M154" s="258" t="e">
        <f t="shared" si="6"/>
        <v>#DIV/0!</v>
      </c>
      <c r="N154" s="259"/>
      <c r="O154" s="259"/>
      <c r="P154" s="259"/>
      <c r="Q154" s="259"/>
      <c r="R154" s="259"/>
      <c r="S154" s="259"/>
      <c r="T154" s="259"/>
      <c r="U154" s="259"/>
      <c r="V154" s="259"/>
    </row>
    <row r="155" spans="1:22" s="260" customFormat="1" ht="38.25" customHeight="1">
      <c r="A155" s="248">
        <v>23</v>
      </c>
      <c r="B155" s="232" t="s">
        <v>2692</v>
      </c>
      <c r="C155" s="257"/>
      <c r="D155" s="359">
        <f>E155+F155+G155</f>
        <v>0</v>
      </c>
      <c r="E155" s="347"/>
      <c r="F155" s="347"/>
      <c r="G155" s="347"/>
      <c r="H155" s="263"/>
      <c r="I155" s="263"/>
      <c r="J155" s="263"/>
      <c r="K155" s="263"/>
      <c r="L155" s="289">
        <f t="shared" ref="L155:L219" si="9">E155/1.39</f>
        <v>0</v>
      </c>
      <c r="M155" s="258" t="e">
        <f t="shared" ref="M155:M219" si="10">L155/C155</f>
        <v>#DIV/0!</v>
      </c>
      <c r="N155" s="259"/>
      <c r="O155" s="259"/>
      <c r="P155" s="259"/>
      <c r="Q155" s="259"/>
      <c r="R155" s="259"/>
      <c r="S155" s="259"/>
      <c r="T155" s="259"/>
      <c r="U155" s="259"/>
      <c r="V155" s="259"/>
    </row>
    <row r="156" spans="1:22" s="256" customFormat="1" ht="55.5" customHeight="1">
      <c r="A156" s="248">
        <v>24</v>
      </c>
      <c r="B156" s="232" t="s">
        <v>2693</v>
      </c>
      <c r="C156" s="252"/>
      <c r="D156" s="359">
        <f>E156+F156+G156</f>
        <v>0</v>
      </c>
      <c r="E156" s="359"/>
      <c r="F156" s="359"/>
      <c r="G156" s="359"/>
      <c r="H156" s="253"/>
      <c r="I156" s="253"/>
      <c r="J156" s="253"/>
      <c r="K156" s="253"/>
      <c r="L156" s="297">
        <f t="shared" si="9"/>
        <v>0</v>
      </c>
      <c r="M156" s="254" t="e">
        <f t="shared" si="10"/>
        <v>#DIV/0!</v>
      </c>
      <c r="N156" s="255"/>
      <c r="O156" s="255"/>
      <c r="P156" s="255"/>
      <c r="Q156" s="255"/>
      <c r="R156" s="255"/>
      <c r="S156" s="255"/>
      <c r="T156" s="255"/>
      <c r="U156" s="255"/>
      <c r="V156" s="255"/>
    </row>
    <row r="157" spans="1:22" s="260" customFormat="1" ht="31.5" customHeight="1">
      <c r="A157" s="248">
        <v>25</v>
      </c>
      <c r="B157" s="232" t="s">
        <v>2694</v>
      </c>
      <c r="C157" s="252"/>
      <c r="D157" s="359">
        <f>E157+F157+G157</f>
        <v>0</v>
      </c>
      <c r="E157" s="359"/>
      <c r="F157" s="359"/>
      <c r="G157" s="359"/>
      <c r="H157" s="253"/>
      <c r="I157" s="253"/>
      <c r="J157" s="253"/>
      <c r="K157" s="253"/>
      <c r="L157" s="289">
        <f t="shared" si="9"/>
        <v>0</v>
      </c>
      <c r="M157" s="258" t="e">
        <f t="shared" si="10"/>
        <v>#DIV/0!</v>
      </c>
      <c r="N157" s="259"/>
      <c r="O157" s="259"/>
      <c r="P157" s="259"/>
      <c r="Q157" s="259"/>
      <c r="R157" s="259"/>
      <c r="S157" s="259"/>
      <c r="T157" s="259"/>
      <c r="U157" s="259"/>
      <c r="V157" s="259"/>
    </row>
    <row r="158" spans="1:22" s="260" customFormat="1" ht="37.5" customHeight="1">
      <c r="A158" s="248">
        <v>26</v>
      </c>
      <c r="B158" s="232" t="s">
        <v>2695</v>
      </c>
      <c r="C158" s="257"/>
      <c r="D158" s="347"/>
      <c r="E158" s="347"/>
      <c r="F158" s="347"/>
      <c r="G158" s="347"/>
      <c r="H158" s="263"/>
      <c r="I158" s="263"/>
      <c r="J158" s="263"/>
      <c r="K158" s="263"/>
      <c r="L158" s="289">
        <f t="shared" si="9"/>
        <v>0</v>
      </c>
      <c r="M158" s="258" t="e">
        <f t="shared" si="10"/>
        <v>#DIV/0!</v>
      </c>
      <c r="N158" s="259"/>
      <c r="O158" s="259"/>
      <c r="P158" s="259"/>
      <c r="Q158" s="259"/>
      <c r="R158" s="259"/>
      <c r="S158" s="259"/>
      <c r="T158" s="259"/>
      <c r="U158" s="259"/>
      <c r="V158" s="259"/>
    </row>
    <row r="159" spans="1:22" s="260" customFormat="1" ht="31.5" customHeight="1">
      <c r="A159" s="248">
        <v>27</v>
      </c>
      <c r="B159" s="249" t="s">
        <v>2696</v>
      </c>
      <c r="C159" s="295"/>
      <c r="D159" s="357">
        <f>E159+F159+G159</f>
        <v>0</v>
      </c>
      <c r="E159" s="357"/>
      <c r="F159" s="357"/>
      <c r="G159" s="357"/>
      <c r="H159" s="296"/>
      <c r="I159" s="296"/>
      <c r="J159" s="296"/>
      <c r="K159" s="296"/>
      <c r="L159" s="289">
        <f t="shared" si="9"/>
        <v>0</v>
      </c>
      <c r="M159" s="258" t="e">
        <f t="shared" si="10"/>
        <v>#DIV/0!</v>
      </c>
      <c r="N159" s="259"/>
      <c r="O159" s="259"/>
      <c r="P159" s="259"/>
      <c r="Q159" s="259"/>
      <c r="R159" s="259"/>
      <c r="S159" s="259"/>
      <c r="T159" s="259"/>
      <c r="U159" s="259"/>
      <c r="V159" s="259"/>
    </row>
    <row r="160" spans="1:22" s="256" customFormat="1" ht="31.5" customHeight="1">
      <c r="A160" s="248">
        <v>28</v>
      </c>
      <c r="B160" s="232" t="s">
        <v>2891</v>
      </c>
      <c r="C160" s="252"/>
      <c r="D160" s="359">
        <f>E160+F160+G160</f>
        <v>0</v>
      </c>
      <c r="E160" s="359"/>
      <c r="F160" s="359"/>
      <c r="G160" s="359"/>
      <c r="H160" s="253"/>
      <c r="I160" s="253"/>
      <c r="J160" s="253"/>
      <c r="K160" s="253"/>
      <c r="L160" s="297">
        <f t="shared" si="9"/>
        <v>0</v>
      </c>
      <c r="M160" s="254" t="e">
        <f t="shared" si="10"/>
        <v>#DIV/0!</v>
      </c>
      <c r="N160" s="255"/>
      <c r="O160" s="255"/>
      <c r="P160" s="255"/>
      <c r="Q160" s="255"/>
      <c r="R160" s="255"/>
      <c r="S160" s="255"/>
      <c r="T160" s="255"/>
      <c r="U160" s="255"/>
      <c r="V160" s="255"/>
    </row>
    <row r="161" spans="1:22" s="260" customFormat="1" ht="31.5" customHeight="1">
      <c r="A161" s="248">
        <v>29</v>
      </c>
      <c r="B161" s="232" t="s">
        <v>2698</v>
      </c>
      <c r="C161" s="257"/>
      <c r="D161" s="347"/>
      <c r="E161" s="347"/>
      <c r="F161" s="347"/>
      <c r="G161" s="347"/>
      <c r="H161" s="263"/>
      <c r="I161" s="263"/>
      <c r="J161" s="263"/>
      <c r="K161" s="263"/>
      <c r="L161" s="289">
        <f t="shared" si="9"/>
        <v>0</v>
      </c>
      <c r="M161" s="258" t="e">
        <f t="shared" si="10"/>
        <v>#DIV/0!</v>
      </c>
      <c r="N161" s="259"/>
      <c r="O161" s="259"/>
      <c r="P161" s="259"/>
      <c r="Q161" s="259"/>
      <c r="R161" s="259"/>
      <c r="S161" s="259"/>
      <c r="T161" s="259"/>
      <c r="U161" s="259"/>
      <c r="V161" s="259"/>
    </row>
    <row r="162" spans="1:22" s="260" customFormat="1" ht="26.25" customHeight="1">
      <c r="A162" s="248">
        <v>9</v>
      </c>
      <c r="B162" s="261" t="s">
        <v>2537</v>
      </c>
      <c r="C162" s="257"/>
      <c r="D162" s="347">
        <f>D163</f>
        <v>0</v>
      </c>
      <c r="E162" s="347"/>
      <c r="F162" s="347"/>
      <c r="G162" s="347"/>
      <c r="H162" s="263">
        <v>17.997650499999999</v>
      </c>
      <c r="I162" s="263"/>
      <c r="J162" s="263"/>
      <c r="K162" s="263"/>
      <c r="L162" s="289">
        <f t="shared" si="9"/>
        <v>0</v>
      </c>
      <c r="M162" s="258" t="e">
        <f t="shared" si="10"/>
        <v>#DIV/0!</v>
      </c>
      <c r="N162" s="259"/>
      <c r="O162" s="259"/>
      <c r="P162" s="259"/>
      <c r="Q162" s="259"/>
      <c r="R162" s="259"/>
      <c r="S162" s="259"/>
      <c r="T162" s="259"/>
      <c r="U162" s="259"/>
      <c r="V162" s="259"/>
    </row>
    <row r="163" spans="1:22" s="260" customFormat="1" ht="31.5">
      <c r="A163" s="248">
        <v>30</v>
      </c>
      <c r="B163" s="232" t="s">
        <v>2699</v>
      </c>
      <c r="C163" s="257">
        <f>SUM(C164:C167)</f>
        <v>0</v>
      </c>
      <c r="D163" s="347">
        <f>SUM(D164:D167)</f>
        <v>0</v>
      </c>
      <c r="E163" s="347">
        <f>SUM(E164:E167)</f>
        <v>0</v>
      </c>
      <c r="F163" s="347">
        <f>SUM(F164:F167)</f>
        <v>0</v>
      </c>
      <c r="G163" s="347">
        <f>SUM(G164:G167)</f>
        <v>0</v>
      </c>
      <c r="H163" s="263"/>
      <c r="I163" s="263"/>
      <c r="J163" s="263"/>
      <c r="K163" s="263"/>
      <c r="L163" s="289">
        <f t="shared" si="9"/>
        <v>0</v>
      </c>
      <c r="M163" s="258" t="e">
        <f t="shared" si="10"/>
        <v>#DIV/0!</v>
      </c>
      <c r="N163" s="259"/>
      <c r="O163" s="259"/>
      <c r="P163" s="259"/>
      <c r="Q163" s="259"/>
      <c r="R163" s="259"/>
      <c r="S163" s="259"/>
      <c r="T163" s="259"/>
      <c r="U163" s="259"/>
      <c r="V163" s="259"/>
    </row>
    <row r="164" spans="1:22" s="260" customFormat="1" ht="21" customHeight="1">
      <c r="A164" s="248"/>
      <c r="B164" s="232" t="s">
        <v>2700</v>
      </c>
      <c r="C164" s="264"/>
      <c r="D164" s="335">
        <f>E164+F164+G164</f>
        <v>0</v>
      </c>
      <c r="E164" s="336"/>
      <c r="F164" s="336"/>
      <c r="G164" s="337"/>
      <c r="H164" s="265"/>
      <c r="I164" s="265"/>
      <c r="J164" s="265"/>
      <c r="K164" s="265"/>
      <c r="L164" s="289">
        <f t="shared" si="9"/>
        <v>0</v>
      </c>
      <c r="M164" s="258" t="e">
        <f t="shared" si="10"/>
        <v>#DIV/0!</v>
      </c>
      <c r="N164" s="259"/>
      <c r="O164" s="259"/>
      <c r="P164" s="259"/>
      <c r="Q164" s="259"/>
      <c r="R164" s="259"/>
      <c r="S164" s="259"/>
      <c r="T164" s="259"/>
      <c r="U164" s="259"/>
      <c r="V164" s="259"/>
    </row>
    <row r="165" spans="1:22" s="260" customFormat="1" ht="21" customHeight="1">
      <c r="A165" s="248"/>
      <c r="B165" s="232" t="s">
        <v>2701</v>
      </c>
      <c r="C165" s="266"/>
      <c r="D165" s="335">
        <f>E165+F165+G165</f>
        <v>0</v>
      </c>
      <c r="E165" s="338"/>
      <c r="F165" s="338"/>
      <c r="G165" s="335"/>
      <c r="H165" s="267"/>
      <c r="I165" s="267"/>
      <c r="J165" s="267"/>
      <c r="K165" s="267"/>
      <c r="L165" s="289">
        <f t="shared" si="9"/>
        <v>0</v>
      </c>
      <c r="M165" s="258" t="e">
        <f t="shared" si="10"/>
        <v>#DIV/0!</v>
      </c>
      <c r="N165" s="259"/>
      <c r="O165" s="259"/>
      <c r="P165" s="259"/>
      <c r="Q165" s="259"/>
      <c r="R165" s="259"/>
      <c r="S165" s="259"/>
      <c r="T165" s="259"/>
      <c r="U165" s="259"/>
      <c r="V165" s="259"/>
    </row>
    <row r="166" spans="1:22" s="260" customFormat="1" ht="21" customHeight="1">
      <c r="A166" s="248"/>
      <c r="B166" s="232" t="s">
        <v>2702</v>
      </c>
      <c r="C166" s="264"/>
      <c r="D166" s="337">
        <f>E166+F166+G166</f>
        <v>0</v>
      </c>
      <c r="E166" s="336"/>
      <c r="F166" s="336"/>
      <c r="G166" s="337"/>
      <c r="H166" s="265"/>
      <c r="I166" s="265"/>
      <c r="J166" s="265"/>
      <c r="K166" s="265"/>
      <c r="L166" s="289">
        <f t="shared" si="9"/>
        <v>0</v>
      </c>
      <c r="M166" s="258" t="e">
        <f t="shared" si="10"/>
        <v>#DIV/0!</v>
      </c>
      <c r="N166" s="259"/>
      <c r="O166" s="259"/>
      <c r="P166" s="259"/>
      <c r="Q166" s="259"/>
      <c r="R166" s="259"/>
      <c r="S166" s="259"/>
      <c r="T166" s="259"/>
      <c r="U166" s="259"/>
      <c r="V166" s="259"/>
    </row>
    <row r="167" spans="1:22" s="260" customFormat="1" ht="21" customHeight="1">
      <c r="A167" s="248"/>
      <c r="B167" s="232" t="s">
        <v>2703</v>
      </c>
      <c r="C167" s="264"/>
      <c r="D167" s="337">
        <f>E167+F167+G167</f>
        <v>0</v>
      </c>
      <c r="E167" s="336"/>
      <c r="F167" s="336"/>
      <c r="G167" s="337"/>
      <c r="H167" s="265"/>
      <c r="I167" s="265"/>
      <c r="J167" s="265"/>
      <c r="K167" s="265"/>
      <c r="L167" s="289">
        <f t="shared" si="9"/>
        <v>0</v>
      </c>
      <c r="M167" s="258" t="e">
        <f t="shared" si="10"/>
        <v>#DIV/0!</v>
      </c>
      <c r="N167" s="259"/>
      <c r="O167" s="259"/>
      <c r="P167" s="259"/>
      <c r="Q167" s="259"/>
      <c r="R167" s="259"/>
      <c r="S167" s="259"/>
      <c r="T167" s="259"/>
      <c r="U167" s="259"/>
      <c r="V167" s="259"/>
    </row>
    <row r="168" spans="1:22" s="260" customFormat="1" ht="21" customHeight="1">
      <c r="A168" s="268">
        <v>9</v>
      </c>
      <c r="B168" s="271" t="s">
        <v>2537</v>
      </c>
      <c r="C168" s="272"/>
      <c r="D168" s="339"/>
      <c r="E168" s="340"/>
      <c r="F168" s="340"/>
      <c r="G168" s="339"/>
      <c r="H168" s="273"/>
      <c r="I168" s="273"/>
      <c r="J168" s="273"/>
      <c r="K168" s="273"/>
      <c r="L168" s="289"/>
      <c r="M168" s="258"/>
      <c r="N168" s="259"/>
      <c r="O168" s="259"/>
      <c r="P168" s="259"/>
      <c r="Q168" s="259"/>
      <c r="R168" s="259"/>
      <c r="S168" s="259"/>
      <c r="T168" s="259"/>
      <c r="U168" s="259"/>
      <c r="V168" s="259"/>
    </row>
    <row r="169" spans="1:22" s="260" customFormat="1" ht="21" customHeight="1">
      <c r="A169" s="268">
        <v>10</v>
      </c>
      <c r="B169" s="269" t="s">
        <v>2704</v>
      </c>
      <c r="C169" s="257">
        <f>C170+C205+C217+C225</f>
        <v>0</v>
      </c>
      <c r="D169" s="347">
        <f>D170+D205+D217+D225</f>
        <v>0</v>
      </c>
      <c r="E169" s="347">
        <f>E170+E205+E217+E225</f>
        <v>0</v>
      </c>
      <c r="F169" s="347">
        <f>F170+F205+F217+F225</f>
        <v>0</v>
      </c>
      <c r="G169" s="347">
        <f>G170+G205+G217+G225</f>
        <v>0</v>
      </c>
      <c r="H169" s="263">
        <v>664.71038667384607</v>
      </c>
      <c r="I169" s="263"/>
      <c r="J169" s="263"/>
      <c r="K169" s="263"/>
      <c r="L169" s="289">
        <f t="shared" si="9"/>
        <v>0</v>
      </c>
      <c r="M169" s="258" t="e">
        <f t="shared" si="10"/>
        <v>#DIV/0!</v>
      </c>
      <c r="N169" s="259"/>
      <c r="O169" s="259"/>
      <c r="P169" s="259"/>
      <c r="Q169" s="259"/>
      <c r="R169" s="259"/>
      <c r="S169" s="259"/>
      <c r="T169" s="259"/>
      <c r="U169" s="259"/>
      <c r="V169" s="259"/>
    </row>
    <row r="170" spans="1:22" s="260" customFormat="1" ht="21" customHeight="1">
      <c r="A170" s="300"/>
      <c r="B170" s="301" t="s">
        <v>2538</v>
      </c>
      <c r="C170" s="257"/>
      <c r="D170" s="347">
        <f>SUM(D171,D174:D176,D183:D186,D189:D190,D193,D196:D204)</f>
        <v>0</v>
      </c>
      <c r="E170" s="347"/>
      <c r="F170" s="347"/>
      <c r="G170" s="347"/>
      <c r="H170" s="263">
        <v>436.33109317384606</v>
      </c>
      <c r="I170" s="263">
        <f>D170-H170</f>
        <v>-436.33109317384606</v>
      </c>
      <c r="J170" s="263"/>
      <c r="K170" s="263"/>
      <c r="L170" s="289">
        <f t="shared" si="9"/>
        <v>0</v>
      </c>
      <c r="M170" s="258" t="e">
        <f t="shared" si="10"/>
        <v>#DIV/0!</v>
      </c>
      <c r="N170" s="259"/>
      <c r="O170" s="259"/>
      <c r="P170" s="259"/>
      <c r="Q170" s="259"/>
      <c r="R170" s="259"/>
      <c r="S170" s="259"/>
      <c r="T170" s="259"/>
      <c r="U170" s="259"/>
      <c r="V170" s="259"/>
    </row>
    <row r="171" spans="1:22" s="256" customFormat="1" ht="21" hidden="1" customHeight="1">
      <c r="A171" s="248">
        <v>31</v>
      </c>
      <c r="B171" s="247" t="s">
        <v>2705</v>
      </c>
      <c r="C171" s="252"/>
      <c r="D171" s="359">
        <f>D172+D173</f>
        <v>0</v>
      </c>
      <c r="E171" s="359"/>
      <c r="F171" s="359"/>
      <c r="G171" s="359"/>
      <c r="H171" s="253">
        <v>55.624714199999993</v>
      </c>
      <c r="I171" s="253"/>
      <c r="J171" s="253" t="s">
        <v>2705</v>
      </c>
      <c r="K171" s="253"/>
      <c r="L171" s="289">
        <f t="shared" si="9"/>
        <v>0</v>
      </c>
      <c r="M171" s="258" t="e">
        <f t="shared" si="10"/>
        <v>#DIV/0!</v>
      </c>
      <c r="N171" s="255"/>
      <c r="O171" s="255"/>
      <c r="P171" s="255"/>
      <c r="Q171" s="255"/>
      <c r="R171" s="255"/>
      <c r="S171" s="255"/>
      <c r="T171" s="255"/>
      <c r="U171" s="255"/>
      <c r="V171" s="255"/>
    </row>
    <row r="172" spans="1:22" s="256" customFormat="1" ht="21" hidden="1" customHeight="1">
      <c r="A172" s="300"/>
      <c r="B172" s="232" t="s">
        <v>2706</v>
      </c>
      <c r="C172" s="252"/>
      <c r="D172" s="359">
        <f>E172+F172+G172</f>
        <v>0</v>
      </c>
      <c r="E172" s="359"/>
      <c r="F172" s="359"/>
      <c r="G172" s="359"/>
      <c r="H172" s="253">
        <v>55.624714199999993</v>
      </c>
      <c r="I172" s="253"/>
      <c r="J172" s="253" t="s">
        <v>2706</v>
      </c>
      <c r="K172" s="253"/>
      <c r="L172" s="289">
        <f t="shared" si="9"/>
        <v>0</v>
      </c>
      <c r="M172" s="258" t="e">
        <f t="shared" si="10"/>
        <v>#DIV/0!</v>
      </c>
      <c r="N172" s="255"/>
      <c r="O172" s="255"/>
      <c r="P172" s="255"/>
      <c r="Q172" s="255"/>
      <c r="R172" s="255"/>
      <c r="S172" s="255"/>
      <c r="T172" s="255"/>
      <c r="U172" s="255"/>
      <c r="V172" s="255"/>
    </row>
    <row r="173" spans="1:22" s="260" customFormat="1" ht="21" hidden="1" customHeight="1">
      <c r="A173" s="300"/>
      <c r="B173" s="232" t="s">
        <v>2707</v>
      </c>
      <c r="C173" s="257"/>
      <c r="D173" s="347"/>
      <c r="E173" s="347"/>
      <c r="F173" s="347"/>
      <c r="G173" s="347"/>
      <c r="H173" s="253">
        <v>0</v>
      </c>
      <c r="I173" s="253"/>
      <c r="J173" s="253" t="s">
        <v>2707</v>
      </c>
      <c r="K173" s="263"/>
      <c r="L173" s="289">
        <f t="shared" si="9"/>
        <v>0</v>
      </c>
      <c r="M173" s="258" t="e">
        <f t="shared" si="10"/>
        <v>#DIV/0!</v>
      </c>
      <c r="N173" s="259"/>
      <c r="O173" s="259"/>
      <c r="P173" s="259"/>
      <c r="Q173" s="259"/>
      <c r="R173" s="259"/>
      <c r="S173" s="259"/>
      <c r="T173" s="259"/>
      <c r="U173" s="259"/>
      <c r="V173" s="259"/>
    </row>
    <row r="174" spans="1:22" s="256" customFormat="1" ht="21" hidden="1" customHeight="1">
      <c r="A174" s="248">
        <v>32</v>
      </c>
      <c r="B174" s="232" t="s">
        <v>2711</v>
      </c>
      <c r="C174" s="252"/>
      <c r="D174" s="359">
        <f>E174+F174+G174</f>
        <v>0</v>
      </c>
      <c r="E174" s="359"/>
      <c r="F174" s="359"/>
      <c r="G174" s="359"/>
      <c r="H174" s="253">
        <v>39.260132999999996</v>
      </c>
      <c r="I174" s="253"/>
      <c r="J174" s="253" t="s">
        <v>2711</v>
      </c>
      <c r="K174" s="253"/>
      <c r="L174" s="289">
        <f t="shared" si="9"/>
        <v>0</v>
      </c>
      <c r="M174" s="258" t="e">
        <f t="shared" si="10"/>
        <v>#DIV/0!</v>
      </c>
      <c r="N174" s="255"/>
      <c r="O174" s="255"/>
      <c r="P174" s="255"/>
      <c r="Q174" s="255"/>
      <c r="R174" s="255"/>
      <c r="S174" s="255"/>
      <c r="T174" s="255"/>
      <c r="U174" s="255"/>
      <c r="V174" s="255"/>
    </row>
    <row r="175" spans="1:22" s="260" customFormat="1" ht="21" hidden="1" customHeight="1">
      <c r="A175" s="300">
        <v>33</v>
      </c>
      <c r="B175" s="232" t="s">
        <v>2712</v>
      </c>
      <c r="C175" s="252"/>
      <c r="D175" s="359">
        <f>E175+F175+G175</f>
        <v>0</v>
      </c>
      <c r="E175" s="359"/>
      <c r="F175" s="359"/>
      <c r="G175" s="359"/>
      <c r="H175" s="253">
        <v>17.238748725000001</v>
      </c>
      <c r="I175" s="253"/>
      <c r="J175" s="253" t="s">
        <v>2712</v>
      </c>
      <c r="K175" s="253"/>
      <c r="L175" s="289">
        <f t="shared" si="9"/>
        <v>0</v>
      </c>
      <c r="M175" s="258" t="e">
        <f t="shared" si="10"/>
        <v>#DIV/0!</v>
      </c>
      <c r="N175" s="259"/>
      <c r="O175" s="259"/>
      <c r="P175" s="259"/>
      <c r="Q175" s="259"/>
      <c r="R175" s="259"/>
      <c r="S175" s="259"/>
      <c r="T175" s="259"/>
      <c r="U175" s="259"/>
      <c r="V175" s="259"/>
    </row>
    <row r="176" spans="1:22" s="260" customFormat="1" ht="21" hidden="1" customHeight="1">
      <c r="A176" s="300">
        <v>34</v>
      </c>
      <c r="B176" s="247" t="s">
        <v>2291</v>
      </c>
      <c r="C176" s="252"/>
      <c r="D176" s="359">
        <f>SUM(D177:D182)</f>
        <v>0</v>
      </c>
      <c r="E176" s="359"/>
      <c r="F176" s="359"/>
      <c r="G176" s="359"/>
      <c r="H176" s="253">
        <v>19.960330499999998</v>
      </c>
      <c r="I176" s="253"/>
      <c r="J176" s="253" t="s">
        <v>2291</v>
      </c>
      <c r="K176" s="253"/>
      <c r="L176" s="289">
        <f t="shared" si="9"/>
        <v>0</v>
      </c>
      <c r="M176" s="258" t="e">
        <f t="shared" si="10"/>
        <v>#DIV/0!</v>
      </c>
      <c r="N176" s="259"/>
      <c r="O176" s="259"/>
      <c r="P176" s="259"/>
      <c r="Q176" s="259"/>
      <c r="R176" s="259"/>
      <c r="S176" s="259"/>
      <c r="T176" s="259"/>
      <c r="U176" s="259"/>
      <c r="V176" s="259"/>
    </row>
    <row r="177" spans="1:22" s="260" customFormat="1" ht="21" hidden="1" customHeight="1">
      <c r="A177" s="300"/>
      <c r="B177" s="232" t="s">
        <v>2713</v>
      </c>
      <c r="C177" s="252"/>
      <c r="D177" s="359">
        <f>E177+F177+G177</f>
        <v>0</v>
      </c>
      <c r="E177" s="359"/>
      <c r="F177" s="359"/>
      <c r="G177" s="359"/>
      <c r="H177" s="253">
        <v>14.985728999999997</v>
      </c>
      <c r="I177" s="253"/>
      <c r="J177" s="253" t="s">
        <v>2713</v>
      </c>
      <c r="K177" s="253"/>
      <c r="L177" s="289">
        <f t="shared" si="9"/>
        <v>0</v>
      </c>
      <c r="M177" s="258" t="e">
        <f t="shared" si="10"/>
        <v>#DIV/0!</v>
      </c>
      <c r="N177" s="259"/>
      <c r="O177" s="259"/>
      <c r="P177" s="259"/>
      <c r="Q177" s="259"/>
      <c r="R177" s="259"/>
      <c r="S177" s="259"/>
      <c r="T177" s="259"/>
      <c r="U177" s="259"/>
      <c r="V177" s="259"/>
    </row>
    <row r="178" spans="1:22" s="260" customFormat="1" ht="21" hidden="1" customHeight="1">
      <c r="A178" s="300"/>
      <c r="B178" s="232" t="s">
        <v>2714</v>
      </c>
      <c r="C178" s="257"/>
      <c r="D178" s="347"/>
      <c r="E178" s="347"/>
      <c r="F178" s="347"/>
      <c r="G178" s="347"/>
      <c r="H178" s="253">
        <v>0</v>
      </c>
      <c r="I178" s="253"/>
      <c r="J178" s="253" t="s">
        <v>2714</v>
      </c>
      <c r="K178" s="263"/>
      <c r="L178" s="289">
        <f t="shared" si="9"/>
        <v>0</v>
      </c>
      <c r="M178" s="258" t="e">
        <f t="shared" si="10"/>
        <v>#DIV/0!</v>
      </c>
      <c r="N178" s="259"/>
      <c r="O178" s="259"/>
      <c r="P178" s="259"/>
      <c r="Q178" s="259"/>
      <c r="R178" s="259"/>
      <c r="S178" s="259"/>
      <c r="T178" s="259"/>
      <c r="U178" s="259"/>
      <c r="V178" s="259"/>
    </row>
    <row r="179" spans="1:22" s="260" customFormat="1" ht="21" hidden="1" customHeight="1">
      <c r="A179" s="300"/>
      <c r="B179" s="232" t="s">
        <v>2715</v>
      </c>
      <c r="C179" s="252"/>
      <c r="D179" s="359">
        <f>E179+F179+G179</f>
        <v>0</v>
      </c>
      <c r="E179" s="359"/>
      <c r="F179" s="359"/>
      <c r="G179" s="359"/>
      <c r="H179" s="253">
        <v>4.9746014999999995</v>
      </c>
      <c r="I179" s="253"/>
      <c r="J179" s="253" t="s">
        <v>2715</v>
      </c>
      <c r="K179" s="253"/>
      <c r="L179" s="289">
        <f t="shared" si="9"/>
        <v>0</v>
      </c>
      <c r="M179" s="258" t="e">
        <f t="shared" si="10"/>
        <v>#DIV/0!</v>
      </c>
      <c r="N179" s="259"/>
      <c r="O179" s="259"/>
      <c r="P179" s="259"/>
      <c r="Q179" s="259"/>
      <c r="R179" s="259"/>
      <c r="S179" s="259"/>
      <c r="T179" s="259"/>
      <c r="U179" s="259"/>
      <c r="V179" s="259"/>
    </row>
    <row r="180" spans="1:22" s="260" customFormat="1" ht="21" hidden="1" customHeight="1">
      <c r="A180" s="300"/>
      <c r="B180" s="232" t="s">
        <v>2716</v>
      </c>
      <c r="C180" s="257"/>
      <c r="D180" s="347"/>
      <c r="E180" s="347"/>
      <c r="F180" s="347"/>
      <c r="G180" s="347"/>
      <c r="H180" s="253">
        <v>0</v>
      </c>
      <c r="I180" s="253"/>
      <c r="J180" s="253" t="s">
        <v>2716</v>
      </c>
      <c r="K180" s="263"/>
      <c r="L180" s="289">
        <f t="shared" si="9"/>
        <v>0</v>
      </c>
      <c r="M180" s="258" t="e">
        <f t="shared" si="10"/>
        <v>#DIV/0!</v>
      </c>
      <c r="N180" s="259"/>
      <c r="O180" s="259"/>
      <c r="P180" s="259"/>
      <c r="Q180" s="259"/>
      <c r="R180" s="259"/>
      <c r="S180" s="259"/>
      <c r="T180" s="259"/>
      <c r="U180" s="259"/>
      <c r="V180" s="259"/>
    </row>
    <row r="181" spans="1:22" s="260" customFormat="1" ht="21" hidden="1" customHeight="1">
      <c r="A181" s="300"/>
      <c r="B181" s="232" t="s">
        <v>2717</v>
      </c>
      <c r="C181" s="257"/>
      <c r="D181" s="347"/>
      <c r="E181" s="347"/>
      <c r="F181" s="347"/>
      <c r="G181" s="347"/>
      <c r="H181" s="253">
        <v>0</v>
      </c>
      <c r="I181" s="253"/>
      <c r="J181" s="253" t="s">
        <v>2717</v>
      </c>
      <c r="K181" s="263"/>
      <c r="L181" s="289">
        <f t="shared" si="9"/>
        <v>0</v>
      </c>
      <c r="M181" s="258" t="e">
        <f t="shared" si="10"/>
        <v>#DIV/0!</v>
      </c>
      <c r="N181" s="259"/>
      <c r="O181" s="259"/>
      <c r="P181" s="259"/>
      <c r="Q181" s="259"/>
      <c r="R181" s="259"/>
      <c r="S181" s="259"/>
      <c r="T181" s="259"/>
      <c r="U181" s="259"/>
      <c r="V181" s="259"/>
    </row>
    <row r="182" spans="1:22" s="260" customFormat="1" ht="21" hidden="1" customHeight="1">
      <c r="A182" s="300"/>
      <c r="B182" s="232" t="s">
        <v>2718</v>
      </c>
      <c r="C182" s="257"/>
      <c r="D182" s="347"/>
      <c r="E182" s="347"/>
      <c r="F182" s="347"/>
      <c r="G182" s="347"/>
      <c r="H182" s="253">
        <v>0</v>
      </c>
      <c r="I182" s="253"/>
      <c r="J182" s="253" t="s">
        <v>2718</v>
      </c>
      <c r="K182" s="263"/>
      <c r="L182" s="289">
        <f t="shared" si="9"/>
        <v>0</v>
      </c>
      <c r="M182" s="258" t="e">
        <f t="shared" si="10"/>
        <v>#DIV/0!</v>
      </c>
      <c r="N182" s="259"/>
      <c r="O182" s="259"/>
      <c r="P182" s="259"/>
      <c r="Q182" s="259"/>
      <c r="R182" s="259"/>
      <c r="S182" s="259"/>
      <c r="T182" s="259"/>
      <c r="U182" s="259"/>
      <c r="V182" s="259"/>
    </row>
    <row r="183" spans="1:22" s="260" customFormat="1" ht="21" hidden="1" customHeight="1">
      <c r="A183" s="300">
        <v>35</v>
      </c>
      <c r="B183" s="247" t="s">
        <v>2721</v>
      </c>
      <c r="C183" s="252"/>
      <c r="D183" s="359">
        <f>E183+F183+G183</f>
        <v>0</v>
      </c>
      <c r="E183" s="359"/>
      <c r="F183" s="359"/>
      <c r="G183" s="359"/>
      <c r="H183" s="253">
        <v>17.6897655</v>
      </c>
      <c r="I183" s="253"/>
      <c r="J183" s="253" t="s">
        <v>2721</v>
      </c>
      <c r="K183" s="253"/>
      <c r="L183" s="289">
        <f t="shared" si="9"/>
        <v>0</v>
      </c>
      <c r="M183" s="258" t="e">
        <f t="shared" si="10"/>
        <v>#DIV/0!</v>
      </c>
      <c r="N183" s="259"/>
      <c r="O183" s="259"/>
      <c r="P183" s="259"/>
      <c r="Q183" s="259"/>
      <c r="R183" s="259"/>
      <c r="S183" s="259"/>
      <c r="T183" s="259"/>
      <c r="U183" s="259"/>
      <c r="V183" s="259"/>
    </row>
    <row r="184" spans="1:22" s="260" customFormat="1" ht="21" hidden="1" customHeight="1">
      <c r="A184" s="300">
        <v>36</v>
      </c>
      <c r="B184" s="232" t="s">
        <v>2722</v>
      </c>
      <c r="C184" s="252"/>
      <c r="D184" s="359">
        <f>E184+F184+G184</f>
        <v>0</v>
      </c>
      <c r="E184" s="359"/>
      <c r="F184" s="359"/>
      <c r="G184" s="359"/>
      <c r="H184" s="253">
        <v>24.150554999999997</v>
      </c>
      <c r="I184" s="253"/>
      <c r="J184" s="253" t="s">
        <v>2722</v>
      </c>
      <c r="K184" s="253"/>
      <c r="L184" s="289">
        <f t="shared" si="9"/>
        <v>0</v>
      </c>
      <c r="M184" s="258" t="e">
        <f t="shared" si="10"/>
        <v>#DIV/0!</v>
      </c>
      <c r="N184" s="259"/>
      <c r="O184" s="259"/>
      <c r="P184" s="259"/>
      <c r="Q184" s="259"/>
      <c r="R184" s="259"/>
      <c r="S184" s="259"/>
      <c r="T184" s="259"/>
      <c r="U184" s="259"/>
      <c r="V184" s="259"/>
    </row>
    <row r="185" spans="1:22" s="260" customFormat="1" ht="21" hidden="1" customHeight="1">
      <c r="A185" s="300">
        <v>37</v>
      </c>
      <c r="B185" s="232" t="s">
        <v>2478</v>
      </c>
      <c r="C185" s="252"/>
      <c r="D185" s="359">
        <f>E185+F185+G185</f>
        <v>0</v>
      </c>
      <c r="E185" s="359"/>
      <c r="F185" s="359"/>
      <c r="G185" s="359"/>
      <c r="H185" s="253">
        <v>18.616568849999997</v>
      </c>
      <c r="I185" s="253"/>
      <c r="J185" s="253" t="s">
        <v>2478</v>
      </c>
      <c r="K185" s="253"/>
      <c r="L185" s="289">
        <f t="shared" si="9"/>
        <v>0</v>
      </c>
      <c r="M185" s="258" t="e">
        <f t="shared" si="10"/>
        <v>#DIV/0!</v>
      </c>
      <c r="N185" s="259"/>
      <c r="O185" s="259"/>
      <c r="P185" s="259"/>
      <c r="Q185" s="259"/>
      <c r="R185" s="259"/>
      <c r="S185" s="259"/>
      <c r="T185" s="259"/>
      <c r="U185" s="259"/>
      <c r="V185" s="259"/>
    </row>
    <row r="186" spans="1:22" s="256" customFormat="1" ht="21" hidden="1" customHeight="1">
      <c r="A186" s="300">
        <v>38</v>
      </c>
      <c r="B186" s="247" t="s">
        <v>2723</v>
      </c>
      <c r="C186" s="252"/>
      <c r="D186" s="359">
        <f>D187+D188</f>
        <v>0</v>
      </c>
      <c r="E186" s="359"/>
      <c r="F186" s="359"/>
      <c r="G186" s="359"/>
      <c r="H186" s="253">
        <v>29.331571499999999</v>
      </c>
      <c r="I186" s="253"/>
      <c r="J186" s="253" t="s">
        <v>2723</v>
      </c>
      <c r="K186" s="253"/>
      <c r="L186" s="297">
        <f t="shared" si="9"/>
        <v>0</v>
      </c>
      <c r="M186" s="254" t="e">
        <f t="shared" si="10"/>
        <v>#DIV/0!</v>
      </c>
      <c r="N186" s="255"/>
      <c r="O186" s="255"/>
      <c r="P186" s="255"/>
      <c r="Q186" s="255"/>
      <c r="R186" s="255"/>
      <c r="S186" s="255"/>
      <c r="T186" s="255"/>
      <c r="U186" s="255"/>
      <c r="V186" s="255"/>
    </row>
    <row r="187" spans="1:22" s="256" customFormat="1" ht="21" hidden="1" customHeight="1">
      <c r="A187" s="300"/>
      <c r="B187" s="232" t="s">
        <v>2724</v>
      </c>
      <c r="C187" s="252"/>
      <c r="D187" s="359">
        <f>E187+F187+G187</f>
        <v>0</v>
      </c>
      <c r="E187" s="359"/>
      <c r="F187" s="359"/>
      <c r="G187" s="359"/>
      <c r="H187" s="253">
        <v>18.081954</v>
      </c>
      <c r="I187" s="253"/>
      <c r="J187" s="253" t="s">
        <v>2724</v>
      </c>
      <c r="K187" s="253"/>
      <c r="L187" s="297">
        <f t="shared" si="9"/>
        <v>0</v>
      </c>
      <c r="M187" s="254" t="e">
        <f t="shared" si="10"/>
        <v>#DIV/0!</v>
      </c>
      <c r="N187" s="255"/>
      <c r="O187" s="255"/>
      <c r="P187" s="255"/>
      <c r="Q187" s="255"/>
      <c r="R187" s="255"/>
      <c r="S187" s="255"/>
      <c r="T187" s="255"/>
      <c r="U187" s="255"/>
      <c r="V187" s="255"/>
    </row>
    <row r="188" spans="1:22" s="256" customFormat="1" ht="21" hidden="1" customHeight="1">
      <c r="A188" s="300"/>
      <c r="B188" s="232" t="s">
        <v>2725</v>
      </c>
      <c r="C188" s="252"/>
      <c r="D188" s="359">
        <f>E188+F188+G188</f>
        <v>0</v>
      </c>
      <c r="E188" s="359"/>
      <c r="F188" s="359"/>
      <c r="G188" s="359"/>
      <c r="H188" s="253">
        <v>11.249617499999999</v>
      </c>
      <c r="I188" s="253"/>
      <c r="J188" s="253" t="s">
        <v>2725</v>
      </c>
      <c r="K188" s="253"/>
      <c r="L188" s="297">
        <f t="shared" si="9"/>
        <v>0</v>
      </c>
      <c r="M188" s="254" t="e">
        <f t="shared" si="10"/>
        <v>#DIV/0!</v>
      </c>
      <c r="N188" s="255"/>
      <c r="O188" s="255"/>
      <c r="P188" s="255"/>
      <c r="Q188" s="255"/>
      <c r="R188" s="255"/>
      <c r="S188" s="255"/>
      <c r="T188" s="255"/>
      <c r="U188" s="255"/>
      <c r="V188" s="255"/>
    </row>
    <row r="189" spans="1:22" s="260" customFormat="1" ht="21" hidden="1" customHeight="1">
      <c r="A189" s="300">
        <v>39</v>
      </c>
      <c r="B189" s="232" t="s">
        <v>2467</v>
      </c>
      <c r="C189" s="252"/>
      <c r="D189" s="359">
        <f>E189+F189+G189</f>
        <v>0</v>
      </c>
      <c r="E189" s="359"/>
      <c r="F189" s="359"/>
      <c r="G189" s="359"/>
      <c r="H189" s="253">
        <v>20.435084999999997</v>
      </c>
      <c r="I189" s="253"/>
      <c r="J189" s="253" t="s">
        <v>2467</v>
      </c>
      <c r="K189" s="253"/>
      <c r="L189" s="289">
        <f t="shared" si="9"/>
        <v>0</v>
      </c>
      <c r="M189" s="258" t="e">
        <f t="shared" si="10"/>
        <v>#DIV/0!</v>
      </c>
      <c r="N189" s="259"/>
      <c r="O189" s="259"/>
      <c r="P189" s="259"/>
      <c r="Q189" s="259"/>
      <c r="R189" s="259"/>
      <c r="S189" s="259"/>
      <c r="T189" s="259"/>
      <c r="U189" s="259"/>
      <c r="V189" s="259"/>
    </row>
    <row r="190" spans="1:22" s="256" customFormat="1" ht="21" hidden="1" customHeight="1">
      <c r="A190" s="300">
        <v>40</v>
      </c>
      <c r="B190" s="232" t="s">
        <v>2726</v>
      </c>
      <c r="C190" s="252"/>
      <c r="D190" s="359">
        <f>D191+D192</f>
        <v>0</v>
      </c>
      <c r="E190" s="359"/>
      <c r="F190" s="359"/>
      <c r="G190" s="359"/>
      <c r="H190" s="253">
        <v>19.985142</v>
      </c>
      <c r="I190" s="253"/>
      <c r="J190" s="253" t="s">
        <v>2726</v>
      </c>
      <c r="K190" s="253"/>
      <c r="L190" s="297">
        <f t="shared" si="9"/>
        <v>0</v>
      </c>
      <c r="M190" s="254" t="e">
        <f t="shared" si="10"/>
        <v>#DIV/0!</v>
      </c>
      <c r="N190" s="255"/>
      <c r="O190" s="255"/>
      <c r="P190" s="255"/>
      <c r="Q190" s="255"/>
      <c r="R190" s="255"/>
      <c r="S190" s="255"/>
      <c r="T190" s="255"/>
      <c r="U190" s="255"/>
      <c r="V190" s="255"/>
    </row>
    <row r="191" spans="1:22" s="256" customFormat="1" ht="21" hidden="1" customHeight="1">
      <c r="A191" s="300"/>
      <c r="B191" s="232" t="s">
        <v>2727</v>
      </c>
      <c r="C191" s="252"/>
      <c r="D191" s="359">
        <f>E191+F191+G191</f>
        <v>0</v>
      </c>
      <c r="E191" s="359"/>
      <c r="F191" s="359"/>
      <c r="G191" s="359"/>
      <c r="H191" s="253">
        <v>14.2219935</v>
      </c>
      <c r="I191" s="253"/>
      <c r="J191" s="253" t="s">
        <v>2727</v>
      </c>
      <c r="K191" s="253"/>
      <c r="L191" s="297">
        <f t="shared" si="9"/>
        <v>0</v>
      </c>
      <c r="M191" s="254" t="e">
        <f t="shared" si="10"/>
        <v>#DIV/0!</v>
      </c>
      <c r="N191" s="255"/>
      <c r="O191" s="255"/>
      <c r="P191" s="255"/>
      <c r="Q191" s="255"/>
      <c r="R191" s="255"/>
      <c r="S191" s="255"/>
      <c r="T191" s="255"/>
      <c r="U191" s="255"/>
      <c r="V191" s="255"/>
    </row>
    <row r="192" spans="1:22" s="256" customFormat="1" ht="21" hidden="1" customHeight="1">
      <c r="A192" s="300"/>
      <c r="B192" s="232" t="s">
        <v>2728</v>
      </c>
      <c r="C192" s="252"/>
      <c r="D192" s="359">
        <f>E192+F192+G192</f>
        <v>0</v>
      </c>
      <c r="E192" s="359"/>
      <c r="F192" s="359"/>
      <c r="G192" s="359"/>
      <c r="H192" s="253">
        <v>5.7631484999999998</v>
      </c>
      <c r="I192" s="253"/>
      <c r="J192" s="253" t="s">
        <v>2728</v>
      </c>
      <c r="K192" s="253"/>
      <c r="L192" s="297">
        <f t="shared" si="9"/>
        <v>0</v>
      </c>
      <c r="M192" s="254" t="e">
        <f t="shared" si="10"/>
        <v>#DIV/0!</v>
      </c>
      <c r="N192" s="255"/>
      <c r="O192" s="255"/>
      <c r="P192" s="255"/>
      <c r="Q192" s="255"/>
      <c r="R192" s="255"/>
      <c r="S192" s="255"/>
      <c r="T192" s="255"/>
      <c r="U192" s="255"/>
      <c r="V192" s="255"/>
    </row>
    <row r="193" spans="1:22" s="260" customFormat="1" ht="21" hidden="1" customHeight="1">
      <c r="A193" s="300">
        <v>41</v>
      </c>
      <c r="B193" s="247" t="s">
        <v>2479</v>
      </c>
      <c r="C193" s="252"/>
      <c r="D193" s="359">
        <f>D194+D195</f>
        <v>0</v>
      </c>
      <c r="E193" s="359"/>
      <c r="F193" s="359"/>
      <c r="G193" s="359"/>
      <c r="H193" s="253">
        <v>22.506210019999994</v>
      </c>
      <c r="I193" s="253"/>
      <c r="J193" s="253" t="s">
        <v>2479</v>
      </c>
      <c r="K193" s="253"/>
      <c r="L193" s="289">
        <f t="shared" si="9"/>
        <v>0</v>
      </c>
      <c r="M193" s="258" t="e">
        <f t="shared" si="10"/>
        <v>#DIV/0!</v>
      </c>
      <c r="N193" s="259"/>
      <c r="O193" s="259"/>
      <c r="P193" s="259"/>
      <c r="Q193" s="259"/>
      <c r="R193" s="259"/>
      <c r="S193" s="259"/>
      <c r="T193" s="259"/>
      <c r="U193" s="259"/>
      <c r="V193" s="259"/>
    </row>
    <row r="194" spans="1:22" s="260" customFormat="1" ht="21" hidden="1" customHeight="1">
      <c r="A194" s="300"/>
      <c r="B194" s="249" t="s">
        <v>2729</v>
      </c>
      <c r="C194" s="252"/>
      <c r="D194" s="359">
        <f t="shared" ref="D194:D204" si="11">E194+F194+G194</f>
        <v>0</v>
      </c>
      <c r="E194" s="359"/>
      <c r="F194" s="359"/>
      <c r="G194" s="359"/>
      <c r="H194" s="253">
        <v>18.678080519999995</v>
      </c>
      <c r="I194" s="253"/>
      <c r="J194" s="253" t="s">
        <v>2729</v>
      </c>
      <c r="K194" s="253"/>
      <c r="L194" s="289">
        <f t="shared" si="9"/>
        <v>0</v>
      </c>
      <c r="M194" s="258" t="e">
        <f t="shared" si="10"/>
        <v>#DIV/0!</v>
      </c>
      <c r="N194" s="259"/>
      <c r="O194" s="259"/>
      <c r="P194" s="259"/>
      <c r="Q194" s="259"/>
      <c r="R194" s="259"/>
      <c r="S194" s="259"/>
      <c r="T194" s="259"/>
      <c r="U194" s="259"/>
      <c r="V194" s="259"/>
    </row>
    <row r="195" spans="1:22" s="260" customFormat="1" ht="21" hidden="1" customHeight="1">
      <c r="A195" s="300"/>
      <c r="B195" s="250" t="s">
        <v>2730</v>
      </c>
      <c r="C195" s="252"/>
      <c r="D195" s="359">
        <f t="shared" si="11"/>
        <v>0</v>
      </c>
      <c r="E195" s="359"/>
      <c r="F195" s="359"/>
      <c r="G195" s="359"/>
      <c r="H195" s="253">
        <v>3.8281294999999997</v>
      </c>
      <c r="I195" s="253"/>
      <c r="J195" s="253" t="s">
        <v>2730</v>
      </c>
      <c r="K195" s="253"/>
      <c r="L195" s="289">
        <f t="shared" si="9"/>
        <v>0</v>
      </c>
      <c r="M195" s="258" t="e">
        <f t="shared" si="10"/>
        <v>#DIV/0!</v>
      </c>
      <c r="N195" s="259"/>
      <c r="O195" s="259"/>
      <c r="P195" s="259"/>
      <c r="Q195" s="259"/>
      <c r="R195" s="259"/>
      <c r="S195" s="259"/>
      <c r="T195" s="259"/>
      <c r="U195" s="259"/>
      <c r="V195" s="259"/>
    </row>
    <row r="196" spans="1:22" s="256" customFormat="1" ht="21" hidden="1" customHeight="1">
      <c r="A196" s="248">
        <v>42</v>
      </c>
      <c r="B196" s="232" t="s">
        <v>2300</v>
      </c>
      <c r="C196" s="252"/>
      <c r="D196" s="359">
        <f t="shared" si="11"/>
        <v>0</v>
      </c>
      <c r="E196" s="359"/>
      <c r="F196" s="359"/>
      <c r="G196" s="359"/>
      <c r="H196" s="253">
        <v>5.7176954999999996</v>
      </c>
      <c r="I196" s="253"/>
      <c r="J196" s="253" t="s">
        <v>2300</v>
      </c>
      <c r="K196" s="253"/>
      <c r="L196" s="297">
        <f t="shared" si="9"/>
        <v>0</v>
      </c>
      <c r="M196" s="254" t="e">
        <f t="shared" si="10"/>
        <v>#DIV/0!</v>
      </c>
      <c r="N196" s="255"/>
      <c r="O196" s="255"/>
      <c r="P196" s="255"/>
      <c r="Q196" s="255"/>
      <c r="R196" s="255"/>
      <c r="S196" s="255"/>
      <c r="T196" s="255"/>
      <c r="U196" s="255"/>
      <c r="V196" s="255"/>
    </row>
    <row r="197" spans="1:22" s="256" customFormat="1" ht="21" hidden="1" customHeight="1">
      <c r="A197" s="248">
        <v>43</v>
      </c>
      <c r="B197" s="232" t="s">
        <v>2731</v>
      </c>
      <c r="C197" s="252"/>
      <c r="D197" s="359">
        <f t="shared" si="11"/>
        <v>0</v>
      </c>
      <c r="E197" s="359"/>
      <c r="F197" s="359"/>
      <c r="G197" s="359"/>
      <c r="H197" s="253">
        <v>12.735805500000001</v>
      </c>
      <c r="I197" s="253"/>
      <c r="J197" s="253" t="s">
        <v>2731</v>
      </c>
      <c r="K197" s="253"/>
      <c r="L197" s="289">
        <f t="shared" si="9"/>
        <v>0</v>
      </c>
      <c r="M197" s="258" t="e">
        <f t="shared" si="10"/>
        <v>#DIV/0!</v>
      </c>
      <c r="N197" s="255"/>
      <c r="O197" s="255"/>
      <c r="P197" s="255"/>
      <c r="Q197" s="255"/>
      <c r="R197" s="255"/>
      <c r="S197" s="255"/>
      <c r="T197" s="255"/>
      <c r="U197" s="255"/>
      <c r="V197" s="255"/>
    </row>
    <row r="198" spans="1:22" s="260" customFormat="1" ht="21" hidden="1" customHeight="1">
      <c r="A198" s="300">
        <v>44</v>
      </c>
      <c r="B198" s="247" t="s">
        <v>2666</v>
      </c>
      <c r="C198" s="252"/>
      <c r="D198" s="359">
        <f t="shared" si="11"/>
        <v>0</v>
      </c>
      <c r="E198" s="359"/>
      <c r="F198" s="359"/>
      <c r="G198" s="359"/>
      <c r="H198" s="253">
        <v>18.002484225</v>
      </c>
      <c r="I198" s="253"/>
      <c r="J198" s="253" t="s">
        <v>2666</v>
      </c>
      <c r="K198" s="253"/>
      <c r="L198" s="289">
        <f t="shared" si="9"/>
        <v>0</v>
      </c>
      <c r="M198" s="258" t="e">
        <f t="shared" si="10"/>
        <v>#DIV/0!</v>
      </c>
      <c r="N198" s="259"/>
      <c r="O198" s="259"/>
      <c r="P198" s="259"/>
      <c r="Q198" s="259"/>
      <c r="R198" s="259"/>
      <c r="S198" s="259"/>
      <c r="T198" s="259"/>
      <c r="U198" s="259"/>
      <c r="V198" s="259"/>
    </row>
    <row r="199" spans="1:22" s="260" customFormat="1" ht="21" hidden="1" customHeight="1">
      <c r="A199" s="300">
        <v>45</v>
      </c>
      <c r="B199" s="232" t="s">
        <v>2732</v>
      </c>
      <c r="C199" s="264"/>
      <c r="D199" s="337">
        <f t="shared" si="11"/>
        <v>0</v>
      </c>
      <c r="E199" s="336"/>
      <c r="F199" s="336"/>
      <c r="G199" s="337"/>
      <c r="H199" s="253">
        <v>15.357275999999999</v>
      </c>
      <c r="I199" s="253"/>
      <c r="J199" s="253" t="s">
        <v>2732</v>
      </c>
      <c r="K199" s="265"/>
      <c r="L199" s="289">
        <f t="shared" si="9"/>
        <v>0</v>
      </c>
      <c r="M199" s="258" t="e">
        <f t="shared" si="10"/>
        <v>#DIV/0!</v>
      </c>
      <c r="N199" s="259"/>
      <c r="O199" s="259"/>
      <c r="P199" s="259"/>
      <c r="Q199" s="259"/>
      <c r="R199" s="259"/>
      <c r="S199" s="259"/>
      <c r="T199" s="259"/>
      <c r="U199" s="259"/>
      <c r="V199" s="259"/>
    </row>
    <row r="200" spans="1:22" s="260" customFormat="1" ht="21" hidden="1" customHeight="1">
      <c r="A200" s="300">
        <v>46</v>
      </c>
      <c r="B200" s="232" t="s">
        <v>2292</v>
      </c>
      <c r="C200" s="257"/>
      <c r="D200" s="359">
        <f t="shared" si="11"/>
        <v>0</v>
      </c>
      <c r="E200" s="359"/>
      <c r="F200" s="359"/>
      <c r="G200" s="359"/>
      <c r="H200" s="253">
        <v>13.107352499999998</v>
      </c>
      <c r="I200" s="253"/>
      <c r="J200" s="253" t="s">
        <v>2292</v>
      </c>
      <c r="K200" s="253"/>
      <c r="L200" s="289">
        <f t="shared" si="9"/>
        <v>0</v>
      </c>
      <c r="M200" s="258" t="e">
        <f t="shared" si="10"/>
        <v>#DIV/0!</v>
      </c>
      <c r="N200" s="259"/>
      <c r="O200" s="259"/>
      <c r="P200" s="259"/>
      <c r="Q200" s="259"/>
      <c r="R200" s="259"/>
      <c r="S200" s="259"/>
      <c r="T200" s="259"/>
      <c r="U200" s="259"/>
      <c r="V200" s="259"/>
    </row>
    <row r="201" spans="1:22" s="256" customFormat="1" ht="21" hidden="1" customHeight="1">
      <c r="A201" s="300">
        <v>47</v>
      </c>
      <c r="B201" s="232" t="s">
        <v>2293</v>
      </c>
      <c r="C201" s="252"/>
      <c r="D201" s="359">
        <f t="shared" si="11"/>
        <v>0</v>
      </c>
      <c r="E201" s="359"/>
      <c r="F201" s="359"/>
      <c r="G201" s="359"/>
      <c r="H201" s="253">
        <v>19.274221153846153</v>
      </c>
      <c r="I201" s="253"/>
      <c r="J201" s="253" t="s">
        <v>2293</v>
      </c>
      <c r="K201" s="253"/>
      <c r="L201" s="297">
        <f t="shared" si="9"/>
        <v>0</v>
      </c>
      <c r="M201" s="254" t="e">
        <f t="shared" si="10"/>
        <v>#DIV/0!</v>
      </c>
      <c r="N201" s="255"/>
      <c r="O201" s="255"/>
      <c r="P201" s="255"/>
      <c r="Q201" s="255"/>
      <c r="R201" s="255"/>
      <c r="S201" s="255"/>
      <c r="T201" s="255"/>
      <c r="U201" s="255"/>
      <c r="V201" s="255"/>
    </row>
    <row r="202" spans="1:22" s="260" customFormat="1" ht="21" hidden="1" customHeight="1">
      <c r="A202" s="300">
        <v>48</v>
      </c>
      <c r="B202" s="249" t="s">
        <v>2733</v>
      </c>
      <c r="C202" s="295"/>
      <c r="D202" s="357">
        <f t="shared" si="11"/>
        <v>0</v>
      </c>
      <c r="E202" s="357"/>
      <c r="F202" s="357"/>
      <c r="G202" s="357"/>
      <c r="H202" s="253">
        <v>23.283564999999999</v>
      </c>
      <c r="I202" s="253"/>
      <c r="J202" s="253" t="s">
        <v>2733</v>
      </c>
      <c r="K202" s="296"/>
      <c r="L202" s="289">
        <f t="shared" si="9"/>
        <v>0</v>
      </c>
      <c r="M202" s="258" t="e">
        <f t="shared" si="10"/>
        <v>#DIV/0!</v>
      </c>
      <c r="N202" s="259"/>
      <c r="O202" s="259"/>
      <c r="P202" s="259"/>
      <c r="Q202" s="259"/>
      <c r="R202" s="259"/>
      <c r="S202" s="259"/>
      <c r="T202" s="259"/>
      <c r="U202" s="259"/>
      <c r="V202" s="259"/>
    </row>
    <row r="203" spans="1:22" s="260" customFormat="1" ht="21" hidden="1" customHeight="1">
      <c r="A203" s="300">
        <v>49</v>
      </c>
      <c r="B203" s="249" t="s">
        <v>2734</v>
      </c>
      <c r="C203" s="295"/>
      <c r="D203" s="357">
        <f t="shared" si="11"/>
        <v>0</v>
      </c>
      <c r="E203" s="357"/>
      <c r="F203" s="357"/>
      <c r="G203" s="357"/>
      <c r="H203" s="253">
        <v>31.751535000000001</v>
      </c>
      <c r="I203" s="253"/>
      <c r="J203" s="253" t="s">
        <v>2734</v>
      </c>
      <c r="K203" s="296"/>
      <c r="L203" s="289">
        <f t="shared" si="9"/>
        <v>0</v>
      </c>
      <c r="M203" s="258" t="e">
        <f t="shared" si="10"/>
        <v>#DIV/0!</v>
      </c>
      <c r="N203" s="259"/>
      <c r="O203" s="259"/>
      <c r="P203" s="259"/>
      <c r="Q203" s="259"/>
      <c r="R203" s="259"/>
      <c r="S203" s="259"/>
      <c r="T203" s="259"/>
      <c r="U203" s="259"/>
      <c r="V203" s="259"/>
    </row>
    <row r="204" spans="1:22" s="260" customFormat="1" ht="21" hidden="1" customHeight="1">
      <c r="A204" s="300">
        <v>50</v>
      </c>
      <c r="B204" s="232" t="s">
        <v>2735</v>
      </c>
      <c r="C204" s="252"/>
      <c r="D204" s="359">
        <f t="shared" si="11"/>
        <v>0</v>
      </c>
      <c r="E204" s="359"/>
      <c r="F204" s="359"/>
      <c r="G204" s="359"/>
      <c r="H204" s="253">
        <v>12.302333999999998</v>
      </c>
      <c r="I204" s="253"/>
      <c r="J204" s="253" t="s">
        <v>2735</v>
      </c>
      <c r="K204" s="253"/>
      <c r="L204" s="289">
        <f t="shared" si="9"/>
        <v>0</v>
      </c>
      <c r="M204" s="258" t="e">
        <f t="shared" si="10"/>
        <v>#DIV/0!</v>
      </c>
      <c r="N204" s="259"/>
      <c r="O204" s="259"/>
      <c r="P204" s="259"/>
      <c r="Q204" s="259"/>
      <c r="R204" s="259"/>
      <c r="S204" s="259"/>
      <c r="T204" s="259"/>
      <c r="U204" s="259"/>
      <c r="V204" s="259"/>
    </row>
    <row r="205" spans="1:22" s="260" customFormat="1" ht="21" customHeight="1">
      <c r="A205" s="300"/>
      <c r="B205" s="301" t="s">
        <v>2539</v>
      </c>
      <c r="C205" s="257"/>
      <c r="D205" s="347">
        <f>D206+D216</f>
        <v>0</v>
      </c>
      <c r="E205" s="347"/>
      <c r="F205" s="347"/>
      <c r="G205" s="347"/>
      <c r="H205" s="263">
        <v>119.8090345</v>
      </c>
      <c r="I205" s="263"/>
      <c r="J205" s="263"/>
      <c r="K205" s="263"/>
      <c r="L205" s="289">
        <f t="shared" si="9"/>
        <v>0</v>
      </c>
      <c r="M205" s="258" t="e">
        <f t="shared" si="10"/>
        <v>#DIV/0!</v>
      </c>
      <c r="N205" s="259"/>
      <c r="O205" s="259"/>
      <c r="P205" s="259"/>
      <c r="Q205" s="259"/>
      <c r="R205" s="259"/>
      <c r="S205" s="259"/>
      <c r="T205" s="259"/>
      <c r="U205" s="259"/>
      <c r="V205" s="259"/>
    </row>
    <row r="206" spans="1:22" s="260" customFormat="1" ht="30" hidden="1" customHeight="1">
      <c r="A206" s="300">
        <v>51</v>
      </c>
      <c r="B206" s="232" t="s">
        <v>2736</v>
      </c>
      <c r="C206" s="257"/>
      <c r="D206" s="347">
        <f>SUM(D207:D215)</f>
        <v>0</v>
      </c>
      <c r="E206" s="347"/>
      <c r="F206" s="347"/>
      <c r="G206" s="347"/>
      <c r="H206" s="263">
        <v>119.8090345</v>
      </c>
      <c r="I206" s="263"/>
      <c r="J206" s="263" t="s">
        <v>2736</v>
      </c>
      <c r="K206" s="263"/>
      <c r="L206" s="289">
        <f t="shared" si="9"/>
        <v>0</v>
      </c>
      <c r="M206" s="258" t="e">
        <f t="shared" si="10"/>
        <v>#DIV/0!</v>
      </c>
      <c r="N206" s="259"/>
      <c r="O206" s="259"/>
      <c r="P206" s="259"/>
      <c r="Q206" s="259"/>
      <c r="R206" s="259"/>
      <c r="S206" s="259"/>
      <c r="T206" s="259"/>
      <c r="U206" s="259"/>
      <c r="V206" s="259"/>
    </row>
    <row r="207" spans="1:22" s="256" customFormat="1" ht="30" hidden="1" customHeight="1">
      <c r="A207" s="248"/>
      <c r="B207" s="251" t="s">
        <v>2737</v>
      </c>
      <c r="C207" s="252"/>
      <c r="D207" s="359">
        <f t="shared" ref="D207:D212" si="12">E207+F207+G207</f>
        <v>0</v>
      </c>
      <c r="E207" s="359"/>
      <c r="F207" s="359"/>
      <c r="G207" s="359"/>
      <c r="H207" s="263">
        <v>101.7329185</v>
      </c>
      <c r="I207" s="253"/>
      <c r="J207" s="263" t="s">
        <v>2737</v>
      </c>
      <c r="K207" s="253"/>
      <c r="L207" s="289">
        <f t="shared" si="9"/>
        <v>0</v>
      </c>
      <c r="M207" s="258" t="e">
        <f t="shared" si="10"/>
        <v>#DIV/0!</v>
      </c>
      <c r="N207" s="255"/>
      <c r="O207" s="255"/>
      <c r="P207" s="255"/>
      <c r="Q207" s="255"/>
      <c r="R207" s="255"/>
      <c r="S207" s="255"/>
      <c r="T207" s="255"/>
      <c r="U207" s="255"/>
      <c r="V207" s="255"/>
    </row>
    <row r="208" spans="1:22" s="256" customFormat="1" ht="30" hidden="1" customHeight="1">
      <c r="A208" s="248"/>
      <c r="B208" s="251" t="s">
        <v>2738</v>
      </c>
      <c r="C208" s="252"/>
      <c r="D208" s="359">
        <f t="shared" si="12"/>
        <v>0</v>
      </c>
      <c r="E208" s="359"/>
      <c r="F208" s="359"/>
      <c r="G208" s="359"/>
      <c r="H208" s="263">
        <v>0</v>
      </c>
      <c r="I208" s="253"/>
      <c r="J208" s="263" t="s">
        <v>2738</v>
      </c>
      <c r="K208" s="253"/>
      <c r="L208" s="289">
        <f t="shared" si="9"/>
        <v>0</v>
      </c>
      <c r="M208" s="258" t="e">
        <f t="shared" si="10"/>
        <v>#DIV/0!</v>
      </c>
      <c r="N208" s="255"/>
      <c r="O208" s="255"/>
      <c r="P208" s="255"/>
      <c r="Q208" s="255"/>
      <c r="R208" s="255"/>
      <c r="S208" s="255"/>
      <c r="T208" s="255"/>
      <c r="U208" s="255"/>
      <c r="V208" s="255"/>
    </row>
    <row r="209" spans="1:22" s="256" customFormat="1" ht="30" hidden="1" customHeight="1">
      <c r="A209" s="248"/>
      <c r="B209" s="251" t="s">
        <v>2739</v>
      </c>
      <c r="C209" s="252"/>
      <c r="D209" s="359">
        <f t="shared" si="12"/>
        <v>0</v>
      </c>
      <c r="E209" s="359"/>
      <c r="F209" s="359"/>
      <c r="G209" s="359"/>
      <c r="H209" s="263">
        <v>0</v>
      </c>
      <c r="I209" s="253"/>
      <c r="J209" s="263" t="s">
        <v>2739</v>
      </c>
      <c r="K209" s="253"/>
      <c r="L209" s="289">
        <f t="shared" si="9"/>
        <v>0</v>
      </c>
      <c r="M209" s="258" t="e">
        <f t="shared" si="10"/>
        <v>#DIV/0!</v>
      </c>
      <c r="N209" s="255"/>
      <c r="O209" s="255"/>
      <c r="P209" s="255"/>
      <c r="Q209" s="255"/>
      <c r="R209" s="255"/>
      <c r="S209" s="255"/>
      <c r="T209" s="255"/>
      <c r="U209" s="255"/>
      <c r="V209" s="255"/>
    </row>
    <row r="210" spans="1:22" s="256" customFormat="1" ht="30" hidden="1" customHeight="1">
      <c r="A210" s="248"/>
      <c r="B210" s="251" t="s">
        <v>2740</v>
      </c>
      <c r="C210" s="252"/>
      <c r="D210" s="359">
        <f t="shared" si="12"/>
        <v>0</v>
      </c>
      <c r="E210" s="359"/>
      <c r="F210" s="359"/>
      <c r="G210" s="359"/>
      <c r="H210" s="263">
        <v>0</v>
      </c>
      <c r="I210" s="253"/>
      <c r="J210" s="263" t="s">
        <v>2740</v>
      </c>
      <c r="K210" s="253"/>
      <c r="L210" s="289">
        <f t="shared" si="9"/>
        <v>0</v>
      </c>
      <c r="M210" s="258" t="e">
        <f t="shared" si="10"/>
        <v>#DIV/0!</v>
      </c>
      <c r="N210" s="255"/>
      <c r="O210" s="255"/>
      <c r="P210" s="255"/>
      <c r="Q210" s="255"/>
      <c r="R210" s="255"/>
      <c r="S210" s="255"/>
      <c r="T210" s="255"/>
      <c r="U210" s="255"/>
      <c r="V210" s="255"/>
    </row>
    <row r="211" spans="1:22" s="256" customFormat="1" ht="30" hidden="1" customHeight="1">
      <c r="A211" s="248"/>
      <c r="B211" s="251" t="s">
        <v>2892</v>
      </c>
      <c r="C211" s="252"/>
      <c r="D211" s="359">
        <f t="shared" si="12"/>
        <v>0</v>
      </c>
      <c r="E211" s="359"/>
      <c r="F211" s="359"/>
      <c r="G211" s="359"/>
      <c r="H211" s="263">
        <v>6.5749780000000007</v>
      </c>
      <c r="I211" s="253"/>
      <c r="J211" s="263" t="s">
        <v>2892</v>
      </c>
      <c r="K211" s="253"/>
      <c r="L211" s="289">
        <f t="shared" si="9"/>
        <v>0</v>
      </c>
      <c r="M211" s="258" t="e">
        <f t="shared" si="10"/>
        <v>#DIV/0!</v>
      </c>
      <c r="N211" s="255"/>
      <c r="O211" s="255"/>
      <c r="P211" s="255"/>
      <c r="Q211" s="255"/>
      <c r="R211" s="255"/>
      <c r="S211" s="255"/>
      <c r="T211" s="255"/>
      <c r="U211" s="255"/>
      <c r="V211" s="255"/>
    </row>
    <row r="212" spans="1:22" s="256" customFormat="1" ht="30" hidden="1" customHeight="1">
      <c r="A212" s="248"/>
      <c r="B212" s="251" t="s">
        <v>2742</v>
      </c>
      <c r="C212" s="252"/>
      <c r="D212" s="359">
        <f t="shared" si="12"/>
        <v>0</v>
      </c>
      <c r="E212" s="359"/>
      <c r="F212" s="359"/>
      <c r="G212" s="359"/>
      <c r="H212" s="263">
        <v>6.4717704999999999</v>
      </c>
      <c r="I212" s="253"/>
      <c r="J212" s="263" t="s">
        <v>2742</v>
      </c>
      <c r="K212" s="253"/>
      <c r="L212" s="289">
        <f t="shared" si="9"/>
        <v>0</v>
      </c>
      <c r="M212" s="258" t="e">
        <f t="shared" si="10"/>
        <v>#DIV/0!</v>
      </c>
      <c r="N212" s="255"/>
      <c r="O212" s="255"/>
      <c r="P212" s="255"/>
      <c r="Q212" s="255"/>
      <c r="R212" s="255"/>
      <c r="S212" s="255"/>
      <c r="T212" s="255"/>
      <c r="U212" s="255"/>
      <c r="V212" s="255"/>
    </row>
    <row r="213" spans="1:22" s="256" customFormat="1" ht="30" hidden="1" customHeight="1">
      <c r="A213" s="248"/>
      <c r="B213" s="251" t="s">
        <v>2743</v>
      </c>
      <c r="C213" s="252"/>
      <c r="D213" s="359">
        <f>E213+F213+G213</f>
        <v>0</v>
      </c>
      <c r="E213" s="359"/>
      <c r="F213" s="359"/>
      <c r="G213" s="359"/>
      <c r="H213" s="263">
        <v>5.0293674999999993</v>
      </c>
      <c r="I213" s="253"/>
      <c r="J213" s="263" t="s">
        <v>2743</v>
      </c>
      <c r="K213" s="253"/>
      <c r="L213" s="289">
        <f t="shared" si="9"/>
        <v>0</v>
      </c>
      <c r="M213" s="258" t="e">
        <f t="shared" si="10"/>
        <v>#DIV/0!</v>
      </c>
      <c r="N213" s="255"/>
      <c r="O213" s="255"/>
      <c r="P213" s="255"/>
      <c r="Q213" s="255"/>
      <c r="R213" s="255"/>
      <c r="S213" s="255"/>
      <c r="T213" s="255"/>
      <c r="U213" s="255"/>
      <c r="V213" s="255"/>
    </row>
    <row r="214" spans="1:22" s="256" customFormat="1" ht="30" hidden="1" customHeight="1">
      <c r="A214" s="248"/>
      <c r="B214" s="251" t="s">
        <v>2744</v>
      </c>
      <c r="C214" s="252"/>
      <c r="D214" s="359">
        <f>E214+F214+G214</f>
        <v>0</v>
      </c>
      <c r="E214" s="359"/>
      <c r="F214" s="359"/>
      <c r="G214" s="359"/>
      <c r="H214" s="263">
        <v>0</v>
      </c>
      <c r="I214" s="253"/>
      <c r="J214" s="263" t="s">
        <v>2744</v>
      </c>
      <c r="K214" s="253"/>
      <c r="L214" s="289">
        <f t="shared" si="9"/>
        <v>0</v>
      </c>
      <c r="M214" s="258" t="e">
        <f t="shared" si="10"/>
        <v>#DIV/0!</v>
      </c>
      <c r="N214" s="255"/>
      <c r="O214" s="255"/>
      <c r="P214" s="255"/>
      <c r="Q214" s="255"/>
      <c r="R214" s="255"/>
      <c r="S214" s="255"/>
      <c r="T214" s="255"/>
      <c r="U214" s="255"/>
      <c r="V214" s="255"/>
    </row>
    <row r="215" spans="1:22" s="256" customFormat="1" ht="30" hidden="1" customHeight="1">
      <c r="A215" s="248"/>
      <c r="B215" s="251" t="s">
        <v>2893</v>
      </c>
      <c r="C215" s="252"/>
      <c r="D215" s="359"/>
      <c r="E215" s="359"/>
      <c r="F215" s="359"/>
      <c r="G215" s="359"/>
      <c r="H215" s="263">
        <v>0</v>
      </c>
      <c r="I215" s="253"/>
      <c r="J215" s="263" t="s">
        <v>2893</v>
      </c>
      <c r="K215" s="253"/>
      <c r="L215" s="289">
        <f t="shared" si="9"/>
        <v>0</v>
      </c>
      <c r="M215" s="258" t="e">
        <f t="shared" si="10"/>
        <v>#DIV/0!</v>
      </c>
      <c r="N215" s="255"/>
      <c r="O215" s="255"/>
      <c r="P215" s="255"/>
      <c r="Q215" s="255"/>
      <c r="R215" s="255"/>
      <c r="S215" s="255"/>
      <c r="T215" s="255"/>
      <c r="U215" s="255"/>
      <c r="V215" s="255"/>
    </row>
    <row r="216" spans="1:22" s="256" customFormat="1" ht="30" hidden="1" customHeight="1">
      <c r="A216" s="248">
        <v>52</v>
      </c>
      <c r="B216" s="251" t="s">
        <v>2746</v>
      </c>
      <c r="C216" s="252"/>
      <c r="D216" s="359"/>
      <c r="E216" s="359"/>
      <c r="F216" s="359"/>
      <c r="G216" s="359"/>
      <c r="H216" s="263">
        <v>0</v>
      </c>
      <c r="I216" s="253"/>
      <c r="J216" s="263" t="s">
        <v>2746</v>
      </c>
      <c r="K216" s="253"/>
      <c r="L216" s="289">
        <f t="shared" si="9"/>
        <v>0</v>
      </c>
      <c r="M216" s="258" t="e">
        <f t="shared" si="10"/>
        <v>#DIV/0!</v>
      </c>
      <c r="N216" s="255"/>
      <c r="O216" s="255"/>
      <c r="P216" s="255"/>
      <c r="Q216" s="255"/>
      <c r="R216" s="255"/>
      <c r="S216" s="255"/>
      <c r="T216" s="255"/>
      <c r="U216" s="255"/>
      <c r="V216" s="255"/>
    </row>
    <row r="217" spans="1:22" s="260" customFormat="1" ht="21" customHeight="1">
      <c r="A217" s="300"/>
      <c r="B217" s="301" t="s">
        <v>2540</v>
      </c>
      <c r="C217" s="257"/>
      <c r="D217" s="347">
        <f>SUM(D218,D221:D224)</f>
        <v>0</v>
      </c>
      <c r="E217" s="347"/>
      <c r="F217" s="347"/>
      <c r="G217" s="347"/>
      <c r="H217" s="263">
        <v>73.378933999999987</v>
      </c>
      <c r="I217" s="263"/>
      <c r="J217" s="263"/>
      <c r="K217" s="263"/>
      <c r="L217" s="289">
        <f t="shared" si="9"/>
        <v>0</v>
      </c>
      <c r="M217" s="258" t="e">
        <f t="shared" si="10"/>
        <v>#DIV/0!</v>
      </c>
      <c r="N217" s="259"/>
      <c r="O217" s="259"/>
      <c r="P217" s="259"/>
      <c r="Q217" s="259"/>
      <c r="R217" s="259"/>
      <c r="S217" s="259"/>
      <c r="T217" s="259"/>
      <c r="U217" s="259"/>
      <c r="V217" s="259"/>
    </row>
    <row r="218" spans="1:22" s="256" customFormat="1" ht="31.5" hidden="1" customHeight="1">
      <c r="A218" s="248">
        <v>53</v>
      </c>
      <c r="B218" s="247" t="s">
        <v>2747</v>
      </c>
      <c r="C218" s="252"/>
      <c r="D218" s="359">
        <f>D219+D220</f>
        <v>0</v>
      </c>
      <c r="E218" s="359"/>
      <c r="F218" s="359"/>
      <c r="G218" s="359"/>
      <c r="H218" s="253"/>
      <c r="I218" s="253"/>
      <c r="J218" s="253"/>
      <c r="K218" s="253"/>
      <c r="L218" s="289">
        <f t="shared" si="9"/>
        <v>0</v>
      </c>
      <c r="M218" s="258" t="e">
        <f t="shared" si="10"/>
        <v>#DIV/0!</v>
      </c>
      <c r="N218" s="255"/>
      <c r="O218" s="255"/>
      <c r="P218" s="255"/>
      <c r="Q218" s="255"/>
      <c r="R218" s="255"/>
      <c r="S218" s="255"/>
      <c r="T218" s="255"/>
      <c r="U218" s="255"/>
      <c r="V218" s="255"/>
    </row>
    <row r="219" spans="1:22" s="256" customFormat="1" ht="31.5" hidden="1" customHeight="1">
      <c r="A219" s="248"/>
      <c r="B219" s="249" t="s">
        <v>2748</v>
      </c>
      <c r="C219" s="252"/>
      <c r="D219" s="359">
        <f t="shared" ref="D219:D224" si="13">E219+F219+G219</f>
        <v>0</v>
      </c>
      <c r="E219" s="359"/>
      <c r="F219" s="359"/>
      <c r="G219" s="359"/>
      <c r="H219" s="253"/>
      <c r="I219" s="253"/>
      <c r="J219" s="253"/>
      <c r="K219" s="253"/>
      <c r="L219" s="289">
        <f t="shared" si="9"/>
        <v>0</v>
      </c>
      <c r="M219" s="258" t="e">
        <f t="shared" si="10"/>
        <v>#DIV/0!</v>
      </c>
      <c r="N219" s="255"/>
      <c r="O219" s="255"/>
      <c r="P219" s="255"/>
      <c r="Q219" s="255"/>
      <c r="R219" s="255"/>
      <c r="S219" s="255"/>
      <c r="T219" s="255"/>
      <c r="U219" s="255"/>
      <c r="V219" s="255"/>
    </row>
    <row r="220" spans="1:22" s="256" customFormat="1" ht="31.5" hidden="1" customHeight="1">
      <c r="A220" s="248"/>
      <c r="B220" s="249" t="s">
        <v>2894</v>
      </c>
      <c r="C220" s="252"/>
      <c r="D220" s="359">
        <f t="shared" si="13"/>
        <v>0</v>
      </c>
      <c r="E220" s="359"/>
      <c r="F220" s="359"/>
      <c r="G220" s="359"/>
      <c r="H220" s="253"/>
      <c r="I220" s="253"/>
      <c r="J220" s="253"/>
      <c r="K220" s="253"/>
      <c r="L220" s="289">
        <f t="shared" ref="L220:L242" si="14">E220/1.39</f>
        <v>0</v>
      </c>
      <c r="M220" s="258" t="e">
        <f t="shared" ref="M220:M242" si="15">L220/C220</f>
        <v>#DIV/0!</v>
      </c>
      <c r="N220" s="255"/>
      <c r="O220" s="255"/>
      <c r="P220" s="255"/>
      <c r="Q220" s="255"/>
      <c r="R220" s="255"/>
      <c r="S220" s="255"/>
      <c r="T220" s="255"/>
      <c r="U220" s="255"/>
      <c r="V220" s="255"/>
    </row>
    <row r="221" spans="1:22" s="256" customFormat="1" ht="31.5" hidden="1" customHeight="1">
      <c r="A221" s="248">
        <v>54</v>
      </c>
      <c r="B221" s="232" t="s">
        <v>2750</v>
      </c>
      <c r="C221" s="252"/>
      <c r="D221" s="359">
        <f t="shared" si="13"/>
        <v>0</v>
      </c>
      <c r="E221" s="359"/>
      <c r="F221" s="359"/>
      <c r="G221" s="359"/>
      <c r="H221" s="253"/>
      <c r="I221" s="253"/>
      <c r="J221" s="253"/>
      <c r="K221" s="253"/>
      <c r="L221" s="289">
        <f t="shared" si="14"/>
        <v>0</v>
      </c>
      <c r="M221" s="258" t="e">
        <f t="shared" si="15"/>
        <v>#DIV/0!</v>
      </c>
      <c r="N221" s="255"/>
      <c r="O221" s="255"/>
      <c r="P221" s="255"/>
      <c r="Q221" s="255"/>
      <c r="R221" s="255"/>
      <c r="S221" s="255"/>
      <c r="T221" s="255"/>
      <c r="U221" s="255"/>
      <c r="V221" s="255"/>
    </row>
    <row r="222" spans="1:22" s="256" customFormat="1" ht="31.5" hidden="1" customHeight="1">
      <c r="A222" s="248">
        <v>55</v>
      </c>
      <c r="B222" s="232" t="s">
        <v>2751</v>
      </c>
      <c r="C222" s="252"/>
      <c r="D222" s="359">
        <f t="shared" si="13"/>
        <v>0</v>
      </c>
      <c r="E222" s="359"/>
      <c r="F222" s="359"/>
      <c r="G222" s="359"/>
      <c r="H222" s="253"/>
      <c r="I222" s="253"/>
      <c r="J222" s="253"/>
      <c r="K222" s="253"/>
      <c r="L222" s="289">
        <f t="shared" si="14"/>
        <v>0</v>
      </c>
      <c r="M222" s="258" t="e">
        <f t="shared" si="15"/>
        <v>#DIV/0!</v>
      </c>
      <c r="N222" s="255"/>
      <c r="O222" s="255"/>
      <c r="P222" s="255"/>
      <c r="Q222" s="255"/>
      <c r="R222" s="255"/>
      <c r="S222" s="255"/>
      <c r="T222" s="255"/>
      <c r="U222" s="255"/>
      <c r="V222" s="255"/>
    </row>
    <row r="223" spans="1:22" s="260" customFormat="1" ht="31.5" hidden="1" customHeight="1">
      <c r="A223" s="300">
        <v>56</v>
      </c>
      <c r="B223" s="232" t="s">
        <v>2752</v>
      </c>
      <c r="C223" s="257"/>
      <c r="D223" s="359">
        <f t="shared" si="13"/>
        <v>0</v>
      </c>
      <c r="E223" s="359"/>
      <c r="F223" s="359"/>
      <c r="G223" s="359"/>
      <c r="H223" s="253"/>
      <c r="I223" s="253"/>
      <c r="J223" s="253"/>
      <c r="K223" s="253"/>
      <c r="L223" s="289">
        <f t="shared" si="14"/>
        <v>0</v>
      </c>
      <c r="M223" s="258" t="e">
        <f t="shared" si="15"/>
        <v>#DIV/0!</v>
      </c>
      <c r="N223" s="259"/>
      <c r="O223" s="259"/>
      <c r="P223" s="259"/>
      <c r="Q223" s="259"/>
      <c r="R223" s="259"/>
      <c r="S223" s="259"/>
      <c r="T223" s="259"/>
      <c r="U223" s="259"/>
      <c r="V223" s="259"/>
    </row>
    <row r="224" spans="1:22" s="260" customFormat="1" ht="31.5" hidden="1" customHeight="1">
      <c r="A224" s="300">
        <v>57</v>
      </c>
      <c r="B224" s="232" t="s">
        <v>2753</v>
      </c>
      <c r="C224" s="257"/>
      <c r="D224" s="359">
        <f t="shared" si="13"/>
        <v>0</v>
      </c>
      <c r="E224" s="359"/>
      <c r="F224" s="359"/>
      <c r="G224" s="359"/>
      <c r="H224" s="253"/>
      <c r="I224" s="253"/>
      <c r="J224" s="253"/>
      <c r="K224" s="253"/>
      <c r="L224" s="289">
        <f t="shared" si="14"/>
        <v>0</v>
      </c>
      <c r="M224" s="258" t="e">
        <f t="shared" si="15"/>
        <v>#DIV/0!</v>
      </c>
      <c r="N224" s="259"/>
      <c r="O224" s="259"/>
      <c r="P224" s="259"/>
      <c r="Q224" s="259"/>
      <c r="R224" s="259"/>
      <c r="S224" s="259"/>
      <c r="T224" s="259"/>
      <c r="U224" s="259"/>
      <c r="V224" s="259"/>
    </row>
    <row r="225" spans="1:22" s="260" customFormat="1" ht="21" customHeight="1">
      <c r="A225" s="300"/>
      <c r="B225" s="301" t="s">
        <v>2754</v>
      </c>
      <c r="C225" s="257"/>
      <c r="D225" s="347">
        <f>SUM(D226:D241)</f>
        <v>0</v>
      </c>
      <c r="E225" s="347"/>
      <c r="F225" s="347"/>
      <c r="G225" s="347"/>
      <c r="H225" s="263">
        <v>35.191324999999992</v>
      </c>
      <c r="I225" s="263"/>
      <c r="J225" s="263"/>
      <c r="K225" s="263"/>
      <c r="L225" s="289">
        <f t="shared" si="14"/>
        <v>0</v>
      </c>
      <c r="M225" s="258" t="e">
        <f t="shared" si="15"/>
        <v>#DIV/0!</v>
      </c>
      <c r="N225" s="259"/>
      <c r="O225" s="259"/>
      <c r="P225" s="259"/>
      <c r="Q225" s="259"/>
      <c r="R225" s="259"/>
      <c r="S225" s="259"/>
      <c r="T225" s="259"/>
      <c r="U225" s="259"/>
      <c r="V225" s="259"/>
    </row>
    <row r="226" spans="1:22" s="260" customFormat="1" ht="31.5" customHeight="1">
      <c r="A226" s="300">
        <v>58</v>
      </c>
      <c r="B226" s="232" t="s">
        <v>2755</v>
      </c>
      <c r="C226" s="252"/>
      <c r="D226" s="359">
        <f>E226+F226+G226</f>
        <v>0</v>
      </c>
      <c r="E226" s="359"/>
      <c r="F226" s="359"/>
      <c r="G226" s="359"/>
      <c r="H226" s="253">
        <v>5.3731144999999998</v>
      </c>
      <c r="I226" s="253"/>
      <c r="J226" s="253" t="s">
        <v>2755</v>
      </c>
      <c r="K226" s="253"/>
      <c r="L226" s="289">
        <f t="shared" si="14"/>
        <v>0</v>
      </c>
      <c r="M226" s="258" t="e">
        <f t="shared" si="15"/>
        <v>#DIV/0!</v>
      </c>
      <c r="N226" s="259"/>
      <c r="O226" s="259"/>
      <c r="P226" s="259"/>
      <c r="Q226" s="259"/>
      <c r="R226" s="259"/>
      <c r="S226" s="259"/>
      <c r="T226" s="259"/>
      <c r="U226" s="259"/>
      <c r="V226" s="259"/>
    </row>
    <row r="227" spans="1:22" s="260" customFormat="1" ht="30.75" customHeight="1">
      <c r="A227" s="300">
        <v>59</v>
      </c>
      <c r="B227" s="232" t="s">
        <v>2756</v>
      </c>
      <c r="C227" s="257"/>
      <c r="D227" s="347"/>
      <c r="E227" s="347"/>
      <c r="F227" s="347"/>
      <c r="G227" s="347"/>
      <c r="H227" s="253">
        <v>0</v>
      </c>
      <c r="I227" s="263"/>
      <c r="J227" s="253" t="s">
        <v>2756</v>
      </c>
      <c r="K227" s="263"/>
      <c r="L227" s="289">
        <f t="shared" si="14"/>
        <v>0</v>
      </c>
      <c r="M227" s="258" t="e">
        <f t="shared" si="15"/>
        <v>#DIV/0!</v>
      </c>
      <c r="N227" s="259"/>
      <c r="O227" s="259"/>
      <c r="P227" s="259"/>
      <c r="Q227" s="259"/>
      <c r="R227" s="259"/>
      <c r="S227" s="259"/>
      <c r="T227" s="259"/>
      <c r="U227" s="259"/>
      <c r="V227" s="259"/>
    </row>
    <row r="228" spans="1:22" s="260" customFormat="1" ht="39" customHeight="1">
      <c r="A228" s="300">
        <v>60</v>
      </c>
      <c r="B228" s="232" t="s">
        <v>2757</v>
      </c>
      <c r="C228" s="257"/>
      <c r="D228" s="347"/>
      <c r="E228" s="347"/>
      <c r="F228" s="347"/>
      <c r="G228" s="347"/>
      <c r="H228" s="253">
        <v>0</v>
      </c>
      <c r="I228" s="263"/>
      <c r="J228" s="253" t="s">
        <v>2757</v>
      </c>
      <c r="K228" s="263"/>
      <c r="L228" s="289">
        <f t="shared" si="14"/>
        <v>0</v>
      </c>
      <c r="M228" s="258" t="e">
        <f t="shared" si="15"/>
        <v>#DIV/0!</v>
      </c>
      <c r="N228" s="259"/>
      <c r="O228" s="259"/>
      <c r="P228" s="259"/>
      <c r="Q228" s="259"/>
      <c r="R228" s="259"/>
      <c r="S228" s="259"/>
      <c r="T228" s="259"/>
      <c r="U228" s="259"/>
      <c r="V228" s="259"/>
    </row>
    <row r="229" spans="1:22" s="260" customFormat="1" ht="32.25" customHeight="1">
      <c r="A229" s="300">
        <v>61</v>
      </c>
      <c r="B229" s="232" t="s">
        <v>2758</v>
      </c>
      <c r="C229" s="257"/>
      <c r="D229" s="347"/>
      <c r="E229" s="347"/>
      <c r="F229" s="347"/>
      <c r="G229" s="347"/>
      <c r="H229" s="253">
        <v>0</v>
      </c>
      <c r="I229" s="263"/>
      <c r="J229" s="253" t="s">
        <v>2758</v>
      </c>
      <c r="K229" s="263"/>
      <c r="L229" s="289">
        <f t="shared" si="14"/>
        <v>0</v>
      </c>
      <c r="M229" s="258" t="e">
        <f t="shared" si="15"/>
        <v>#DIV/0!</v>
      </c>
      <c r="N229" s="259"/>
      <c r="O229" s="259"/>
      <c r="P229" s="259"/>
      <c r="Q229" s="259"/>
      <c r="R229" s="259"/>
      <c r="S229" s="259"/>
      <c r="T229" s="259"/>
      <c r="U229" s="259"/>
      <c r="V229" s="259"/>
    </row>
    <row r="230" spans="1:22" s="260" customFormat="1" ht="32.25" customHeight="1">
      <c r="A230" s="300">
        <v>62</v>
      </c>
      <c r="B230" s="232" t="s">
        <v>2905</v>
      </c>
      <c r="C230" s="257"/>
      <c r="D230" s="347"/>
      <c r="E230" s="347"/>
      <c r="F230" s="347"/>
      <c r="G230" s="347"/>
      <c r="H230" s="253">
        <v>0</v>
      </c>
      <c r="I230" s="263"/>
      <c r="J230" s="253" t="s">
        <v>2905</v>
      </c>
      <c r="K230" s="263"/>
      <c r="L230" s="289">
        <f t="shared" si="14"/>
        <v>0</v>
      </c>
      <c r="M230" s="258" t="e">
        <f t="shared" si="15"/>
        <v>#DIV/0!</v>
      </c>
      <c r="N230" s="259"/>
      <c r="O230" s="259"/>
      <c r="P230" s="259"/>
      <c r="Q230" s="259"/>
      <c r="R230" s="259"/>
      <c r="S230" s="259"/>
      <c r="T230" s="259"/>
      <c r="U230" s="259"/>
      <c r="V230" s="259"/>
    </row>
    <row r="231" spans="1:22" s="260" customFormat="1" ht="32.25" customHeight="1">
      <c r="A231" s="300">
        <v>63</v>
      </c>
      <c r="B231" s="232" t="s">
        <v>2760</v>
      </c>
      <c r="C231" s="257"/>
      <c r="D231" s="347"/>
      <c r="E231" s="347"/>
      <c r="F231" s="347"/>
      <c r="G231" s="347"/>
      <c r="H231" s="253">
        <v>0</v>
      </c>
      <c r="I231" s="263"/>
      <c r="J231" s="253" t="s">
        <v>2760</v>
      </c>
      <c r="K231" s="263"/>
      <c r="L231" s="289">
        <f t="shared" si="14"/>
        <v>0</v>
      </c>
      <c r="M231" s="258" t="e">
        <f t="shared" si="15"/>
        <v>#DIV/0!</v>
      </c>
      <c r="N231" s="259"/>
      <c r="O231" s="259"/>
      <c r="P231" s="259"/>
      <c r="Q231" s="259"/>
      <c r="R231" s="259"/>
      <c r="S231" s="259"/>
      <c r="T231" s="259"/>
      <c r="U231" s="259"/>
      <c r="V231" s="259"/>
    </row>
    <row r="232" spans="1:22" s="260" customFormat="1" ht="32.25" customHeight="1">
      <c r="A232" s="300">
        <v>64</v>
      </c>
      <c r="B232" s="232" t="s">
        <v>2761</v>
      </c>
      <c r="C232" s="257"/>
      <c r="D232" s="347"/>
      <c r="E232" s="347"/>
      <c r="F232" s="347"/>
      <c r="G232" s="347"/>
      <c r="H232" s="253">
        <v>0</v>
      </c>
      <c r="I232" s="263"/>
      <c r="J232" s="253" t="s">
        <v>2761</v>
      </c>
      <c r="K232" s="263"/>
      <c r="L232" s="289">
        <f t="shared" si="14"/>
        <v>0</v>
      </c>
      <c r="M232" s="258" t="e">
        <f t="shared" si="15"/>
        <v>#DIV/0!</v>
      </c>
      <c r="N232" s="259"/>
      <c r="O232" s="259"/>
      <c r="P232" s="259"/>
      <c r="Q232" s="259"/>
      <c r="R232" s="259"/>
      <c r="S232" s="259"/>
      <c r="T232" s="259"/>
      <c r="U232" s="259"/>
      <c r="V232" s="259"/>
    </row>
    <row r="233" spans="1:22" s="260" customFormat="1" ht="32.25" customHeight="1">
      <c r="A233" s="300">
        <v>65</v>
      </c>
      <c r="B233" s="232" t="s">
        <v>2762</v>
      </c>
      <c r="C233" s="257"/>
      <c r="D233" s="347"/>
      <c r="E233" s="347"/>
      <c r="F233" s="347"/>
      <c r="G233" s="347"/>
      <c r="H233" s="253">
        <v>0</v>
      </c>
      <c r="I233" s="263"/>
      <c r="J233" s="253" t="s">
        <v>2762</v>
      </c>
      <c r="K233" s="263"/>
      <c r="L233" s="289">
        <f t="shared" si="14"/>
        <v>0</v>
      </c>
      <c r="M233" s="258" t="e">
        <f t="shared" si="15"/>
        <v>#DIV/0!</v>
      </c>
      <c r="N233" s="259"/>
      <c r="O233" s="259"/>
      <c r="P233" s="259"/>
      <c r="Q233" s="259"/>
      <c r="R233" s="259"/>
      <c r="S233" s="259"/>
      <c r="T233" s="259"/>
      <c r="U233" s="259"/>
      <c r="V233" s="259"/>
    </row>
    <row r="234" spans="1:22" s="256" customFormat="1" ht="32.25" customHeight="1">
      <c r="A234" s="300">
        <v>66</v>
      </c>
      <c r="B234" s="232" t="s">
        <v>2763</v>
      </c>
      <c r="C234" s="252"/>
      <c r="D234" s="359">
        <f>E234+F234+G234</f>
        <v>0</v>
      </c>
      <c r="E234" s="359"/>
      <c r="F234" s="359"/>
      <c r="G234" s="359"/>
      <c r="H234" s="253">
        <v>6.8665999999999991</v>
      </c>
      <c r="I234" s="253"/>
      <c r="J234" s="253" t="s">
        <v>2763</v>
      </c>
      <c r="K234" s="253"/>
      <c r="L234" s="297">
        <f t="shared" si="14"/>
        <v>0</v>
      </c>
      <c r="M234" s="254" t="e">
        <f t="shared" si="15"/>
        <v>#DIV/0!</v>
      </c>
      <c r="N234" s="255"/>
      <c r="O234" s="255"/>
      <c r="P234" s="255"/>
      <c r="Q234" s="255"/>
      <c r="R234" s="255"/>
      <c r="S234" s="255"/>
      <c r="T234" s="255"/>
      <c r="U234" s="255"/>
      <c r="V234" s="255"/>
    </row>
    <row r="235" spans="1:22" s="256" customFormat="1" ht="32.25" customHeight="1">
      <c r="A235" s="300">
        <v>67</v>
      </c>
      <c r="B235" s="232" t="s">
        <v>2764</v>
      </c>
      <c r="C235" s="252"/>
      <c r="D235" s="359"/>
      <c r="E235" s="359"/>
      <c r="F235" s="359"/>
      <c r="G235" s="359"/>
      <c r="H235" s="253">
        <v>0</v>
      </c>
      <c r="I235" s="253"/>
      <c r="J235" s="253" t="s">
        <v>2764</v>
      </c>
      <c r="K235" s="253"/>
      <c r="L235" s="297">
        <f t="shared" si="14"/>
        <v>0</v>
      </c>
      <c r="M235" s="254" t="e">
        <f t="shared" si="15"/>
        <v>#DIV/0!</v>
      </c>
      <c r="N235" s="255"/>
      <c r="O235" s="255"/>
      <c r="P235" s="255"/>
      <c r="Q235" s="255"/>
      <c r="R235" s="255"/>
      <c r="S235" s="255"/>
      <c r="T235" s="255"/>
      <c r="U235" s="255"/>
      <c r="V235" s="255"/>
    </row>
    <row r="236" spans="1:22" s="256" customFormat="1" ht="31.5">
      <c r="A236" s="300">
        <v>68</v>
      </c>
      <c r="B236" s="232" t="s">
        <v>2765</v>
      </c>
      <c r="C236" s="252"/>
      <c r="D236" s="359"/>
      <c r="E236" s="359"/>
      <c r="F236" s="359"/>
      <c r="G236" s="359"/>
      <c r="H236" s="253">
        <v>0</v>
      </c>
      <c r="I236" s="253"/>
      <c r="J236" s="253" t="s">
        <v>2765</v>
      </c>
      <c r="K236" s="253"/>
      <c r="L236" s="297">
        <f t="shared" si="14"/>
        <v>0</v>
      </c>
      <c r="M236" s="254" t="e">
        <f t="shared" si="15"/>
        <v>#DIV/0!</v>
      </c>
      <c r="N236" s="255"/>
      <c r="O236" s="255"/>
      <c r="P236" s="255"/>
      <c r="Q236" s="255"/>
      <c r="R236" s="255"/>
      <c r="S236" s="255"/>
      <c r="T236" s="255"/>
      <c r="U236" s="255"/>
      <c r="V236" s="255"/>
    </row>
    <row r="237" spans="1:22" s="256" customFormat="1" ht="24" customHeight="1">
      <c r="A237" s="300">
        <v>69</v>
      </c>
      <c r="B237" s="232" t="s">
        <v>2766</v>
      </c>
      <c r="C237" s="252"/>
      <c r="D237" s="359">
        <f>E237+F237+G237</f>
        <v>0</v>
      </c>
      <c r="E237" s="359"/>
      <c r="F237" s="359"/>
      <c r="G237" s="359"/>
      <c r="H237" s="253">
        <v>7.3987614999999991</v>
      </c>
      <c r="I237" s="253"/>
      <c r="J237" s="253" t="s">
        <v>2766</v>
      </c>
      <c r="K237" s="253"/>
      <c r="L237" s="297">
        <f t="shared" si="14"/>
        <v>0</v>
      </c>
      <c r="M237" s="254" t="e">
        <f t="shared" si="15"/>
        <v>#DIV/0!</v>
      </c>
      <c r="N237" s="255"/>
      <c r="O237" s="255"/>
      <c r="P237" s="255"/>
      <c r="Q237" s="255"/>
      <c r="R237" s="255"/>
      <c r="S237" s="255"/>
      <c r="T237" s="255"/>
      <c r="U237" s="255"/>
      <c r="V237" s="255"/>
    </row>
    <row r="238" spans="1:22" s="256" customFormat="1" ht="21" customHeight="1">
      <c r="A238" s="300">
        <v>70</v>
      </c>
      <c r="B238" s="232" t="s">
        <v>2767</v>
      </c>
      <c r="C238" s="252"/>
      <c r="D238" s="359">
        <f>E238+F238+G238</f>
        <v>0</v>
      </c>
      <c r="E238" s="359"/>
      <c r="F238" s="359"/>
      <c r="G238" s="359"/>
      <c r="H238" s="253">
        <v>10.7977285</v>
      </c>
      <c r="I238" s="253"/>
      <c r="J238" s="253" t="s">
        <v>2767</v>
      </c>
      <c r="K238" s="253"/>
      <c r="L238" s="297">
        <f t="shared" si="14"/>
        <v>0</v>
      </c>
      <c r="M238" s="254" t="e">
        <f t="shared" si="15"/>
        <v>#DIV/0!</v>
      </c>
      <c r="N238" s="255"/>
      <c r="O238" s="255"/>
      <c r="P238" s="255"/>
      <c r="Q238" s="255"/>
      <c r="R238" s="255"/>
      <c r="S238" s="255"/>
      <c r="T238" s="255"/>
      <c r="U238" s="255"/>
      <c r="V238" s="255"/>
    </row>
    <row r="239" spans="1:22" s="256" customFormat="1" ht="21" customHeight="1">
      <c r="A239" s="300">
        <v>71</v>
      </c>
      <c r="B239" s="232" t="s">
        <v>2768</v>
      </c>
      <c r="C239" s="252"/>
      <c r="D239" s="359"/>
      <c r="E239" s="359"/>
      <c r="F239" s="359"/>
      <c r="G239" s="359"/>
      <c r="H239" s="253">
        <v>0</v>
      </c>
      <c r="I239" s="253"/>
      <c r="J239" s="253" t="s">
        <v>2768</v>
      </c>
      <c r="K239" s="253"/>
      <c r="L239" s="297">
        <f t="shared" si="14"/>
        <v>0</v>
      </c>
      <c r="M239" s="254" t="e">
        <f t="shared" si="15"/>
        <v>#DIV/0!</v>
      </c>
      <c r="N239" s="255"/>
      <c r="O239" s="255"/>
      <c r="P239" s="255"/>
      <c r="Q239" s="255"/>
      <c r="R239" s="255"/>
      <c r="S239" s="255"/>
      <c r="T239" s="255"/>
      <c r="U239" s="255"/>
      <c r="V239" s="255"/>
    </row>
    <row r="240" spans="1:22" s="256" customFormat="1" ht="21" customHeight="1">
      <c r="A240" s="300">
        <v>72</v>
      </c>
      <c r="B240" s="232" t="s">
        <v>2769</v>
      </c>
      <c r="C240" s="252"/>
      <c r="D240" s="359"/>
      <c r="E240" s="359"/>
      <c r="F240" s="359"/>
      <c r="G240" s="359"/>
      <c r="H240" s="253">
        <v>0</v>
      </c>
      <c r="I240" s="253"/>
      <c r="J240" s="253" t="s">
        <v>2769</v>
      </c>
      <c r="K240" s="253"/>
      <c r="L240" s="297">
        <f t="shared" si="14"/>
        <v>0</v>
      </c>
      <c r="M240" s="254" t="e">
        <f t="shared" si="15"/>
        <v>#DIV/0!</v>
      </c>
      <c r="N240" s="255"/>
      <c r="O240" s="255"/>
      <c r="P240" s="255"/>
      <c r="Q240" s="255"/>
      <c r="R240" s="255"/>
      <c r="S240" s="255"/>
      <c r="T240" s="255"/>
      <c r="U240" s="255"/>
      <c r="V240" s="255"/>
    </row>
    <row r="241" spans="1:22" s="256" customFormat="1" ht="21" customHeight="1">
      <c r="A241" s="300">
        <v>73</v>
      </c>
      <c r="B241" s="232" t="s">
        <v>2770</v>
      </c>
      <c r="C241" s="252"/>
      <c r="D241" s="359">
        <f>E241+F241+G241</f>
        <v>0</v>
      </c>
      <c r="E241" s="359"/>
      <c r="F241" s="359"/>
      <c r="G241" s="359"/>
      <c r="H241" s="253">
        <v>4.7551204999999994</v>
      </c>
      <c r="I241" s="253"/>
      <c r="J241" s="253" t="s">
        <v>2770</v>
      </c>
      <c r="K241" s="253"/>
      <c r="L241" s="297">
        <f t="shared" si="14"/>
        <v>0</v>
      </c>
      <c r="M241" s="254" t="e">
        <f t="shared" si="15"/>
        <v>#DIV/0!</v>
      </c>
      <c r="N241" s="255"/>
      <c r="O241" s="255"/>
      <c r="P241" s="255"/>
      <c r="Q241" s="255"/>
      <c r="R241" s="255"/>
      <c r="S241" s="255"/>
      <c r="T241" s="255"/>
      <c r="U241" s="255"/>
      <c r="V241" s="255"/>
    </row>
    <row r="242" spans="1:22">
      <c r="A242" s="302"/>
      <c r="B242" s="303"/>
      <c r="C242" s="304"/>
      <c r="D242" s="360"/>
      <c r="E242" s="360"/>
      <c r="F242" s="360"/>
      <c r="G242" s="360"/>
      <c r="H242" s="305"/>
      <c r="I242" s="305"/>
      <c r="J242" s="305"/>
      <c r="K242" s="305"/>
      <c r="L242" s="289">
        <f t="shared" si="14"/>
        <v>0</v>
      </c>
      <c r="M242" s="258" t="e">
        <f t="shared" si="15"/>
        <v>#DIV/0!</v>
      </c>
    </row>
    <row r="243" spans="1:22">
      <c r="A243" s="319" t="s">
        <v>12</v>
      </c>
      <c r="B243" s="320" t="s">
        <v>3061</v>
      </c>
      <c r="C243" s="321"/>
      <c r="D243" s="361"/>
      <c r="E243" s="361"/>
      <c r="F243" s="361"/>
      <c r="G243" s="361"/>
      <c r="H243" s="305"/>
      <c r="I243" s="305"/>
      <c r="J243" s="305"/>
      <c r="K243" s="305"/>
      <c r="L243" s="289"/>
      <c r="M243" s="258"/>
    </row>
    <row r="244" spans="1:22" ht="19.149999999999999" customHeight="1">
      <c r="A244" s="317" t="s">
        <v>13</v>
      </c>
      <c r="B244" s="99" t="s">
        <v>3062</v>
      </c>
      <c r="C244" s="333">
        <f>SUM(C245,C250,C252,C253,C254,C255,C256,C257,C258,C259)</f>
        <v>0</v>
      </c>
      <c r="D244" s="341">
        <f>SUM(D245,D250,D252,D253,D254,D255,D256,D257,D258,D259)</f>
        <v>0</v>
      </c>
      <c r="E244" s="341">
        <f>SUM(E245,E250,E252,E253,E254,E255,E256,E257,E258,E259)</f>
        <v>0</v>
      </c>
      <c r="F244" s="341">
        <f>SUM(F245,F250,F252,F253,F254,F255,F256,F257,F258,F259)</f>
        <v>0</v>
      </c>
      <c r="G244" s="341">
        <f>SUM(G245,G250,G252,G253,G254,G255,G256,G257,G258,G259)</f>
        <v>0</v>
      </c>
      <c r="H244" s="305"/>
      <c r="I244" s="305"/>
      <c r="J244" s="305"/>
      <c r="K244" s="305"/>
      <c r="L244" s="289"/>
      <c r="M244" s="258"/>
    </row>
    <row r="245" spans="1:22">
      <c r="A245" s="325">
        <v>1</v>
      </c>
      <c r="B245" s="326" t="s">
        <v>2489</v>
      </c>
      <c r="C245" s="327">
        <f>SUM(C246:C248)</f>
        <v>0</v>
      </c>
      <c r="D245" s="342">
        <f>SUM(E245:G245)</f>
        <v>0</v>
      </c>
      <c r="E245" s="343"/>
      <c r="F245" s="343"/>
      <c r="G245" s="343"/>
      <c r="H245" s="305"/>
      <c r="I245" s="305"/>
      <c r="J245" s="305"/>
      <c r="K245" s="305"/>
      <c r="L245" s="289"/>
      <c r="M245" s="258"/>
    </row>
    <row r="246" spans="1:22">
      <c r="A246" s="325"/>
      <c r="B246" s="328" t="s">
        <v>2490</v>
      </c>
      <c r="C246" s="329"/>
      <c r="D246" s="342">
        <f t="shared" ref="D246:D259" si="16">SUM(E246:G246)</f>
        <v>0</v>
      </c>
      <c r="E246" s="343"/>
      <c r="F246" s="343"/>
      <c r="G246" s="343"/>
      <c r="H246" s="305"/>
      <c r="I246" s="305"/>
      <c r="J246" s="305"/>
      <c r="K246" s="305"/>
      <c r="L246" s="289"/>
      <c r="M246" s="258"/>
    </row>
    <row r="247" spans="1:22">
      <c r="A247" s="330"/>
      <c r="B247" s="331" t="s">
        <v>2529</v>
      </c>
      <c r="C247" s="332"/>
      <c r="D247" s="342">
        <f t="shared" si="16"/>
        <v>0</v>
      </c>
      <c r="E247" s="344"/>
      <c r="F247" s="344"/>
      <c r="G247" s="344"/>
      <c r="H247" s="305"/>
      <c r="I247" s="305"/>
      <c r="J247" s="305"/>
      <c r="K247" s="305"/>
      <c r="L247" s="289"/>
      <c r="M247" s="258"/>
    </row>
    <row r="248" spans="1:22">
      <c r="A248" s="330"/>
      <c r="B248" s="328" t="s">
        <v>2491</v>
      </c>
      <c r="C248" s="332"/>
      <c r="D248" s="342">
        <f t="shared" si="16"/>
        <v>0</v>
      </c>
      <c r="E248" s="344"/>
      <c r="F248" s="344"/>
      <c r="G248" s="343"/>
      <c r="H248" s="305"/>
      <c r="I248" s="305"/>
      <c r="J248" s="305"/>
      <c r="K248" s="305"/>
      <c r="L248" s="289"/>
      <c r="M248" s="258"/>
    </row>
    <row r="249" spans="1:22">
      <c r="A249" s="330"/>
      <c r="B249" s="331" t="s">
        <v>2529</v>
      </c>
      <c r="C249" s="332"/>
      <c r="D249" s="342">
        <f t="shared" si="16"/>
        <v>0</v>
      </c>
      <c r="E249" s="344"/>
      <c r="F249" s="344"/>
      <c r="G249" s="344"/>
      <c r="H249" s="305"/>
      <c r="I249" s="305"/>
      <c r="J249" s="305"/>
      <c r="K249" s="305"/>
      <c r="L249" s="289"/>
      <c r="M249" s="258"/>
    </row>
    <row r="250" spans="1:22">
      <c r="A250" s="325">
        <v>2</v>
      </c>
      <c r="B250" s="326" t="s">
        <v>2237</v>
      </c>
      <c r="C250" s="329"/>
      <c r="D250" s="342">
        <f t="shared" si="16"/>
        <v>0</v>
      </c>
      <c r="E250" s="343"/>
      <c r="F250" s="343"/>
      <c r="G250" s="343"/>
      <c r="H250" s="305"/>
      <c r="I250" s="305"/>
      <c r="J250" s="305"/>
      <c r="K250" s="305"/>
      <c r="L250" s="289"/>
      <c r="M250" s="258"/>
    </row>
    <row r="251" spans="1:22">
      <c r="A251" s="330"/>
      <c r="B251" s="331" t="s">
        <v>2529</v>
      </c>
      <c r="C251" s="332"/>
      <c r="D251" s="342">
        <f t="shared" si="16"/>
        <v>0</v>
      </c>
      <c r="E251" s="344"/>
      <c r="F251" s="344"/>
      <c r="G251" s="344"/>
      <c r="H251" s="305"/>
      <c r="I251" s="305"/>
      <c r="J251" s="305"/>
      <c r="K251" s="305"/>
      <c r="L251" s="289"/>
      <c r="M251" s="258"/>
    </row>
    <row r="252" spans="1:22">
      <c r="A252" s="325">
        <v>3</v>
      </c>
      <c r="B252" s="326" t="s">
        <v>2531</v>
      </c>
      <c r="C252" s="329"/>
      <c r="D252" s="342">
        <f t="shared" si="16"/>
        <v>0</v>
      </c>
      <c r="E252" s="343"/>
      <c r="F252" s="343"/>
      <c r="G252" s="343"/>
      <c r="H252" s="305"/>
      <c r="I252" s="305"/>
      <c r="J252" s="305"/>
      <c r="K252" s="305"/>
      <c r="L252" s="289"/>
      <c r="M252" s="258"/>
    </row>
    <row r="253" spans="1:22">
      <c r="A253" s="325">
        <v>4</v>
      </c>
      <c r="B253" s="326" t="s">
        <v>2532</v>
      </c>
      <c r="C253" s="329"/>
      <c r="D253" s="342">
        <f t="shared" si="16"/>
        <v>0</v>
      </c>
      <c r="E253" s="343"/>
      <c r="F253" s="343"/>
      <c r="G253" s="343"/>
      <c r="H253" s="305"/>
      <c r="I253" s="305"/>
      <c r="J253" s="305"/>
      <c r="K253" s="305"/>
      <c r="L253" s="289"/>
      <c r="M253" s="258"/>
    </row>
    <row r="254" spans="1:22">
      <c r="A254" s="325">
        <v>5</v>
      </c>
      <c r="B254" s="326" t="s">
        <v>2533</v>
      </c>
      <c r="C254" s="329"/>
      <c r="D254" s="342">
        <f t="shared" si="16"/>
        <v>0</v>
      </c>
      <c r="E254" s="343"/>
      <c r="F254" s="343"/>
      <c r="G254" s="343"/>
      <c r="H254" s="305"/>
      <c r="I254" s="305"/>
      <c r="J254" s="305"/>
      <c r="K254" s="305"/>
      <c r="L254" s="289"/>
      <c r="M254" s="258"/>
    </row>
    <row r="255" spans="1:22">
      <c r="A255" s="325">
        <v>6</v>
      </c>
      <c r="B255" s="326" t="s">
        <v>2534</v>
      </c>
      <c r="C255" s="329"/>
      <c r="D255" s="342">
        <f t="shared" si="16"/>
        <v>0</v>
      </c>
      <c r="E255" s="343"/>
      <c r="F255" s="343"/>
      <c r="G255" s="343"/>
      <c r="H255" s="305"/>
      <c r="I255" s="305"/>
      <c r="J255" s="305"/>
      <c r="K255" s="305"/>
      <c r="L255" s="289"/>
      <c r="M255" s="258"/>
    </row>
    <row r="256" spans="1:22">
      <c r="A256" s="325">
        <v>7</v>
      </c>
      <c r="B256" s="326" t="s">
        <v>2535</v>
      </c>
      <c r="C256" s="329"/>
      <c r="D256" s="342">
        <f>SUM(E256:G256)</f>
        <v>0</v>
      </c>
      <c r="E256" s="343"/>
      <c r="F256" s="343"/>
      <c r="G256" s="343"/>
      <c r="H256" s="305"/>
      <c r="I256" s="305"/>
      <c r="J256" s="305"/>
      <c r="K256" s="305"/>
      <c r="L256" s="289"/>
      <c r="M256" s="258"/>
    </row>
    <row r="257" spans="1:13">
      <c r="A257" s="325">
        <v>8</v>
      </c>
      <c r="B257" s="326" t="s">
        <v>3063</v>
      </c>
      <c r="C257" s="329"/>
      <c r="D257" s="342">
        <f t="shared" si="16"/>
        <v>0</v>
      </c>
      <c r="E257" s="343"/>
      <c r="F257" s="343"/>
      <c r="G257" s="343"/>
      <c r="H257" s="305"/>
      <c r="I257" s="305"/>
      <c r="J257" s="305"/>
      <c r="K257" s="305"/>
      <c r="L257" s="289"/>
      <c r="M257" s="258"/>
    </row>
    <row r="258" spans="1:13">
      <c r="A258" s="325">
        <v>9</v>
      </c>
      <c r="B258" s="326" t="s">
        <v>2537</v>
      </c>
      <c r="C258" s="329"/>
      <c r="D258" s="342">
        <f t="shared" si="16"/>
        <v>0</v>
      </c>
      <c r="E258" s="343"/>
      <c r="F258" s="343"/>
      <c r="G258" s="343"/>
      <c r="H258" s="305"/>
      <c r="I258" s="305"/>
      <c r="J258" s="305"/>
      <c r="K258" s="305"/>
      <c r="L258" s="289"/>
      <c r="M258" s="258"/>
    </row>
    <row r="259" spans="1:13">
      <c r="A259" s="325">
        <v>10</v>
      </c>
      <c r="B259" s="326" t="s">
        <v>3055</v>
      </c>
      <c r="C259" s="329"/>
      <c r="D259" s="342">
        <f t="shared" si="16"/>
        <v>0</v>
      </c>
      <c r="E259" s="343"/>
      <c r="F259" s="343"/>
      <c r="G259" s="343"/>
      <c r="H259" s="305"/>
      <c r="I259" s="305"/>
      <c r="J259" s="305"/>
      <c r="K259" s="305"/>
      <c r="L259" s="289"/>
      <c r="M259" s="258"/>
    </row>
    <row r="260" spans="1:13">
      <c r="A260" s="508"/>
      <c r="B260" s="509"/>
      <c r="C260" s="510"/>
      <c r="D260" s="511"/>
      <c r="E260" s="511"/>
      <c r="F260" s="511"/>
      <c r="G260" s="511"/>
      <c r="H260" s="305"/>
      <c r="I260" s="305"/>
      <c r="J260" s="305"/>
      <c r="K260" s="305"/>
      <c r="L260" s="289"/>
      <c r="M260" s="258"/>
    </row>
    <row r="261" spans="1:13" ht="18.75">
      <c r="A261" s="508"/>
      <c r="B261" s="509"/>
      <c r="C261" s="510"/>
      <c r="D261" s="511"/>
      <c r="E261" s="1960" t="s">
        <v>3064</v>
      </c>
      <c r="F261" s="1960"/>
      <c r="G261" s="1960"/>
      <c r="H261" s="1960"/>
      <c r="I261" s="1960"/>
      <c r="J261" s="305"/>
      <c r="K261" s="305"/>
      <c r="L261" s="289"/>
      <c r="M261" s="258"/>
    </row>
    <row r="262" spans="1:13">
      <c r="A262" s="508"/>
      <c r="B262" s="509"/>
      <c r="C262" s="510"/>
      <c r="D262" s="511"/>
      <c r="E262" s="1956" t="s">
        <v>2503</v>
      </c>
      <c r="F262" s="1956"/>
      <c r="G262" s="1956"/>
      <c r="H262" s="1956"/>
      <c r="I262" s="1956"/>
      <c r="J262" s="305"/>
      <c r="K262" s="305"/>
      <c r="L262" s="289"/>
      <c r="M262" s="258"/>
    </row>
    <row r="263" spans="1:13">
      <c r="A263" s="508"/>
      <c r="B263" s="509"/>
      <c r="C263" s="510"/>
      <c r="D263" s="511"/>
      <c r="E263" s="1159"/>
      <c r="F263" s="1159"/>
      <c r="G263" s="1159"/>
      <c r="H263" s="1159"/>
      <c r="I263" s="1159"/>
      <c r="J263" s="305"/>
      <c r="K263" s="305"/>
      <c r="L263" s="289"/>
      <c r="M263" s="258"/>
    </row>
    <row r="264" spans="1:13">
      <c r="A264" s="508"/>
      <c r="B264" s="509"/>
      <c r="C264" s="510"/>
      <c r="D264" s="511"/>
      <c r="E264" s="1159"/>
      <c r="F264" s="1159"/>
      <c r="G264" s="1159"/>
      <c r="H264" s="1159"/>
      <c r="I264" s="1159"/>
      <c r="J264" s="305"/>
      <c r="K264" s="305"/>
      <c r="L264" s="289"/>
      <c r="M264" s="258"/>
    </row>
    <row r="265" spans="1:13">
      <c r="A265" s="508"/>
      <c r="B265" s="509"/>
      <c r="C265" s="510"/>
      <c r="D265" s="511"/>
      <c r="E265" s="511"/>
      <c r="F265" s="511"/>
      <c r="G265" s="511"/>
      <c r="H265" s="305"/>
      <c r="I265" s="305"/>
      <c r="J265" s="305"/>
      <c r="K265" s="305"/>
      <c r="L265" s="289"/>
      <c r="M265" s="258"/>
    </row>
    <row r="266" spans="1:13">
      <c r="A266" s="508"/>
      <c r="B266" s="509"/>
      <c r="C266" s="510"/>
      <c r="D266" s="511"/>
      <c r="E266" s="511"/>
      <c r="F266" s="511"/>
      <c r="G266" s="511"/>
      <c r="H266" s="305"/>
      <c r="I266" s="305"/>
      <c r="J266" s="305"/>
      <c r="K266" s="305"/>
      <c r="L266" s="289"/>
      <c r="M266" s="258"/>
    </row>
    <row r="267" spans="1:13">
      <c r="A267" s="317"/>
      <c r="B267" s="502" t="s">
        <v>21</v>
      </c>
      <c r="C267" s="298"/>
      <c r="D267" s="253"/>
      <c r="E267" s="253"/>
      <c r="F267" s="253"/>
      <c r="G267" s="253"/>
      <c r="H267" s="305"/>
      <c r="I267" s="305"/>
      <c r="J267" s="305"/>
      <c r="K267" s="305"/>
      <c r="L267" s="289"/>
      <c r="M267" s="258"/>
    </row>
    <row r="268" spans="1:13">
      <c r="A268" s="317"/>
      <c r="B268" s="318" t="s">
        <v>3065</v>
      </c>
      <c r="C268" s="298"/>
      <c r="D268" s="253"/>
      <c r="E268" s="253"/>
      <c r="F268" s="253"/>
      <c r="G268" s="253"/>
      <c r="H268" s="305"/>
      <c r="I268" s="305"/>
      <c r="J268" s="305"/>
      <c r="K268" s="305"/>
      <c r="L268" s="289"/>
      <c r="M268" s="258"/>
    </row>
    <row r="269" spans="1:13">
      <c r="A269" s="317"/>
      <c r="B269" s="318" t="s">
        <v>3066</v>
      </c>
      <c r="C269" s="298"/>
      <c r="D269" s="253"/>
      <c r="E269" s="253"/>
      <c r="F269" s="253"/>
      <c r="G269" s="253"/>
      <c r="H269" s="305"/>
      <c r="I269" s="305"/>
      <c r="J269" s="305"/>
      <c r="K269" s="305"/>
      <c r="L269" s="289"/>
      <c r="M269" s="258"/>
    </row>
    <row r="270" spans="1:13">
      <c r="A270" s="317"/>
      <c r="B270" s="318" t="s">
        <v>3067</v>
      </c>
      <c r="C270" s="298"/>
      <c r="D270" s="253"/>
      <c r="E270" s="253"/>
      <c r="F270" s="253"/>
      <c r="G270" s="253"/>
      <c r="H270" s="305"/>
      <c r="I270" s="305"/>
      <c r="J270" s="305"/>
      <c r="K270" s="305"/>
      <c r="L270" s="289"/>
      <c r="M270" s="258"/>
    </row>
    <row r="271" spans="1:13">
      <c r="A271" s="317"/>
      <c r="B271" s="318"/>
      <c r="C271" s="298"/>
      <c r="D271" s="253"/>
      <c r="E271" s="253"/>
      <c r="F271" s="253"/>
      <c r="G271" s="253"/>
      <c r="H271" s="305"/>
      <c r="I271" s="305"/>
      <c r="J271" s="305"/>
      <c r="K271" s="305"/>
      <c r="L271" s="289"/>
      <c r="M271" s="258"/>
    </row>
    <row r="272" spans="1:13">
      <c r="A272" s="317"/>
      <c r="B272" s="318"/>
      <c r="C272" s="298"/>
      <c r="D272" s="253"/>
      <c r="E272" s="253"/>
      <c r="F272" s="253"/>
      <c r="G272" s="253"/>
      <c r="H272" s="305"/>
      <c r="I272" s="305"/>
      <c r="J272" s="305"/>
      <c r="K272" s="305"/>
      <c r="L272" s="289"/>
      <c r="M272" s="258"/>
    </row>
    <row r="273" spans="1:13">
      <c r="A273" s="317"/>
      <c r="B273" s="318"/>
      <c r="C273" s="298"/>
      <c r="D273" s="253"/>
      <c r="E273" s="253"/>
      <c r="F273" s="253"/>
      <c r="G273" s="253"/>
      <c r="H273" s="305"/>
      <c r="I273" s="305"/>
      <c r="J273" s="305"/>
      <c r="K273" s="305"/>
      <c r="L273" s="289"/>
      <c r="M273" s="258"/>
    </row>
    <row r="274" spans="1:13">
      <c r="A274" s="317"/>
      <c r="B274" s="318"/>
      <c r="C274" s="298"/>
      <c r="D274" s="253"/>
      <c r="E274" s="253"/>
      <c r="F274" s="253"/>
      <c r="G274" s="253"/>
      <c r="H274" s="305"/>
      <c r="I274" s="305"/>
      <c r="J274" s="305"/>
      <c r="K274" s="305"/>
      <c r="L274" s="289"/>
      <c r="M274" s="258"/>
    </row>
    <row r="275" spans="1:13">
      <c r="A275" s="317"/>
      <c r="B275" s="318"/>
      <c r="C275" s="298"/>
      <c r="D275" s="253"/>
      <c r="E275" s="253"/>
      <c r="F275" s="253"/>
      <c r="G275" s="253"/>
      <c r="H275" s="305"/>
      <c r="I275" s="305"/>
      <c r="J275" s="305"/>
      <c r="K275" s="305"/>
      <c r="L275" s="289"/>
      <c r="M275" s="258"/>
    </row>
    <row r="276" spans="1:13">
      <c r="A276" s="317"/>
      <c r="B276" s="318"/>
      <c r="C276" s="298"/>
      <c r="D276" s="253"/>
      <c r="E276" s="253"/>
      <c r="F276" s="253"/>
      <c r="G276" s="253"/>
      <c r="H276" s="305"/>
      <c r="I276" s="305"/>
      <c r="J276" s="305"/>
      <c r="K276" s="305"/>
      <c r="L276" s="289"/>
      <c r="M276" s="258"/>
    </row>
    <row r="277" spans="1:13">
      <c r="A277" s="317"/>
      <c r="B277" s="318"/>
      <c r="C277" s="298"/>
      <c r="D277" s="253"/>
      <c r="E277" s="253"/>
      <c r="F277" s="253"/>
      <c r="G277" s="253"/>
      <c r="H277" s="305"/>
      <c r="I277" s="305"/>
      <c r="J277" s="305"/>
      <c r="K277" s="305"/>
      <c r="L277" s="289"/>
      <c r="M277" s="258"/>
    </row>
    <row r="278" spans="1:13">
      <c r="A278" s="317"/>
      <c r="B278" s="318"/>
      <c r="C278" s="298"/>
      <c r="D278" s="253"/>
      <c r="E278" s="253"/>
      <c r="F278" s="253"/>
      <c r="G278" s="253"/>
      <c r="H278" s="305"/>
      <c r="I278" s="305"/>
      <c r="J278" s="305"/>
      <c r="K278" s="305"/>
      <c r="L278" s="289"/>
      <c r="M278" s="258"/>
    </row>
    <row r="279" spans="1:13">
      <c r="A279" s="317"/>
      <c r="B279" s="318"/>
      <c r="C279" s="298"/>
      <c r="D279" s="253"/>
      <c r="E279" s="253"/>
      <c r="F279" s="253"/>
      <c r="G279" s="253"/>
      <c r="H279" s="305"/>
      <c r="I279" s="305"/>
      <c r="J279" s="305"/>
      <c r="K279" s="305"/>
      <c r="L279" s="289"/>
      <c r="M279" s="258"/>
    </row>
    <row r="280" spans="1:13">
      <c r="A280" s="317"/>
      <c r="B280" s="318"/>
      <c r="C280" s="298"/>
      <c r="D280" s="253"/>
      <c r="E280" s="253"/>
      <c r="F280" s="253"/>
      <c r="G280" s="253"/>
      <c r="H280" s="305"/>
      <c r="I280" s="305"/>
      <c r="J280" s="305"/>
      <c r="K280" s="305"/>
      <c r="L280" s="289"/>
      <c r="M280" s="258"/>
    </row>
    <row r="281" spans="1:13">
      <c r="A281" s="317"/>
      <c r="B281" s="318"/>
      <c r="C281" s="298"/>
      <c r="D281" s="253"/>
      <c r="E281" s="253"/>
      <c r="F281" s="253"/>
      <c r="G281" s="253"/>
      <c r="H281" s="305"/>
      <c r="I281" s="305"/>
      <c r="J281" s="305"/>
      <c r="K281" s="305"/>
      <c r="L281" s="289"/>
      <c r="M281" s="258"/>
    </row>
    <row r="282" spans="1:13">
      <c r="A282" s="317"/>
      <c r="B282" s="318"/>
      <c r="C282" s="298"/>
      <c r="D282" s="253"/>
      <c r="E282" s="253"/>
      <c r="F282" s="253"/>
      <c r="G282" s="253"/>
      <c r="H282" s="305"/>
      <c r="I282" s="305"/>
      <c r="J282" s="305"/>
      <c r="K282" s="305"/>
      <c r="L282" s="289"/>
      <c r="M282" s="258"/>
    </row>
    <row r="283" spans="1:13">
      <c r="A283" s="317"/>
      <c r="B283" s="318"/>
      <c r="C283" s="298"/>
      <c r="D283" s="253"/>
      <c r="E283" s="253"/>
      <c r="F283" s="253"/>
      <c r="G283" s="253"/>
      <c r="H283" s="305"/>
      <c r="I283" s="305"/>
      <c r="J283" s="305"/>
      <c r="K283" s="305"/>
      <c r="L283" s="289"/>
      <c r="M283" s="258"/>
    </row>
    <row r="284" spans="1:13">
      <c r="A284" s="317"/>
      <c r="B284" s="318"/>
      <c r="C284" s="298"/>
      <c r="D284" s="253"/>
      <c r="E284" s="253"/>
      <c r="F284" s="253"/>
      <c r="G284" s="253"/>
      <c r="H284" s="305"/>
      <c r="I284" s="305"/>
      <c r="J284" s="305"/>
      <c r="K284" s="305"/>
      <c r="L284" s="289"/>
      <c r="M284" s="258"/>
    </row>
    <row r="285" spans="1:13">
      <c r="A285" s="317"/>
      <c r="B285" s="318"/>
      <c r="C285" s="298"/>
      <c r="D285" s="253"/>
      <c r="E285" s="253"/>
      <c r="F285" s="253"/>
      <c r="G285" s="253"/>
      <c r="H285" s="305"/>
      <c r="I285" s="305"/>
      <c r="J285" s="305"/>
      <c r="K285" s="305"/>
      <c r="L285" s="289"/>
      <c r="M285" s="258"/>
    </row>
    <row r="286" spans="1:13">
      <c r="A286" s="317"/>
      <c r="B286" s="318"/>
      <c r="C286" s="298"/>
      <c r="D286" s="253"/>
      <c r="E286" s="253"/>
      <c r="F286" s="253"/>
      <c r="G286" s="253"/>
      <c r="H286" s="305"/>
      <c r="I286" s="305"/>
      <c r="J286" s="305"/>
      <c r="K286" s="305"/>
      <c r="L286" s="289"/>
      <c r="M286" s="258"/>
    </row>
    <row r="287" spans="1:13">
      <c r="A287" s="317"/>
      <c r="B287" s="318"/>
      <c r="C287" s="298"/>
      <c r="D287" s="253"/>
      <c r="E287" s="253"/>
      <c r="F287" s="253"/>
      <c r="G287" s="253"/>
      <c r="H287" s="305"/>
      <c r="I287" s="305"/>
      <c r="J287" s="305"/>
      <c r="K287" s="305"/>
      <c r="L287" s="289"/>
      <c r="M287" s="258"/>
    </row>
    <row r="288" spans="1:13">
      <c r="A288" s="317"/>
      <c r="B288" s="318"/>
      <c r="C288" s="298"/>
      <c r="D288" s="253"/>
      <c r="E288" s="253"/>
      <c r="F288" s="253"/>
      <c r="G288" s="253"/>
      <c r="H288" s="305"/>
      <c r="I288" s="305"/>
      <c r="J288" s="305"/>
      <c r="K288" s="305"/>
      <c r="L288" s="289"/>
      <c r="M288" s="258"/>
    </row>
    <row r="289" spans="1:13">
      <c r="A289" s="317"/>
      <c r="B289" s="318"/>
      <c r="C289" s="298"/>
      <c r="D289" s="253"/>
      <c r="E289" s="253"/>
      <c r="F289" s="253"/>
      <c r="G289" s="253"/>
      <c r="H289" s="305"/>
      <c r="I289" s="305"/>
      <c r="J289" s="305"/>
      <c r="K289" s="305"/>
      <c r="L289" s="289"/>
      <c r="M289" s="258"/>
    </row>
    <row r="290" spans="1:13">
      <c r="A290" s="317"/>
      <c r="B290" s="318"/>
      <c r="C290" s="298"/>
      <c r="D290" s="253"/>
      <c r="E290" s="253"/>
      <c r="F290" s="253"/>
      <c r="G290" s="253"/>
      <c r="H290" s="305"/>
      <c r="I290" s="305"/>
      <c r="J290" s="305"/>
      <c r="K290" s="305"/>
      <c r="L290" s="289"/>
      <c r="M290" s="258"/>
    </row>
    <row r="291" spans="1:13">
      <c r="A291" s="317"/>
      <c r="B291" s="318"/>
      <c r="C291" s="298"/>
      <c r="D291" s="253"/>
      <c r="E291" s="253"/>
      <c r="F291" s="253"/>
      <c r="G291" s="253"/>
      <c r="H291" s="305"/>
      <c r="I291" s="305"/>
      <c r="J291" s="305"/>
      <c r="K291" s="305"/>
      <c r="L291" s="289"/>
      <c r="M291" s="258"/>
    </row>
    <row r="292" spans="1:13">
      <c r="A292" s="317"/>
      <c r="B292" s="318"/>
      <c r="C292" s="298"/>
      <c r="D292" s="253"/>
      <c r="E292" s="253"/>
      <c r="F292" s="253"/>
      <c r="G292" s="253"/>
      <c r="H292" s="305"/>
      <c r="I292" s="305"/>
      <c r="J292" s="305"/>
      <c r="K292" s="305"/>
      <c r="L292" s="289"/>
      <c r="M292" s="258"/>
    </row>
    <row r="293" spans="1:13">
      <c r="A293" s="317"/>
      <c r="B293" s="318"/>
      <c r="C293" s="298"/>
      <c r="D293" s="253"/>
      <c r="E293" s="253"/>
      <c r="F293" s="253"/>
      <c r="G293" s="253"/>
      <c r="H293" s="305"/>
      <c r="I293" s="305"/>
      <c r="J293" s="305"/>
      <c r="K293" s="305"/>
      <c r="L293" s="289"/>
      <c r="M293" s="258"/>
    </row>
    <row r="294" spans="1:13">
      <c r="A294" s="317"/>
      <c r="B294" s="318"/>
      <c r="C294" s="298"/>
      <c r="D294" s="253"/>
      <c r="E294" s="253"/>
      <c r="F294" s="253"/>
      <c r="G294" s="253"/>
      <c r="H294" s="305"/>
      <c r="I294" s="305"/>
      <c r="J294" s="305"/>
      <c r="K294" s="305"/>
      <c r="L294" s="289"/>
      <c r="M294" s="258"/>
    </row>
    <row r="295" spans="1:13">
      <c r="A295" s="317"/>
      <c r="B295" s="318"/>
      <c r="C295" s="298"/>
      <c r="D295" s="253"/>
      <c r="E295" s="253"/>
      <c r="F295" s="253"/>
      <c r="G295" s="253"/>
      <c r="H295" s="305"/>
      <c r="I295" s="305"/>
      <c r="J295" s="305"/>
      <c r="K295" s="305"/>
      <c r="L295" s="289"/>
      <c r="M295" s="258"/>
    </row>
    <row r="296" spans="1:13">
      <c r="A296" s="317"/>
      <c r="B296" s="318"/>
      <c r="C296" s="298"/>
      <c r="D296" s="253"/>
      <c r="E296" s="253"/>
      <c r="F296" s="253"/>
      <c r="G296" s="253"/>
      <c r="H296" s="305"/>
      <c r="I296" s="305"/>
      <c r="J296" s="305"/>
      <c r="K296" s="305"/>
      <c r="L296" s="289"/>
      <c r="M296" s="258"/>
    </row>
    <row r="297" spans="1:13">
      <c r="A297" s="317"/>
      <c r="B297" s="318"/>
      <c r="C297" s="298"/>
      <c r="D297" s="253"/>
      <c r="E297" s="253"/>
      <c r="F297" s="253"/>
      <c r="G297" s="253"/>
      <c r="H297" s="305"/>
      <c r="I297" s="305"/>
      <c r="J297" s="305"/>
      <c r="K297" s="305"/>
      <c r="L297" s="289"/>
      <c r="M297" s="258"/>
    </row>
    <row r="298" spans="1:13">
      <c r="A298" s="317"/>
      <c r="B298" s="318"/>
      <c r="C298" s="298"/>
      <c r="D298" s="253"/>
      <c r="E298" s="253"/>
      <c r="F298" s="253"/>
      <c r="G298" s="253"/>
      <c r="H298" s="305"/>
      <c r="I298" s="305"/>
      <c r="J298" s="305"/>
      <c r="K298" s="305"/>
      <c r="L298" s="289"/>
      <c r="M298" s="258"/>
    </row>
    <row r="299" spans="1:13">
      <c r="A299" s="317"/>
      <c r="B299" s="318"/>
      <c r="C299" s="298"/>
      <c r="D299" s="253"/>
      <c r="E299" s="253"/>
      <c r="F299" s="253"/>
      <c r="G299" s="253"/>
      <c r="H299" s="305"/>
      <c r="I299" s="305"/>
      <c r="J299" s="305"/>
      <c r="K299" s="305"/>
      <c r="L299" s="289"/>
      <c r="M299" s="258"/>
    </row>
    <row r="300" spans="1:13">
      <c r="A300" s="317"/>
      <c r="B300" s="318"/>
      <c r="C300" s="298"/>
      <c r="D300" s="253"/>
      <c r="E300" s="253"/>
      <c r="F300" s="253"/>
      <c r="G300" s="253"/>
      <c r="H300" s="305"/>
      <c r="I300" s="305"/>
      <c r="J300" s="305"/>
      <c r="K300" s="305"/>
      <c r="L300" s="289"/>
      <c r="M300" s="258"/>
    </row>
    <row r="301" spans="1:13">
      <c r="A301" s="317"/>
      <c r="B301" s="318"/>
      <c r="C301" s="298"/>
      <c r="D301" s="253"/>
      <c r="E301" s="253"/>
      <c r="F301" s="253"/>
      <c r="G301" s="253"/>
      <c r="H301" s="305"/>
      <c r="I301" s="305"/>
      <c r="J301" s="305"/>
      <c r="K301" s="305"/>
      <c r="L301" s="289"/>
      <c r="M301" s="258"/>
    </row>
    <row r="302" spans="1:13">
      <c r="A302" s="317"/>
      <c r="B302" s="318"/>
      <c r="C302" s="298"/>
      <c r="D302" s="253"/>
      <c r="E302" s="253"/>
      <c r="F302" s="253"/>
      <c r="G302" s="253"/>
      <c r="H302" s="305"/>
      <c r="I302" s="305"/>
      <c r="J302" s="305"/>
      <c r="K302" s="305"/>
      <c r="L302" s="289"/>
      <c r="M302" s="258"/>
    </row>
    <row r="303" spans="1:13">
      <c r="A303" s="317"/>
      <c r="B303" s="318"/>
      <c r="C303" s="298"/>
      <c r="D303" s="253"/>
      <c r="E303" s="253"/>
      <c r="F303" s="253"/>
      <c r="G303" s="253"/>
      <c r="H303" s="305"/>
      <c r="I303" s="305"/>
      <c r="J303" s="305"/>
      <c r="K303" s="305"/>
      <c r="L303" s="289"/>
      <c r="M303" s="258"/>
    </row>
    <row r="304" spans="1:13">
      <c r="A304" s="317"/>
      <c r="B304" s="318"/>
      <c r="C304" s="298"/>
      <c r="D304" s="253"/>
      <c r="E304" s="253"/>
      <c r="F304" s="253"/>
      <c r="G304" s="253"/>
      <c r="H304" s="305"/>
      <c r="I304" s="305"/>
      <c r="J304" s="305"/>
      <c r="K304" s="305"/>
      <c r="L304" s="289"/>
      <c r="M304" s="258"/>
    </row>
    <row r="305" spans="1:13">
      <c r="A305" s="317"/>
      <c r="B305" s="318"/>
      <c r="C305" s="298"/>
      <c r="D305" s="253"/>
      <c r="E305" s="253"/>
      <c r="F305" s="253"/>
      <c r="G305" s="253"/>
      <c r="H305" s="305"/>
      <c r="I305" s="305"/>
      <c r="J305" s="305"/>
      <c r="K305" s="305"/>
      <c r="L305" s="289"/>
      <c r="M305" s="258"/>
    </row>
    <row r="306" spans="1:13">
      <c r="A306" s="317"/>
      <c r="B306" s="318"/>
      <c r="C306" s="298"/>
      <c r="D306" s="253"/>
      <c r="E306" s="253"/>
      <c r="F306" s="253"/>
      <c r="G306" s="253"/>
      <c r="H306" s="305"/>
      <c r="I306" s="305"/>
      <c r="J306" s="305"/>
      <c r="K306" s="305"/>
      <c r="L306" s="289"/>
      <c r="M306" s="258"/>
    </row>
    <row r="307" spans="1:13">
      <c r="A307" s="317"/>
      <c r="B307" s="318"/>
      <c r="C307" s="298"/>
      <c r="D307" s="253"/>
      <c r="E307" s="253"/>
      <c r="F307" s="253"/>
      <c r="G307" s="253"/>
      <c r="H307" s="305"/>
      <c r="I307" s="305"/>
      <c r="J307" s="305"/>
      <c r="K307" s="305"/>
      <c r="L307" s="289"/>
      <c r="M307" s="258"/>
    </row>
    <row r="308" spans="1:13">
      <c r="A308" s="317"/>
      <c r="B308" s="318"/>
      <c r="C308" s="298"/>
      <c r="D308" s="253"/>
      <c r="E308" s="253"/>
      <c r="F308" s="253"/>
      <c r="G308" s="253"/>
      <c r="H308" s="305"/>
      <c r="I308" s="305"/>
      <c r="J308" s="305"/>
      <c r="K308" s="305"/>
      <c r="L308" s="289"/>
      <c r="M308" s="258"/>
    </row>
    <row r="309" spans="1:13">
      <c r="A309" s="317"/>
      <c r="B309" s="318"/>
      <c r="C309" s="298"/>
      <c r="D309" s="253"/>
      <c r="E309" s="253"/>
      <c r="F309" s="253"/>
      <c r="G309" s="253"/>
      <c r="H309" s="305"/>
      <c r="I309" s="305"/>
      <c r="J309" s="305"/>
      <c r="K309" s="305"/>
      <c r="L309" s="289"/>
      <c r="M309" s="258"/>
    </row>
    <row r="310" spans="1:13">
      <c r="A310" s="317"/>
      <c r="B310" s="318"/>
      <c r="C310" s="298"/>
      <c r="D310" s="253"/>
      <c r="E310" s="253"/>
      <c r="F310" s="253"/>
      <c r="G310" s="253"/>
      <c r="H310" s="305"/>
      <c r="I310" s="305"/>
      <c r="J310" s="305"/>
      <c r="K310" s="305"/>
      <c r="L310" s="289"/>
      <c r="M310" s="258"/>
    </row>
    <row r="311" spans="1:13">
      <c r="A311" s="317"/>
      <c r="B311" s="318"/>
      <c r="C311" s="298"/>
      <c r="D311" s="253"/>
      <c r="E311" s="253"/>
      <c r="F311" s="253"/>
      <c r="G311" s="253"/>
      <c r="H311" s="305"/>
      <c r="I311" s="305"/>
      <c r="J311" s="305"/>
      <c r="K311" s="305"/>
      <c r="L311" s="289"/>
      <c r="M311" s="258"/>
    </row>
    <row r="312" spans="1:13">
      <c r="A312" s="317"/>
      <c r="B312" s="318"/>
      <c r="C312" s="298"/>
      <c r="D312" s="253"/>
      <c r="E312" s="253"/>
      <c r="F312" s="253"/>
      <c r="G312" s="253"/>
      <c r="H312" s="305"/>
      <c r="I312" s="305"/>
      <c r="J312" s="305"/>
      <c r="K312" s="305"/>
      <c r="L312" s="289"/>
      <c r="M312" s="258"/>
    </row>
    <row r="313" spans="1:13">
      <c r="A313" s="317"/>
      <c r="B313" s="318"/>
      <c r="C313" s="298"/>
      <c r="D313" s="253"/>
      <c r="E313" s="253"/>
      <c r="F313" s="253"/>
      <c r="G313" s="253"/>
      <c r="H313" s="305"/>
      <c r="I313" s="305"/>
      <c r="J313" s="305"/>
      <c r="K313" s="305"/>
      <c r="L313" s="289"/>
      <c r="M313" s="258"/>
    </row>
    <row r="314" spans="1:13">
      <c r="A314" s="317"/>
      <c r="B314" s="318"/>
      <c r="C314" s="298"/>
      <c r="D314" s="253"/>
      <c r="E314" s="253"/>
      <c r="F314" s="253"/>
      <c r="G314" s="253"/>
      <c r="H314" s="305"/>
      <c r="I314" s="305"/>
      <c r="J314" s="305"/>
      <c r="K314" s="305"/>
      <c r="L314" s="289"/>
      <c r="M314" s="258"/>
    </row>
    <row r="315" spans="1:13">
      <c r="A315" s="317"/>
      <c r="B315" s="318"/>
      <c r="C315" s="298"/>
      <c r="D315" s="253"/>
      <c r="E315" s="253"/>
      <c r="F315" s="253"/>
      <c r="G315" s="253"/>
      <c r="H315" s="305"/>
      <c r="I315" s="305"/>
      <c r="J315" s="305"/>
      <c r="K315" s="305"/>
      <c r="L315" s="289"/>
      <c r="M315" s="258"/>
    </row>
    <row r="316" spans="1:13">
      <c r="A316" s="317"/>
      <c r="B316" s="318"/>
      <c r="C316" s="298"/>
      <c r="D316" s="253"/>
      <c r="E316" s="253"/>
      <c r="F316" s="253"/>
      <c r="G316" s="253"/>
      <c r="H316" s="305"/>
      <c r="I316" s="305"/>
      <c r="J316" s="305"/>
      <c r="K316" s="305"/>
      <c r="L316" s="289"/>
      <c r="M316" s="258"/>
    </row>
    <row r="317" spans="1:13">
      <c r="A317" s="317"/>
      <c r="B317" s="318"/>
      <c r="C317" s="298"/>
      <c r="D317" s="253"/>
      <c r="E317" s="253"/>
      <c r="F317" s="253"/>
      <c r="G317" s="253"/>
      <c r="H317" s="305"/>
      <c r="I317" s="305"/>
      <c r="J317" s="305"/>
      <c r="K317" s="305"/>
      <c r="L317" s="289"/>
      <c r="M317" s="258"/>
    </row>
    <row r="318" spans="1:13">
      <c r="A318" s="317"/>
      <c r="B318" s="318"/>
      <c r="C318" s="298"/>
      <c r="D318" s="253"/>
      <c r="E318" s="253"/>
      <c r="F318" s="253"/>
      <c r="G318" s="253"/>
      <c r="H318" s="305"/>
      <c r="I318" s="305"/>
      <c r="J318" s="305"/>
      <c r="K318" s="305"/>
      <c r="L318" s="289"/>
      <c r="M318" s="258"/>
    </row>
    <row r="319" spans="1:13">
      <c r="A319" s="317"/>
      <c r="B319" s="318"/>
      <c r="C319" s="298"/>
      <c r="D319" s="253"/>
      <c r="E319" s="253"/>
      <c r="F319" s="253"/>
      <c r="G319" s="253"/>
      <c r="H319" s="305"/>
      <c r="I319" s="305"/>
      <c r="J319" s="305"/>
      <c r="K319" s="305"/>
      <c r="L319" s="289"/>
      <c r="M319" s="258"/>
    </row>
    <row r="320" spans="1:13">
      <c r="A320" s="317"/>
      <c r="B320" s="318"/>
      <c r="C320" s="298"/>
      <c r="D320" s="253"/>
      <c r="E320" s="253"/>
      <c r="F320" s="253"/>
      <c r="G320" s="253"/>
      <c r="H320" s="305"/>
      <c r="I320" s="305"/>
      <c r="J320" s="305"/>
      <c r="K320" s="305"/>
      <c r="L320" s="289"/>
      <c r="M320" s="258"/>
    </row>
    <row r="321" spans="1:13">
      <c r="A321" s="317"/>
      <c r="B321" s="318"/>
      <c r="C321" s="298"/>
      <c r="D321" s="253"/>
      <c r="E321" s="253"/>
      <c r="F321" s="253"/>
      <c r="G321" s="253"/>
      <c r="H321" s="305"/>
      <c r="I321" s="305"/>
      <c r="J321" s="305"/>
      <c r="K321" s="305"/>
      <c r="L321" s="289"/>
      <c r="M321" s="258"/>
    </row>
    <row r="322" spans="1:13">
      <c r="A322" s="317"/>
      <c r="B322" s="318"/>
      <c r="C322" s="298"/>
      <c r="D322" s="253"/>
      <c r="E322" s="253"/>
      <c r="F322" s="253"/>
      <c r="G322" s="253"/>
      <c r="H322" s="305"/>
      <c r="I322" s="305"/>
      <c r="J322" s="305"/>
      <c r="K322" s="305"/>
      <c r="L322" s="289"/>
      <c r="M322" s="258"/>
    </row>
    <row r="323" spans="1:13">
      <c r="A323" s="317"/>
      <c r="B323" s="318"/>
      <c r="C323" s="298"/>
      <c r="D323" s="253"/>
      <c r="E323" s="253"/>
      <c r="F323" s="253"/>
      <c r="G323" s="253"/>
      <c r="H323" s="305"/>
      <c r="I323" s="305"/>
      <c r="J323" s="305"/>
      <c r="K323" s="305"/>
      <c r="L323" s="289"/>
      <c r="M323" s="258"/>
    </row>
    <row r="324" spans="1:13">
      <c r="A324" s="317"/>
      <c r="B324" s="318"/>
      <c r="C324" s="298"/>
      <c r="D324" s="253"/>
      <c r="E324" s="253"/>
      <c r="F324" s="253"/>
      <c r="G324" s="253"/>
      <c r="H324" s="305"/>
      <c r="I324" s="305"/>
      <c r="J324" s="305"/>
      <c r="K324" s="305"/>
      <c r="L324" s="289"/>
      <c r="M324" s="258"/>
    </row>
    <row r="325" spans="1:13">
      <c r="A325" s="317"/>
      <c r="B325" s="318"/>
      <c r="C325" s="298"/>
      <c r="D325" s="253"/>
      <c r="E325" s="253"/>
      <c r="F325" s="253"/>
      <c r="G325" s="253"/>
      <c r="H325" s="305"/>
      <c r="I325" s="305"/>
      <c r="J325" s="305"/>
      <c r="K325" s="305"/>
      <c r="L325" s="289"/>
      <c r="M325" s="258"/>
    </row>
    <row r="326" spans="1:13">
      <c r="A326" s="317"/>
      <c r="B326" s="318"/>
      <c r="C326" s="298"/>
      <c r="D326" s="253"/>
      <c r="E326" s="253"/>
      <c r="F326" s="253"/>
      <c r="G326" s="253"/>
      <c r="H326" s="305"/>
      <c r="I326" s="305"/>
      <c r="J326" s="305"/>
      <c r="K326" s="305"/>
      <c r="L326" s="289"/>
      <c r="M326" s="258"/>
    </row>
    <row r="327" spans="1:13">
      <c r="A327" s="317"/>
      <c r="B327" s="318"/>
      <c r="C327" s="298"/>
      <c r="D327" s="253"/>
      <c r="E327" s="253"/>
      <c r="F327" s="253"/>
      <c r="G327" s="253"/>
      <c r="H327" s="305"/>
      <c r="I327" s="305"/>
      <c r="J327" s="305"/>
      <c r="K327" s="305"/>
      <c r="L327" s="289"/>
      <c r="M327" s="258"/>
    </row>
    <row r="328" spans="1:13">
      <c r="A328" s="317"/>
      <c r="B328" s="318"/>
      <c r="C328" s="298"/>
      <c r="D328" s="253"/>
      <c r="E328" s="253"/>
      <c r="F328" s="253"/>
      <c r="G328" s="253"/>
      <c r="H328" s="305"/>
      <c r="I328" s="305"/>
      <c r="J328" s="305"/>
      <c r="K328" s="305"/>
      <c r="L328" s="289"/>
      <c r="M328" s="258"/>
    </row>
    <row r="329" spans="1:13">
      <c r="A329" s="317"/>
      <c r="B329" s="318"/>
      <c r="C329" s="298"/>
      <c r="D329" s="253"/>
      <c r="E329" s="253"/>
      <c r="F329" s="253"/>
      <c r="G329" s="253"/>
      <c r="H329" s="305"/>
      <c r="I329" s="305"/>
      <c r="J329" s="305"/>
      <c r="K329" s="305"/>
      <c r="L329" s="289"/>
      <c r="M329" s="258"/>
    </row>
    <row r="330" spans="1:13">
      <c r="A330" s="317"/>
      <c r="B330" s="318"/>
      <c r="C330" s="298"/>
      <c r="D330" s="253"/>
      <c r="E330" s="253"/>
      <c r="F330" s="253"/>
      <c r="G330" s="253"/>
      <c r="H330" s="305"/>
      <c r="I330" s="305"/>
      <c r="J330" s="305"/>
      <c r="K330" s="305"/>
      <c r="L330" s="289"/>
      <c r="M330" s="258"/>
    </row>
    <row r="331" spans="1:13">
      <c r="A331" s="317"/>
      <c r="B331" s="318"/>
      <c r="C331" s="298"/>
      <c r="D331" s="253"/>
      <c r="E331" s="253"/>
      <c r="F331" s="253"/>
      <c r="G331" s="253"/>
      <c r="H331" s="305"/>
      <c r="I331" s="305"/>
      <c r="J331" s="305"/>
      <c r="K331" s="305"/>
      <c r="L331" s="289"/>
      <c r="M331" s="258"/>
    </row>
    <row r="332" spans="1:13">
      <c r="A332" s="317"/>
      <c r="B332" s="318"/>
      <c r="C332" s="298"/>
      <c r="D332" s="253"/>
      <c r="E332" s="253"/>
      <c r="F332" s="253"/>
      <c r="G332" s="253"/>
      <c r="H332" s="305"/>
      <c r="I332" s="305"/>
      <c r="J332" s="305"/>
      <c r="K332" s="305"/>
      <c r="L332" s="289"/>
      <c r="M332" s="258"/>
    </row>
    <row r="333" spans="1:13">
      <c r="A333" s="317"/>
      <c r="B333" s="318"/>
      <c r="C333" s="298"/>
      <c r="D333" s="253"/>
      <c r="E333" s="253"/>
      <c r="F333" s="253"/>
      <c r="G333" s="253"/>
      <c r="H333" s="305"/>
      <c r="I333" s="305"/>
      <c r="J333" s="305"/>
      <c r="K333" s="305"/>
      <c r="L333" s="289"/>
      <c r="M333" s="258"/>
    </row>
    <row r="334" spans="1:13">
      <c r="A334" s="317"/>
      <c r="B334" s="318"/>
      <c r="C334" s="298"/>
      <c r="D334" s="253"/>
      <c r="E334" s="253"/>
      <c r="F334" s="253"/>
      <c r="G334" s="253"/>
      <c r="H334" s="305"/>
      <c r="I334" s="305"/>
      <c r="J334" s="305"/>
      <c r="K334" s="305"/>
      <c r="L334" s="289"/>
      <c r="M334" s="258"/>
    </row>
    <row r="335" spans="1:13">
      <c r="A335" s="317"/>
      <c r="B335" s="318"/>
      <c r="C335" s="298"/>
      <c r="D335" s="253"/>
      <c r="E335" s="253"/>
      <c r="F335" s="253"/>
      <c r="G335" s="253"/>
      <c r="H335" s="305"/>
      <c r="I335" s="305"/>
      <c r="J335" s="305"/>
      <c r="K335" s="305"/>
      <c r="L335" s="289"/>
      <c r="M335" s="258"/>
    </row>
    <row r="336" spans="1:13">
      <c r="A336" s="317"/>
      <c r="B336" s="318"/>
      <c r="C336" s="298"/>
      <c r="D336" s="253"/>
      <c r="E336" s="253"/>
      <c r="F336" s="253"/>
      <c r="G336" s="253"/>
      <c r="H336" s="305"/>
      <c r="I336" s="305"/>
      <c r="J336" s="305"/>
      <c r="K336" s="305"/>
      <c r="L336" s="289"/>
      <c r="M336" s="258"/>
    </row>
    <row r="337" spans="1:22">
      <c r="A337" s="317"/>
      <c r="B337" s="318"/>
      <c r="C337" s="298"/>
      <c r="D337" s="253"/>
      <c r="E337" s="253"/>
      <c r="F337" s="253"/>
      <c r="G337" s="253"/>
      <c r="H337" s="305"/>
      <c r="I337" s="305"/>
      <c r="J337" s="305"/>
      <c r="K337" s="305"/>
      <c r="L337" s="289"/>
      <c r="M337" s="258"/>
    </row>
    <row r="338" spans="1:22">
      <c r="E338" s="1957" t="s">
        <v>3068</v>
      </c>
      <c r="F338" s="1957"/>
      <c r="G338" s="1957"/>
      <c r="H338" s="1161"/>
      <c r="I338" s="1161"/>
      <c r="J338" s="1161"/>
      <c r="K338" s="1161"/>
    </row>
    <row r="339" spans="1:22">
      <c r="E339" s="1958" t="s">
        <v>2503</v>
      </c>
      <c r="F339" s="1958"/>
      <c r="G339" s="1958"/>
      <c r="H339" s="1162"/>
      <c r="I339" s="1162"/>
      <c r="J339" s="1162"/>
      <c r="K339" s="1162"/>
    </row>
    <row r="343" spans="1:22">
      <c r="A343" s="1959" t="s">
        <v>3069</v>
      </c>
      <c r="B343" s="1959"/>
    </row>
    <row r="344" spans="1:22" s="310" customFormat="1">
      <c r="A344" s="307" t="s">
        <v>3070</v>
      </c>
      <c r="B344" s="307"/>
      <c r="C344" s="308"/>
      <c r="D344" s="309"/>
      <c r="E344" s="309"/>
      <c r="F344" s="309"/>
      <c r="G344" s="309"/>
      <c r="H344" s="309"/>
      <c r="I344" s="309"/>
      <c r="J344" s="309"/>
      <c r="K344" s="309"/>
      <c r="M344" s="309"/>
    </row>
    <row r="345" spans="1:22" s="310" customFormat="1">
      <c r="A345" s="311" t="s">
        <v>3066</v>
      </c>
      <c r="B345" s="307"/>
      <c r="C345" s="308"/>
      <c r="D345" s="309"/>
      <c r="E345" s="309"/>
      <c r="F345" s="309"/>
      <c r="G345" s="309"/>
      <c r="H345" s="309"/>
      <c r="I345" s="309"/>
      <c r="J345" s="309"/>
      <c r="K345" s="309"/>
      <c r="M345" s="309"/>
    </row>
    <row r="346" spans="1:22" s="310" customFormat="1">
      <c r="A346" s="312" t="s">
        <v>3067</v>
      </c>
      <c r="B346" s="312"/>
      <c r="C346" s="308"/>
      <c r="D346" s="309"/>
      <c r="E346" s="309"/>
      <c r="F346" s="309"/>
      <c r="G346" s="309"/>
      <c r="H346" s="309"/>
      <c r="I346" s="309"/>
      <c r="J346" s="309"/>
      <c r="K346" s="309"/>
      <c r="M346" s="309"/>
    </row>
    <row r="347" spans="1:22" s="306" customFormat="1">
      <c r="A347" s="313"/>
      <c r="C347" s="274"/>
      <c r="D347" s="275"/>
      <c r="E347" s="275"/>
      <c r="F347" s="275"/>
      <c r="G347" s="275"/>
      <c r="H347" s="275"/>
      <c r="I347" s="275"/>
      <c r="J347" s="275"/>
      <c r="K347" s="275"/>
      <c r="L347" s="277"/>
      <c r="M347" s="275"/>
      <c r="N347" s="277"/>
      <c r="O347" s="277"/>
      <c r="P347" s="277"/>
      <c r="Q347" s="277"/>
      <c r="R347" s="277"/>
      <c r="S347" s="277"/>
      <c r="T347" s="277"/>
      <c r="U347" s="277"/>
      <c r="V347" s="277"/>
    </row>
  </sheetData>
  <sheetProtection formatCells="0" formatColumns="0" formatRows="0"/>
  <mergeCells count="17">
    <mergeCell ref="A1:B1"/>
    <mergeCell ref="A2:B2"/>
    <mergeCell ref="A3:G3"/>
    <mergeCell ref="A4:G4"/>
    <mergeCell ref="A7:A9"/>
    <mergeCell ref="B7:B9"/>
    <mergeCell ref="C7:C9"/>
    <mergeCell ref="D7:G7"/>
    <mergeCell ref="D8:D9"/>
    <mergeCell ref="E8:E9"/>
    <mergeCell ref="F8:F9"/>
    <mergeCell ref="G8:G9"/>
    <mergeCell ref="E338:G338"/>
    <mergeCell ref="E339:G339"/>
    <mergeCell ref="A343:B343"/>
    <mergeCell ref="E261:I261"/>
    <mergeCell ref="E262:I262"/>
  </mergeCells>
  <pageMargins left="0.44" right="0.19" top="0.37" bottom="0.75" header="0.3" footer="0.3"/>
  <pageSetup paperSize="9" scale="75" orientation="portrait" blackAndWhite="1"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764D-15C4-4A3D-BB14-C2479D03A5D2}">
  <sheetPr>
    <pageSetUpPr fitToPage="1"/>
  </sheetPr>
  <dimension ref="A1:M41"/>
  <sheetViews>
    <sheetView workbookViewId="0">
      <selection activeCell="D8" sqref="D8:F8"/>
    </sheetView>
  </sheetViews>
  <sheetFormatPr defaultRowHeight="15.75"/>
  <cols>
    <col min="1" max="1" width="4.42578125" style="1216" customWidth="1"/>
    <col min="2" max="2" width="32.5703125" style="1216" customWidth="1"/>
    <col min="3" max="3" width="12.5703125" style="1216" customWidth="1"/>
    <col min="4" max="4" width="11.140625" style="1216" customWidth="1"/>
    <col min="5" max="5" width="11.5703125" style="1216" customWidth="1"/>
    <col min="6" max="6" width="12.42578125" style="1216" customWidth="1"/>
    <col min="7" max="7" width="16.85546875" style="1216" customWidth="1"/>
    <col min="8" max="8" width="15.28515625" style="1216" customWidth="1"/>
    <col min="9" max="9" width="13.7109375" style="1216" customWidth="1"/>
    <col min="10" max="10" width="14" style="1216" customWidth="1"/>
    <col min="11" max="16384" width="9.140625" style="1216"/>
  </cols>
  <sheetData>
    <row r="1" spans="1:13">
      <c r="A1" s="1217" t="s">
        <v>0</v>
      </c>
      <c r="B1" s="1801"/>
      <c r="C1" s="1801"/>
      <c r="D1" s="1801"/>
      <c r="E1" s="1801"/>
      <c r="F1" s="1801"/>
      <c r="G1" s="1801"/>
      <c r="H1" s="1801"/>
      <c r="I1" s="1801"/>
      <c r="J1" s="1801"/>
    </row>
    <row r="2" spans="1:13">
      <c r="A2" s="1217" t="s">
        <v>3474</v>
      </c>
      <c r="B2" s="1217"/>
      <c r="C2" s="1218"/>
      <c r="D2" s="1218"/>
      <c r="J2" s="1219" t="s">
        <v>3287</v>
      </c>
    </row>
    <row r="4" spans="1:13" s="1221" customFormat="1" ht="39.75" customHeight="1">
      <c r="A4" s="1970" t="s">
        <v>3288</v>
      </c>
      <c r="B4" s="1970"/>
      <c r="C4" s="1970"/>
      <c r="D4" s="1970"/>
      <c r="E4" s="1970"/>
      <c r="F4" s="1970"/>
      <c r="G4" s="1970"/>
      <c r="H4" s="1970"/>
      <c r="I4" s="1970"/>
      <c r="J4" s="1970"/>
      <c r="K4" s="1220"/>
      <c r="L4" s="1220"/>
    </row>
    <row r="5" spans="1:13" ht="18.75">
      <c r="A5" s="1971" t="s">
        <v>3221</v>
      </c>
      <c r="B5" s="1971"/>
      <c r="C5" s="1971"/>
      <c r="D5" s="1971"/>
      <c r="E5" s="1971"/>
      <c r="F5" s="1971"/>
      <c r="G5" s="1971"/>
      <c r="H5" s="1971"/>
      <c r="I5" s="1971"/>
      <c r="J5" s="1971"/>
      <c r="K5" s="1222"/>
      <c r="L5" s="1222"/>
      <c r="M5" s="1222"/>
    </row>
    <row r="6" spans="1:13" ht="18.75">
      <c r="A6" s="1223"/>
      <c r="B6" s="1223"/>
      <c r="C6" s="1223"/>
      <c r="D6" s="1223"/>
      <c r="E6" s="1223"/>
      <c r="F6" s="1223"/>
      <c r="G6" s="1223"/>
      <c r="H6" s="1223"/>
      <c r="I6" s="1223"/>
      <c r="J6" s="1223"/>
      <c r="K6" s="1222"/>
      <c r="L6" s="1222"/>
      <c r="M6" s="1222"/>
    </row>
    <row r="7" spans="1:13">
      <c r="J7" s="1224" t="s">
        <v>2</v>
      </c>
    </row>
    <row r="8" spans="1:13" ht="48" customHeight="1">
      <c r="A8" s="1972" t="s">
        <v>3</v>
      </c>
      <c r="B8" s="1975" t="s">
        <v>3262</v>
      </c>
      <c r="C8" s="1975" t="s">
        <v>3289</v>
      </c>
      <c r="D8" s="1978" t="s">
        <v>3263</v>
      </c>
      <c r="E8" s="1979"/>
      <c r="F8" s="1980"/>
      <c r="G8" s="1978" t="s">
        <v>3264</v>
      </c>
      <c r="H8" s="1979"/>
      <c r="I8" s="1980"/>
      <c r="J8" s="1975" t="s">
        <v>3290</v>
      </c>
    </row>
    <row r="9" spans="1:13" ht="15.75" customHeight="1">
      <c r="A9" s="1973"/>
      <c r="B9" s="1976" t="s">
        <v>3262</v>
      </c>
      <c r="C9" s="1976"/>
      <c r="D9" s="1975" t="s">
        <v>115</v>
      </c>
      <c r="E9" s="1975" t="s">
        <v>3265</v>
      </c>
      <c r="F9" s="1975" t="s">
        <v>3266</v>
      </c>
      <c r="G9" s="1975" t="s">
        <v>3267</v>
      </c>
      <c r="H9" s="1975" t="s">
        <v>3268</v>
      </c>
      <c r="I9" s="1975" t="s">
        <v>3269</v>
      </c>
      <c r="J9" s="1976"/>
    </row>
    <row r="10" spans="1:13" ht="15.75" customHeight="1">
      <c r="A10" s="1973"/>
      <c r="B10" s="1976"/>
      <c r="C10" s="1976"/>
      <c r="D10" s="1976"/>
      <c r="E10" s="1976"/>
      <c r="F10" s="1976"/>
      <c r="G10" s="1976"/>
      <c r="H10" s="1981"/>
      <c r="I10" s="1976"/>
      <c r="J10" s="1976"/>
    </row>
    <row r="11" spans="1:13" ht="15.75" customHeight="1">
      <c r="A11" s="1973"/>
      <c r="B11" s="1976"/>
      <c r="C11" s="1976"/>
      <c r="D11" s="1976" t="s">
        <v>3270</v>
      </c>
      <c r="E11" s="1976"/>
      <c r="F11" s="1976"/>
      <c r="G11" s="1976"/>
      <c r="H11" s="1981"/>
      <c r="I11" s="1976"/>
      <c r="J11" s="1976"/>
    </row>
    <row r="12" spans="1:13" ht="15.75" customHeight="1">
      <c r="A12" s="1973"/>
      <c r="B12" s="1976"/>
      <c r="C12" s="1976"/>
      <c r="D12" s="1976"/>
      <c r="E12" s="1976"/>
      <c r="F12" s="1976"/>
      <c r="G12" s="1976"/>
      <c r="H12" s="1981"/>
      <c r="I12" s="1976"/>
      <c r="J12" s="1976"/>
    </row>
    <row r="13" spans="1:13" ht="15.75" customHeight="1">
      <c r="A13" s="1974"/>
      <c r="B13" s="1977"/>
      <c r="C13" s="1977"/>
      <c r="D13" s="1977"/>
      <c r="E13" s="1977"/>
      <c r="F13" s="1977"/>
      <c r="G13" s="1977"/>
      <c r="H13" s="1982"/>
      <c r="I13" s="1977"/>
      <c r="J13" s="1977"/>
    </row>
    <row r="14" spans="1:13" s="1226" customFormat="1" ht="25.5">
      <c r="A14" s="1225" t="s">
        <v>5</v>
      </c>
      <c r="B14" s="1225" t="s">
        <v>12</v>
      </c>
      <c r="C14" s="1225">
        <v>1</v>
      </c>
      <c r="D14" s="1225" t="s">
        <v>3271</v>
      </c>
      <c r="E14" s="1225">
        <v>3</v>
      </c>
      <c r="F14" s="1225">
        <v>4</v>
      </c>
      <c r="G14" s="1225" t="s">
        <v>3272</v>
      </c>
      <c r="H14" s="1225" t="s">
        <v>3273</v>
      </c>
      <c r="I14" s="1225" t="s">
        <v>3274</v>
      </c>
      <c r="J14" s="1225" t="s">
        <v>3291</v>
      </c>
    </row>
    <row r="15" spans="1:13" ht="19.5" customHeight="1">
      <c r="A15" s="1227"/>
      <c r="B15" s="1228" t="s">
        <v>115</v>
      </c>
      <c r="C15" s="1228"/>
      <c r="D15" s="1227"/>
      <c r="E15" s="1227"/>
      <c r="F15" s="1227"/>
      <c r="G15" s="1227"/>
      <c r="H15" s="1229"/>
      <c r="I15" s="1229"/>
      <c r="J15" s="1229"/>
    </row>
    <row r="16" spans="1:13" ht="15" customHeight="1">
      <c r="A16" s="1230" t="s">
        <v>13</v>
      </c>
      <c r="B16" s="1231" t="s">
        <v>3275</v>
      </c>
      <c r="C16" s="1232"/>
      <c r="D16" s="1233"/>
      <c r="E16" s="1233"/>
      <c r="F16" s="1233"/>
      <c r="G16" s="1233"/>
      <c r="H16" s="1234"/>
      <c r="I16" s="1234"/>
      <c r="J16" s="1234"/>
    </row>
    <row r="17" spans="1:10" ht="15" customHeight="1">
      <c r="A17" s="1235">
        <v>1</v>
      </c>
      <c r="B17" s="1236" t="s">
        <v>3276</v>
      </c>
      <c r="C17" s="1232"/>
      <c r="D17" s="1233"/>
      <c r="E17" s="1233"/>
      <c r="F17" s="1233"/>
      <c r="G17" s="1233"/>
      <c r="H17" s="1234"/>
      <c r="I17" s="1234"/>
      <c r="J17" s="1234"/>
    </row>
    <row r="18" spans="1:10" ht="15" customHeight="1">
      <c r="A18" s="1235">
        <v>2</v>
      </c>
      <c r="B18" s="1236" t="s">
        <v>3276</v>
      </c>
      <c r="C18" s="1232"/>
      <c r="D18" s="1233"/>
      <c r="E18" s="1233"/>
      <c r="F18" s="1233"/>
      <c r="G18" s="1233"/>
      <c r="H18" s="1234"/>
      <c r="I18" s="1234"/>
      <c r="J18" s="1234"/>
    </row>
    <row r="19" spans="1:10" ht="15" customHeight="1">
      <c r="A19" s="1235">
        <v>3</v>
      </c>
      <c r="B19" s="1237" t="s">
        <v>3277</v>
      </c>
      <c r="C19" s="1232"/>
      <c r="D19" s="1233"/>
      <c r="E19" s="1233"/>
      <c r="F19" s="1233"/>
      <c r="G19" s="1233"/>
      <c r="H19" s="1234"/>
      <c r="I19" s="1234"/>
      <c r="J19" s="1234"/>
    </row>
    <row r="20" spans="1:10" ht="15" customHeight="1">
      <c r="A20" s="1230" t="s">
        <v>65</v>
      </c>
      <c r="B20" s="1231" t="s">
        <v>3278</v>
      </c>
      <c r="C20" s="1232"/>
      <c r="D20" s="1233"/>
      <c r="E20" s="1233"/>
      <c r="F20" s="1233"/>
      <c r="G20" s="1233"/>
      <c r="H20" s="1234"/>
      <c r="I20" s="1234"/>
      <c r="J20" s="1234"/>
    </row>
    <row r="21" spans="1:10" ht="15" customHeight="1">
      <c r="A21" s="1238">
        <v>1</v>
      </c>
      <c r="B21" s="1239" t="s">
        <v>3279</v>
      </c>
      <c r="C21" s="1232"/>
      <c r="D21" s="1233"/>
      <c r="E21" s="1233"/>
      <c r="F21" s="1233"/>
      <c r="G21" s="1233"/>
      <c r="H21" s="1234"/>
      <c r="I21" s="1234"/>
      <c r="J21" s="1234"/>
    </row>
    <row r="22" spans="1:10" ht="15" customHeight="1">
      <c r="A22" s="1235"/>
      <c r="B22" s="1240" t="s">
        <v>44</v>
      </c>
      <c r="C22" s="1232"/>
      <c r="D22" s="1233"/>
      <c r="E22" s="1233"/>
      <c r="F22" s="1233"/>
      <c r="G22" s="1233"/>
      <c r="H22" s="1234"/>
      <c r="I22" s="1234"/>
      <c r="J22" s="1234"/>
    </row>
    <row r="23" spans="1:10" ht="15" customHeight="1">
      <c r="A23" s="1235"/>
      <c r="B23" s="1239" t="s">
        <v>3280</v>
      </c>
      <c r="C23" s="1232"/>
      <c r="D23" s="1233"/>
      <c r="E23" s="1233"/>
      <c r="F23" s="1233"/>
      <c r="G23" s="1233"/>
      <c r="H23" s="1234"/>
      <c r="I23" s="1234"/>
      <c r="J23" s="1234"/>
    </row>
    <row r="24" spans="1:10" ht="15" customHeight="1">
      <c r="A24" s="1235"/>
      <c r="B24" s="1236" t="s">
        <v>3276</v>
      </c>
      <c r="C24" s="1232"/>
      <c r="D24" s="1233"/>
      <c r="E24" s="1233"/>
      <c r="F24" s="1233"/>
      <c r="G24" s="1233"/>
      <c r="H24" s="1234"/>
      <c r="I24" s="1234"/>
      <c r="J24" s="1234"/>
    </row>
    <row r="25" spans="1:10" ht="15" customHeight="1">
      <c r="A25" s="1235"/>
      <c r="B25" s="1236" t="s">
        <v>3276</v>
      </c>
      <c r="C25" s="1232"/>
      <c r="D25" s="1233"/>
      <c r="E25" s="1233"/>
      <c r="F25" s="1233"/>
      <c r="G25" s="1233"/>
      <c r="H25" s="1234"/>
      <c r="I25" s="1234"/>
      <c r="J25" s="1234"/>
    </row>
    <row r="26" spans="1:10" ht="15" customHeight="1">
      <c r="A26" s="1235"/>
      <c r="B26" s="1239" t="s">
        <v>3280</v>
      </c>
      <c r="C26" s="1232"/>
      <c r="D26" s="1233"/>
      <c r="E26" s="1233"/>
      <c r="F26" s="1233"/>
      <c r="G26" s="1233"/>
      <c r="H26" s="1234"/>
      <c r="I26" s="1234"/>
      <c r="J26" s="1234"/>
    </row>
    <row r="27" spans="1:10" ht="15" customHeight="1">
      <c r="A27" s="1235"/>
      <c r="B27" s="1236" t="s">
        <v>3276</v>
      </c>
      <c r="C27" s="1232"/>
      <c r="D27" s="1233"/>
      <c r="E27" s="1233"/>
      <c r="F27" s="1233"/>
      <c r="G27" s="1233"/>
      <c r="H27" s="1234"/>
      <c r="I27" s="1234"/>
      <c r="J27" s="1234"/>
    </row>
    <row r="28" spans="1:10" ht="15" customHeight="1">
      <c r="A28" s="1235"/>
      <c r="B28" s="1236" t="s">
        <v>3276</v>
      </c>
      <c r="C28" s="1232"/>
      <c r="D28" s="1233"/>
      <c r="E28" s="1233"/>
      <c r="F28" s="1233"/>
      <c r="G28" s="1233"/>
      <c r="H28" s="1234"/>
      <c r="I28" s="1234"/>
      <c r="J28" s="1234"/>
    </row>
    <row r="29" spans="1:10" ht="15" customHeight="1">
      <c r="A29" s="1235"/>
      <c r="B29" s="1239" t="s">
        <v>3281</v>
      </c>
      <c r="C29" s="1232"/>
      <c r="D29" s="1233"/>
      <c r="E29" s="1233"/>
      <c r="F29" s="1233"/>
      <c r="G29" s="1233"/>
      <c r="H29" s="1234"/>
      <c r="I29" s="1234"/>
      <c r="J29" s="1234"/>
    </row>
    <row r="30" spans="1:10">
      <c r="A30" s="1235"/>
      <c r="B30" s="1236" t="s">
        <v>3276</v>
      </c>
      <c r="C30" s="1235"/>
      <c r="D30" s="1233"/>
      <c r="E30" s="1233"/>
      <c r="F30" s="1233"/>
      <c r="G30" s="1233"/>
      <c r="H30" s="1234"/>
      <c r="I30" s="1234"/>
      <c r="J30" s="1234"/>
    </row>
    <row r="31" spans="1:10">
      <c r="A31" s="1235"/>
      <c r="B31" s="1236" t="s">
        <v>3276</v>
      </c>
      <c r="C31" s="1235"/>
      <c r="D31" s="1233"/>
      <c r="E31" s="1233"/>
      <c r="F31" s="1233"/>
      <c r="G31" s="1233"/>
      <c r="H31" s="1234"/>
      <c r="I31" s="1234"/>
      <c r="J31" s="1234"/>
    </row>
    <row r="32" spans="1:10">
      <c r="A32" s="1235"/>
      <c r="B32" s="1239" t="s">
        <v>3281</v>
      </c>
      <c r="C32" s="1235"/>
      <c r="D32" s="1233"/>
      <c r="E32" s="1233"/>
      <c r="F32" s="1233"/>
      <c r="G32" s="1233"/>
      <c r="H32" s="1234"/>
      <c r="I32" s="1234"/>
      <c r="J32" s="1234"/>
    </row>
    <row r="33" spans="1:10">
      <c r="A33" s="1235"/>
      <c r="B33" s="1236" t="s">
        <v>3276</v>
      </c>
      <c r="C33" s="1235"/>
      <c r="D33" s="1233"/>
      <c r="E33" s="1233"/>
      <c r="F33" s="1233"/>
      <c r="G33" s="1233"/>
      <c r="H33" s="1234"/>
      <c r="I33" s="1234"/>
      <c r="J33" s="1234"/>
    </row>
    <row r="34" spans="1:10">
      <c r="A34" s="1235"/>
      <c r="B34" s="1236" t="s">
        <v>3276</v>
      </c>
      <c r="C34" s="1235"/>
      <c r="D34" s="1233"/>
      <c r="E34" s="1233"/>
      <c r="F34" s="1233"/>
      <c r="G34" s="1233"/>
      <c r="H34" s="1234"/>
      <c r="I34" s="1234"/>
      <c r="J34" s="1234"/>
    </row>
    <row r="35" spans="1:10">
      <c r="A35" s="1238">
        <v>2</v>
      </c>
      <c r="B35" s="1239" t="s">
        <v>3282</v>
      </c>
      <c r="C35" s="1235"/>
      <c r="D35" s="1233"/>
      <c r="E35" s="1233"/>
      <c r="F35" s="1233"/>
      <c r="G35" s="1233"/>
      <c r="H35" s="1234"/>
      <c r="I35" s="1234"/>
      <c r="J35" s="1234"/>
    </row>
    <row r="36" spans="1:10">
      <c r="A36" s="1241"/>
      <c r="B36" s="1242" t="s">
        <v>3283</v>
      </c>
      <c r="C36" s="1235"/>
      <c r="D36" s="1233"/>
      <c r="E36" s="1233"/>
      <c r="F36" s="1233"/>
      <c r="G36" s="1233"/>
      <c r="H36" s="1234"/>
      <c r="I36" s="1234"/>
      <c r="J36" s="1234"/>
    </row>
    <row r="37" spans="1:10">
      <c r="A37" s="1243"/>
      <c r="B37" s="1244"/>
      <c r="C37" s="1243"/>
      <c r="D37" s="1243"/>
      <c r="E37" s="1243"/>
      <c r="F37" s="1243"/>
      <c r="G37" s="1243"/>
      <c r="H37" s="1245"/>
      <c r="I37" s="1245"/>
      <c r="J37" s="1245"/>
    </row>
    <row r="39" spans="1:10" ht="16.5">
      <c r="J39" s="1246" t="s">
        <v>3259</v>
      </c>
    </row>
    <row r="40" spans="1:10" ht="16.5">
      <c r="J40" s="1214" t="s">
        <v>3260</v>
      </c>
    </row>
    <row r="41" spans="1:10" ht="16.5">
      <c r="J41" s="1180" t="s">
        <v>3261</v>
      </c>
    </row>
  </sheetData>
  <mergeCells count="14">
    <mergeCell ref="A4:J4"/>
    <mergeCell ref="A5:J5"/>
    <mergeCell ref="A8:A13"/>
    <mergeCell ref="B8:B13"/>
    <mergeCell ref="C8:C13"/>
    <mergeCell ref="D8:F8"/>
    <mergeCell ref="G8:I8"/>
    <mergeCell ref="J8:J13"/>
    <mergeCell ref="D9:D13"/>
    <mergeCell ref="E9:E13"/>
    <mergeCell ref="F9:F13"/>
    <mergeCell ref="G9:G13"/>
    <mergeCell ref="H9:H13"/>
    <mergeCell ref="I9:I13"/>
  </mergeCells>
  <printOptions horizontalCentered="1"/>
  <pageMargins left="0.7" right="0.7" top="0.75" bottom="0.75" header="0.3" footer="0.3"/>
  <pageSetup paperSize="9" scale="7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EFF0A-0BDA-47B9-89F7-62B0C8D1C62F}">
  <sheetPr>
    <pageSetUpPr fitToPage="1"/>
  </sheetPr>
  <dimension ref="A1:M41"/>
  <sheetViews>
    <sheetView zoomScale="115" zoomScaleNormal="115" workbookViewId="0">
      <selection activeCell="D8" sqref="D8:F8"/>
    </sheetView>
  </sheetViews>
  <sheetFormatPr defaultRowHeight="15.75"/>
  <cols>
    <col min="1" max="1" width="4.42578125" style="1247" customWidth="1"/>
    <col min="2" max="2" width="32.5703125" style="1216" customWidth="1"/>
    <col min="3" max="3" width="12.5703125" style="1216" customWidth="1"/>
    <col min="4" max="4" width="11.140625" style="1216" customWidth="1"/>
    <col min="5" max="5" width="11.5703125" style="1216" customWidth="1"/>
    <col min="6" max="6" width="12.42578125" style="1216" customWidth="1"/>
    <col min="7" max="7" width="10.85546875" style="1216" customWidth="1"/>
    <col min="8" max="8" width="13" style="1216" customWidth="1"/>
    <col min="9" max="16384" width="9.140625" style="1216"/>
  </cols>
  <sheetData>
    <row r="1" spans="1:13">
      <c r="A1" s="1217" t="s">
        <v>0</v>
      </c>
      <c r="B1" s="1801"/>
      <c r="C1" s="1801"/>
      <c r="D1" s="1801"/>
      <c r="E1" s="1801"/>
      <c r="F1" s="1801"/>
      <c r="G1" s="1801"/>
      <c r="H1" s="1801"/>
    </row>
    <row r="2" spans="1:13">
      <c r="A2" s="1802" t="s">
        <v>3475</v>
      </c>
      <c r="B2" s="1217"/>
      <c r="C2" s="1218"/>
      <c r="D2" s="1218"/>
      <c r="H2" s="1219" t="s">
        <v>3292</v>
      </c>
    </row>
    <row r="4" spans="1:13" s="1221" customFormat="1" ht="37.5" customHeight="1">
      <c r="A4" s="1970" t="s">
        <v>3293</v>
      </c>
      <c r="B4" s="1970"/>
      <c r="C4" s="1970"/>
      <c r="D4" s="1970"/>
      <c r="E4" s="1970"/>
      <c r="F4" s="1970"/>
      <c r="G4" s="1970"/>
      <c r="H4" s="1970"/>
      <c r="I4" s="1220"/>
      <c r="J4" s="1220"/>
    </row>
    <row r="5" spans="1:13" s="1221" customFormat="1" ht="25.5" customHeight="1">
      <c r="A5" s="1971" t="s">
        <v>3221</v>
      </c>
      <c r="B5" s="1971"/>
      <c r="C5" s="1971"/>
      <c r="D5" s="1971"/>
      <c r="E5" s="1971"/>
      <c r="F5" s="1971"/>
      <c r="G5" s="1971"/>
      <c r="H5" s="1971"/>
      <c r="I5" s="1222"/>
      <c r="J5" s="1222"/>
      <c r="K5" s="1222"/>
      <c r="L5" s="1222"/>
      <c r="M5" s="1222"/>
    </row>
    <row r="6" spans="1:13">
      <c r="G6" s="1248"/>
    </row>
    <row r="7" spans="1:13">
      <c r="H7" s="1224" t="s">
        <v>2</v>
      </c>
    </row>
    <row r="8" spans="1:13" ht="32.450000000000003" customHeight="1">
      <c r="A8" s="1972" t="s">
        <v>3</v>
      </c>
      <c r="B8" s="1975" t="s">
        <v>3262</v>
      </c>
      <c r="C8" s="1975" t="s">
        <v>3294</v>
      </c>
      <c r="D8" s="1978" t="s">
        <v>3263</v>
      </c>
      <c r="E8" s="1979"/>
      <c r="F8" s="1980"/>
      <c r="G8" s="1975" t="s">
        <v>3284</v>
      </c>
      <c r="H8" s="1975" t="s">
        <v>3295</v>
      </c>
    </row>
    <row r="9" spans="1:13" ht="15.75" customHeight="1">
      <c r="A9" s="1973"/>
      <c r="B9" s="1976" t="s">
        <v>3262</v>
      </c>
      <c r="C9" s="1976"/>
      <c r="D9" s="1975" t="s">
        <v>115</v>
      </c>
      <c r="E9" s="1975" t="s">
        <v>3265</v>
      </c>
      <c r="F9" s="1975" t="s">
        <v>3266</v>
      </c>
      <c r="G9" s="1981"/>
      <c r="H9" s="1976"/>
    </row>
    <row r="10" spans="1:13" ht="15.75" customHeight="1">
      <c r="A10" s="1973"/>
      <c r="B10" s="1976"/>
      <c r="C10" s="1976"/>
      <c r="D10" s="1976"/>
      <c r="E10" s="1976"/>
      <c r="F10" s="1976"/>
      <c r="G10" s="1981"/>
      <c r="H10" s="1976"/>
    </row>
    <row r="11" spans="1:13" ht="15.75" customHeight="1">
      <c r="A11" s="1973"/>
      <c r="B11" s="1976"/>
      <c r="C11" s="1976"/>
      <c r="D11" s="1976" t="s">
        <v>3270</v>
      </c>
      <c r="E11" s="1976"/>
      <c r="F11" s="1976"/>
      <c r="G11" s="1981"/>
      <c r="H11" s="1976"/>
    </row>
    <row r="12" spans="1:13" ht="15.75" customHeight="1">
      <c r="A12" s="1973"/>
      <c r="B12" s="1976"/>
      <c r="C12" s="1976"/>
      <c r="D12" s="1976"/>
      <c r="E12" s="1976"/>
      <c r="F12" s="1976"/>
      <c r="G12" s="1981"/>
      <c r="H12" s="1976"/>
    </row>
    <row r="13" spans="1:13" ht="15.75" customHeight="1">
      <c r="A13" s="1974"/>
      <c r="B13" s="1977"/>
      <c r="C13" s="1977"/>
      <c r="D13" s="1977"/>
      <c r="E13" s="1977"/>
      <c r="F13" s="1977"/>
      <c r="G13" s="1982"/>
      <c r="H13" s="1977"/>
    </row>
    <row r="14" spans="1:13" s="1226" customFormat="1" ht="12.75">
      <c r="A14" s="1225" t="s">
        <v>5</v>
      </c>
      <c r="B14" s="1225" t="s">
        <v>12</v>
      </c>
      <c r="C14" s="1225">
        <v>1</v>
      </c>
      <c r="D14" s="1225" t="s">
        <v>3285</v>
      </c>
      <c r="E14" s="1225">
        <v>3</v>
      </c>
      <c r="F14" s="1225">
        <v>4</v>
      </c>
      <c r="G14" s="1225" t="s">
        <v>3286</v>
      </c>
      <c r="H14" s="1225" t="s">
        <v>3296</v>
      </c>
    </row>
    <row r="15" spans="1:13" ht="15" customHeight="1">
      <c r="A15" s="1227"/>
      <c r="B15" s="1228" t="s">
        <v>115</v>
      </c>
      <c r="C15" s="1228"/>
      <c r="D15" s="1227"/>
      <c r="E15" s="1227"/>
      <c r="F15" s="1227"/>
      <c r="G15" s="1227"/>
      <c r="H15" s="1229"/>
    </row>
    <row r="16" spans="1:13" ht="18" customHeight="1">
      <c r="A16" s="1230" t="s">
        <v>13</v>
      </c>
      <c r="B16" s="1231" t="s">
        <v>3275</v>
      </c>
      <c r="C16" s="1249"/>
      <c r="D16" s="1250"/>
      <c r="E16" s="1250"/>
      <c r="F16" s="1250"/>
      <c r="G16" s="1250"/>
      <c r="H16" s="1251"/>
    </row>
    <row r="17" spans="1:8" ht="15" customHeight="1">
      <c r="A17" s="1235">
        <v>1</v>
      </c>
      <c r="B17" s="1236" t="s">
        <v>3276</v>
      </c>
      <c r="C17" s="1232"/>
      <c r="D17" s="1233"/>
      <c r="E17" s="1233"/>
      <c r="F17" s="1233"/>
      <c r="G17" s="1233"/>
      <c r="H17" s="1234"/>
    </row>
    <row r="18" spans="1:8" ht="15" customHeight="1">
      <c r="A18" s="1235">
        <v>2</v>
      </c>
      <c r="B18" s="1236" t="s">
        <v>3276</v>
      </c>
      <c r="C18" s="1232"/>
      <c r="D18" s="1233"/>
      <c r="E18" s="1233"/>
      <c r="F18" s="1233"/>
      <c r="G18" s="1233"/>
      <c r="H18" s="1234"/>
    </row>
    <row r="19" spans="1:8" ht="15" customHeight="1">
      <c r="A19" s="1235">
        <v>3</v>
      </c>
      <c r="B19" s="1237" t="s">
        <v>3277</v>
      </c>
      <c r="C19" s="1232"/>
      <c r="D19" s="1233"/>
      <c r="E19" s="1233"/>
      <c r="F19" s="1233"/>
      <c r="G19" s="1233"/>
      <c r="H19" s="1234"/>
    </row>
    <row r="20" spans="1:8" ht="15" customHeight="1">
      <c r="A20" s="1230" t="s">
        <v>65</v>
      </c>
      <c r="B20" s="1231" t="s">
        <v>3278</v>
      </c>
      <c r="C20" s="1232"/>
      <c r="D20" s="1233"/>
      <c r="E20" s="1233"/>
      <c r="F20" s="1233"/>
      <c r="G20" s="1233"/>
      <c r="H20" s="1234"/>
    </row>
    <row r="21" spans="1:8" ht="15" customHeight="1">
      <c r="A21" s="1238">
        <v>1</v>
      </c>
      <c r="B21" s="1239" t="s">
        <v>3279</v>
      </c>
      <c r="C21" s="1232"/>
      <c r="D21" s="1233"/>
      <c r="E21" s="1233"/>
      <c r="F21" s="1233"/>
      <c r="G21" s="1233"/>
      <c r="H21" s="1234"/>
    </row>
    <row r="22" spans="1:8">
      <c r="A22" s="1235"/>
      <c r="B22" s="1240" t="s">
        <v>44</v>
      </c>
      <c r="C22" s="1235"/>
      <c r="D22" s="1233"/>
      <c r="E22" s="1233"/>
      <c r="F22" s="1233"/>
      <c r="G22" s="1233"/>
      <c r="H22" s="1234"/>
    </row>
    <row r="23" spans="1:8">
      <c r="A23" s="1235"/>
      <c r="B23" s="1239" t="s">
        <v>3280</v>
      </c>
      <c r="C23" s="1235"/>
      <c r="D23" s="1233"/>
      <c r="E23" s="1233"/>
      <c r="F23" s="1233"/>
      <c r="G23" s="1233"/>
      <c r="H23" s="1234"/>
    </row>
    <row r="24" spans="1:8">
      <c r="A24" s="1235"/>
      <c r="B24" s="1236" t="s">
        <v>3276</v>
      </c>
      <c r="C24" s="1235"/>
      <c r="D24" s="1233"/>
      <c r="E24" s="1233"/>
      <c r="F24" s="1233"/>
      <c r="G24" s="1233"/>
      <c r="H24" s="1234"/>
    </row>
    <row r="25" spans="1:8">
      <c r="A25" s="1235"/>
      <c r="B25" s="1236" t="s">
        <v>3276</v>
      </c>
      <c r="C25" s="1235"/>
      <c r="D25" s="1233"/>
      <c r="E25" s="1233"/>
      <c r="F25" s="1233"/>
      <c r="G25" s="1233"/>
      <c r="H25" s="1234"/>
    </row>
    <row r="26" spans="1:8">
      <c r="A26" s="1235"/>
      <c r="B26" s="1239" t="s">
        <v>3280</v>
      </c>
      <c r="C26" s="1235"/>
      <c r="D26" s="1233"/>
      <c r="E26" s="1233"/>
      <c r="F26" s="1233"/>
      <c r="G26" s="1233"/>
      <c r="H26" s="1234"/>
    </row>
    <row r="27" spans="1:8">
      <c r="A27" s="1235"/>
      <c r="B27" s="1236" t="s">
        <v>3276</v>
      </c>
      <c r="C27" s="1235"/>
      <c r="D27" s="1233"/>
      <c r="E27" s="1233"/>
      <c r="F27" s="1233"/>
      <c r="G27" s="1233"/>
      <c r="H27" s="1234"/>
    </row>
    <row r="28" spans="1:8">
      <c r="A28" s="1235"/>
      <c r="B28" s="1236" t="s">
        <v>3276</v>
      </c>
      <c r="C28" s="1235"/>
      <c r="D28" s="1233"/>
      <c r="E28" s="1233"/>
      <c r="F28" s="1233"/>
      <c r="G28" s="1233"/>
      <c r="H28" s="1234"/>
    </row>
    <row r="29" spans="1:8">
      <c r="A29" s="1235"/>
      <c r="B29" s="1239" t="s">
        <v>3281</v>
      </c>
      <c r="C29" s="1235"/>
      <c r="D29" s="1233"/>
      <c r="E29" s="1233"/>
      <c r="F29" s="1233"/>
      <c r="G29" s="1233"/>
      <c r="H29" s="1234"/>
    </row>
    <row r="30" spans="1:8">
      <c r="A30" s="1235"/>
      <c r="B30" s="1236" t="s">
        <v>3276</v>
      </c>
      <c r="C30" s="1235"/>
      <c r="D30" s="1233"/>
      <c r="E30" s="1233"/>
      <c r="F30" s="1233"/>
      <c r="G30" s="1233"/>
      <c r="H30" s="1234"/>
    </row>
    <row r="31" spans="1:8">
      <c r="A31" s="1235"/>
      <c r="B31" s="1236" t="s">
        <v>3276</v>
      </c>
      <c r="C31" s="1235"/>
      <c r="D31" s="1233"/>
      <c r="E31" s="1233"/>
      <c r="F31" s="1233"/>
      <c r="G31" s="1233"/>
      <c r="H31" s="1234"/>
    </row>
    <row r="32" spans="1:8">
      <c r="A32" s="1235"/>
      <c r="B32" s="1239" t="s">
        <v>3281</v>
      </c>
      <c r="C32" s="1235"/>
      <c r="D32" s="1233"/>
      <c r="E32" s="1233"/>
      <c r="F32" s="1233"/>
      <c r="G32" s="1233"/>
      <c r="H32" s="1234"/>
    </row>
    <row r="33" spans="1:8">
      <c r="A33" s="1235"/>
      <c r="B33" s="1236" t="s">
        <v>3276</v>
      </c>
      <c r="C33" s="1235"/>
      <c r="D33" s="1233"/>
      <c r="E33" s="1233"/>
      <c r="F33" s="1233"/>
      <c r="G33" s="1233"/>
      <c r="H33" s="1234"/>
    </row>
    <row r="34" spans="1:8">
      <c r="A34" s="1235"/>
      <c r="B34" s="1236" t="s">
        <v>3276</v>
      </c>
      <c r="C34" s="1233"/>
      <c r="D34" s="1233"/>
      <c r="E34" s="1233"/>
      <c r="F34" s="1233"/>
      <c r="G34" s="1233"/>
      <c r="H34" s="1234"/>
    </row>
    <row r="35" spans="1:8">
      <c r="A35" s="1238">
        <v>2</v>
      </c>
      <c r="B35" s="1239" t="s">
        <v>3282</v>
      </c>
      <c r="C35" s="1252"/>
      <c r="D35" s="1252"/>
      <c r="E35" s="1252"/>
      <c r="F35" s="1252"/>
      <c r="G35" s="1252"/>
      <c r="H35" s="1253"/>
    </row>
    <row r="36" spans="1:8">
      <c r="A36" s="1241"/>
      <c r="B36" s="1242" t="s">
        <v>3283</v>
      </c>
      <c r="C36" s="1252"/>
      <c r="D36" s="1252"/>
      <c r="E36" s="1252"/>
      <c r="F36" s="1252"/>
      <c r="G36" s="1252"/>
      <c r="H36" s="1253"/>
    </row>
    <row r="37" spans="1:8">
      <c r="A37" s="1243"/>
      <c r="B37" s="1244"/>
      <c r="C37" s="1243"/>
      <c r="D37" s="1243"/>
      <c r="E37" s="1243"/>
      <c r="F37" s="1243"/>
      <c r="G37" s="1243"/>
      <c r="H37" s="1245"/>
    </row>
    <row r="39" spans="1:8" ht="15.75" customHeight="1">
      <c r="E39" s="1983"/>
      <c r="F39" s="1983"/>
      <c r="G39" s="1983"/>
      <c r="H39" s="1983"/>
    </row>
    <row r="40" spans="1:8" ht="16.5">
      <c r="A40" s="1254"/>
      <c r="H40" s="1214" t="s">
        <v>3430</v>
      </c>
    </row>
    <row r="41" spans="1:8" ht="16.5">
      <c r="A41" s="1255"/>
      <c r="B41" s="1256"/>
      <c r="C41" s="1256"/>
      <c r="H41" s="1180"/>
    </row>
  </sheetData>
  <mergeCells count="12">
    <mergeCell ref="E39:H39"/>
    <mergeCell ref="E9:E13"/>
    <mergeCell ref="F9:F13"/>
    <mergeCell ref="A4:H4"/>
    <mergeCell ref="A5:H5"/>
    <mergeCell ref="A8:A13"/>
    <mergeCell ref="B8:B13"/>
    <mergeCell ref="C8:C13"/>
    <mergeCell ref="D8:F8"/>
    <mergeCell ref="G8:G13"/>
    <mergeCell ref="H8:H13"/>
    <mergeCell ref="D9:D13"/>
  </mergeCells>
  <printOptions horizontalCentered="1"/>
  <pageMargins left="0.7" right="0.7" top="0.75" bottom="0.75" header="0.3" footer="0.3"/>
  <pageSetup paperSize="9" scale="8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Q125"/>
  <sheetViews>
    <sheetView showZeros="0" topLeftCell="A4" zoomScale="85" zoomScaleNormal="85" workbookViewId="0">
      <selection activeCell="G11" sqref="G11"/>
    </sheetView>
  </sheetViews>
  <sheetFormatPr defaultColWidth="9.140625" defaultRowHeight="15.75"/>
  <cols>
    <col min="1" max="1" width="5.7109375" style="507" customWidth="1"/>
    <col min="2" max="2" width="45.85546875" style="515" customWidth="1"/>
    <col min="3" max="4" width="7.7109375" style="507" customWidth="1"/>
    <col min="5" max="5" width="7.85546875" style="507" customWidth="1"/>
    <col min="6" max="6" width="11.42578125" style="514" customWidth="1"/>
    <col min="7" max="7" width="16" style="514" customWidth="1"/>
    <col min="8" max="8" width="11.85546875" style="514" customWidth="1"/>
    <col min="9" max="9" width="7.7109375" style="514" customWidth="1"/>
    <col min="10" max="10" width="10.42578125" style="514" customWidth="1"/>
    <col min="11" max="11" width="10.85546875" style="515" customWidth="1"/>
    <col min="12" max="12" width="10.7109375" style="514" customWidth="1"/>
    <col min="13" max="13" width="12.28515625" style="515" customWidth="1"/>
    <col min="14" max="14" width="9.5703125" style="515" customWidth="1"/>
    <col min="15" max="15" width="8.7109375" style="515" customWidth="1"/>
    <col min="16" max="16" width="12" style="515" customWidth="1"/>
    <col min="17" max="17" width="12.42578125" style="515" customWidth="1"/>
    <col min="18" max="16384" width="9.140625" style="515"/>
  </cols>
  <sheetData>
    <row r="1" spans="1:17">
      <c r="A1" s="1988" t="s">
        <v>3058</v>
      </c>
      <c r="B1" s="1988"/>
      <c r="G1" s="523"/>
      <c r="H1" s="523"/>
      <c r="I1" s="523"/>
      <c r="J1" s="523"/>
    </row>
    <row r="2" spans="1:17">
      <c r="A2" s="1988"/>
      <c r="B2" s="1988"/>
    </row>
    <row r="3" spans="1:17" ht="48.6" customHeight="1">
      <c r="A3" s="1989" t="s">
        <v>3071</v>
      </c>
      <c r="B3" s="1989"/>
      <c r="C3" s="1989"/>
      <c r="D3" s="1989"/>
      <c r="E3" s="1989"/>
      <c r="F3" s="1989"/>
      <c r="G3" s="521"/>
      <c r="H3" s="521"/>
      <c r="I3" s="521"/>
      <c r="J3" s="521"/>
    </row>
    <row r="4" spans="1:17">
      <c r="A4" s="1990" t="s">
        <v>1</v>
      </c>
      <c r="B4" s="1990"/>
      <c r="C4" s="1990"/>
      <c r="D4" s="1990"/>
      <c r="E4" s="1990"/>
      <c r="F4" s="1990"/>
      <c r="G4" s="507"/>
      <c r="H4" s="507"/>
      <c r="I4" s="507"/>
      <c r="J4" s="507"/>
    </row>
    <row r="5" spans="1:17">
      <c r="B5" s="507"/>
    </row>
    <row r="6" spans="1:17">
      <c r="B6" s="507"/>
      <c r="G6" s="516"/>
      <c r="H6" s="516"/>
      <c r="I6" s="516"/>
      <c r="J6" s="516"/>
    </row>
    <row r="7" spans="1:17" ht="79.900000000000006" customHeight="1">
      <c r="A7" s="1991" t="s">
        <v>3</v>
      </c>
      <c r="B7" s="1985" t="s">
        <v>3085</v>
      </c>
      <c r="C7" s="1985" t="s">
        <v>3086</v>
      </c>
      <c r="D7" s="1985"/>
      <c r="E7" s="1985"/>
      <c r="F7" s="1986" t="s">
        <v>3072</v>
      </c>
      <c r="G7" s="1986" t="s">
        <v>3073</v>
      </c>
      <c r="H7" s="1986"/>
      <c r="I7" s="1986" t="s">
        <v>3074</v>
      </c>
      <c r="J7" s="1986" t="s">
        <v>2512</v>
      </c>
      <c r="K7" s="1986"/>
      <c r="L7" s="1986"/>
      <c r="M7" s="1985" t="s">
        <v>3075</v>
      </c>
      <c r="N7" s="1985"/>
      <c r="O7" s="1985" t="s">
        <v>3076</v>
      </c>
      <c r="P7" s="1985" t="s">
        <v>3077</v>
      </c>
      <c r="Q7" s="1985" t="s">
        <v>3078</v>
      </c>
    </row>
    <row r="8" spans="1:17" ht="90.6" customHeight="1">
      <c r="A8" s="1991"/>
      <c r="B8" s="1985"/>
      <c r="C8" s="1165" t="s">
        <v>3087</v>
      </c>
      <c r="D8" s="1165" t="s">
        <v>3088</v>
      </c>
      <c r="E8" s="1165" t="s">
        <v>3089</v>
      </c>
      <c r="F8" s="1986"/>
      <c r="G8" s="1166" t="s">
        <v>3079</v>
      </c>
      <c r="H8" s="1166" t="s">
        <v>115</v>
      </c>
      <c r="I8" s="1986"/>
      <c r="J8" s="1166" t="s">
        <v>3080</v>
      </c>
      <c r="K8" s="1165" t="s">
        <v>3081</v>
      </c>
      <c r="L8" s="1166" t="s">
        <v>3082</v>
      </c>
      <c r="M8" s="1165" t="s">
        <v>3083</v>
      </c>
      <c r="N8" s="1167" t="s">
        <v>115</v>
      </c>
      <c r="O8" s="1985"/>
      <c r="P8" s="1985"/>
      <c r="Q8" s="1985"/>
    </row>
    <row r="9" spans="1:17" s="507" customFormat="1" ht="23.45" customHeight="1">
      <c r="A9" s="1167" t="s">
        <v>5</v>
      </c>
      <c r="B9" s="1167" t="s">
        <v>12</v>
      </c>
      <c r="C9" s="1167"/>
      <c r="D9" s="1167"/>
      <c r="E9" s="1167"/>
      <c r="F9" s="504">
        <v>1</v>
      </c>
      <c r="G9" s="505">
        <v>2</v>
      </c>
      <c r="H9" s="505" t="s">
        <v>3084</v>
      </c>
      <c r="I9" s="505"/>
      <c r="J9" s="505"/>
      <c r="K9" s="506"/>
      <c r="L9" s="505"/>
      <c r="M9" s="506"/>
      <c r="N9" s="506"/>
      <c r="O9" s="506"/>
      <c r="P9" s="506"/>
      <c r="Q9" s="506"/>
    </row>
    <row r="10" spans="1:17" s="519" customFormat="1" ht="21" customHeight="1">
      <c r="A10" s="1164"/>
      <c r="B10" s="1164" t="s">
        <v>2224</v>
      </c>
      <c r="C10" s="1164">
        <f>SUM(C11,C26,C38,C53,C71,C83,C99,C107,C115)</f>
        <v>73</v>
      </c>
      <c r="D10" s="1164">
        <f>SUM(D11,D26,D38,D53,D71,D83,D99,D107,D115)</f>
        <v>31</v>
      </c>
      <c r="E10" s="1164">
        <f>SUM(E11,E26,E38,E53,E71,E83,E99,E107,E115)</f>
        <v>2</v>
      </c>
      <c r="F10" s="517">
        <f>SUM(C10:E10)</f>
        <v>106</v>
      </c>
      <c r="G10" s="517"/>
      <c r="H10" s="517"/>
      <c r="I10" s="517"/>
      <c r="J10" s="517"/>
      <c r="K10" s="518"/>
      <c r="L10" s="517"/>
      <c r="M10" s="518"/>
      <c r="N10" s="518"/>
      <c r="O10" s="518"/>
      <c r="P10" s="518"/>
      <c r="Q10" s="518"/>
    </row>
    <row r="11" spans="1:17" s="520" customFormat="1" ht="16.5">
      <c r="A11" s="525" t="s">
        <v>2494</v>
      </c>
      <c r="B11" s="525"/>
      <c r="C11" s="1164">
        <f>COUNTA(C12:C25)</f>
        <v>9</v>
      </c>
      <c r="D11" s="1164">
        <f>COUNTA(D12:D25)</f>
        <v>5</v>
      </c>
      <c r="E11" s="1164">
        <f>COUNTA(E12:E25)</f>
        <v>0</v>
      </c>
      <c r="F11" s="517">
        <f>SUM(C11:E11)</f>
        <v>14</v>
      </c>
      <c r="G11" s="526"/>
      <c r="H11" s="526"/>
      <c r="I11" s="526"/>
      <c r="J11" s="526"/>
      <c r="K11" s="518"/>
      <c r="L11" s="517"/>
      <c r="M11" s="527"/>
      <c r="N11" s="527"/>
      <c r="O11" s="527"/>
      <c r="P11" s="527"/>
      <c r="Q11" s="527"/>
    </row>
    <row r="12" spans="1:17" ht="16.5">
      <c r="A12" s="528">
        <v>1</v>
      </c>
      <c r="B12" s="529" t="s">
        <v>3090</v>
      </c>
      <c r="C12" s="1167"/>
      <c r="D12" s="1167">
        <v>2</v>
      </c>
      <c r="E12" s="1167"/>
      <c r="F12" s="524"/>
      <c r="G12" s="530"/>
      <c r="H12" s="530"/>
      <c r="I12" s="530"/>
      <c r="J12" s="530"/>
      <c r="K12" s="513"/>
      <c r="L12" s="524"/>
      <c r="M12" s="531"/>
      <c r="N12" s="531"/>
      <c r="O12" s="531"/>
      <c r="P12" s="531"/>
      <c r="Q12" s="531"/>
    </row>
    <row r="13" spans="1:17" ht="16.5">
      <c r="A13" s="528">
        <v>2</v>
      </c>
      <c r="B13" s="529" t="s">
        <v>3091</v>
      </c>
      <c r="C13" s="1167"/>
      <c r="D13" s="1167">
        <v>2</v>
      </c>
      <c r="E13" s="1167"/>
      <c r="F13" s="524"/>
      <c r="G13" s="530"/>
      <c r="H13" s="530"/>
      <c r="I13" s="530"/>
      <c r="J13" s="530"/>
      <c r="K13" s="513"/>
      <c r="L13" s="524"/>
      <c r="M13" s="531"/>
      <c r="N13" s="531"/>
      <c r="O13" s="531"/>
      <c r="P13" s="531"/>
      <c r="Q13" s="531"/>
    </row>
    <row r="14" spans="1:17" ht="16.5">
      <c r="A14" s="528">
        <v>3</v>
      </c>
      <c r="B14" s="529" t="s">
        <v>3092</v>
      </c>
      <c r="C14" s="1167"/>
      <c r="D14" s="1167">
        <v>2</v>
      </c>
      <c r="E14" s="1167"/>
      <c r="F14" s="524"/>
      <c r="G14" s="530"/>
      <c r="H14" s="530"/>
      <c r="I14" s="530"/>
      <c r="J14" s="530"/>
      <c r="K14" s="513"/>
      <c r="L14" s="524"/>
      <c r="M14" s="531"/>
      <c r="N14" s="531"/>
      <c r="O14" s="531"/>
      <c r="P14" s="531"/>
      <c r="Q14" s="531"/>
    </row>
    <row r="15" spans="1:17" ht="16.5">
      <c r="A15" s="528">
        <v>4</v>
      </c>
      <c r="B15" s="529" t="s">
        <v>3093</v>
      </c>
      <c r="C15" s="532">
        <v>1</v>
      </c>
      <c r="D15" s="1167"/>
      <c r="E15" s="1167"/>
      <c r="F15" s="524"/>
      <c r="G15" s="530"/>
      <c r="H15" s="530"/>
      <c r="I15" s="530"/>
      <c r="J15" s="530"/>
      <c r="K15" s="513"/>
      <c r="L15" s="524"/>
      <c r="M15" s="531"/>
      <c r="N15" s="531"/>
      <c r="O15" s="531"/>
      <c r="P15" s="531"/>
      <c r="Q15" s="531"/>
    </row>
    <row r="16" spans="1:17" ht="16.5">
      <c r="A16" s="528">
        <v>5</v>
      </c>
      <c r="B16" s="529" t="s">
        <v>3094</v>
      </c>
      <c r="C16" s="532">
        <v>1</v>
      </c>
      <c r="D16" s="1167"/>
      <c r="E16" s="1167"/>
      <c r="F16" s="524"/>
      <c r="G16" s="530"/>
      <c r="H16" s="530"/>
      <c r="I16" s="530"/>
      <c r="J16" s="530"/>
      <c r="K16" s="513"/>
      <c r="L16" s="524"/>
      <c r="M16" s="531"/>
      <c r="N16" s="531"/>
      <c r="O16" s="531"/>
      <c r="P16" s="531"/>
      <c r="Q16" s="531"/>
    </row>
    <row r="17" spans="1:17" ht="16.5">
      <c r="A17" s="528">
        <v>6</v>
      </c>
      <c r="B17" s="529" t="s">
        <v>3095</v>
      </c>
      <c r="C17" s="532">
        <v>1</v>
      </c>
      <c r="D17" s="1167"/>
      <c r="E17" s="1167"/>
      <c r="F17" s="524"/>
      <c r="G17" s="530"/>
      <c r="H17" s="530"/>
      <c r="I17" s="530"/>
      <c r="J17" s="530"/>
      <c r="K17" s="513"/>
      <c r="L17" s="524"/>
      <c r="M17" s="531"/>
      <c r="N17" s="531"/>
      <c r="O17" s="531"/>
      <c r="P17" s="531"/>
      <c r="Q17" s="531"/>
    </row>
    <row r="18" spans="1:17" ht="16.5">
      <c r="A18" s="528">
        <v>7</v>
      </c>
      <c r="B18" s="529" t="s">
        <v>3096</v>
      </c>
      <c r="C18" s="532">
        <v>1</v>
      </c>
      <c r="D18" s="1167"/>
      <c r="E18" s="1167"/>
      <c r="F18" s="524"/>
      <c r="G18" s="530"/>
      <c r="H18" s="530"/>
      <c r="I18" s="530"/>
      <c r="J18" s="530"/>
      <c r="K18" s="513"/>
      <c r="L18" s="524"/>
      <c r="M18" s="531"/>
      <c r="N18" s="531"/>
      <c r="O18" s="531"/>
      <c r="P18" s="531"/>
      <c r="Q18" s="531"/>
    </row>
    <row r="19" spans="1:17" ht="16.5">
      <c r="A19" s="528">
        <v>8</v>
      </c>
      <c r="B19" s="529" t="s">
        <v>3097</v>
      </c>
      <c r="C19" s="532">
        <v>1</v>
      </c>
      <c r="D19" s="1167"/>
      <c r="E19" s="1167"/>
      <c r="F19" s="524"/>
      <c r="G19" s="530"/>
      <c r="H19" s="530"/>
      <c r="I19" s="530"/>
      <c r="J19" s="530"/>
      <c r="K19" s="513"/>
      <c r="L19" s="524"/>
      <c r="M19" s="531"/>
      <c r="N19" s="531"/>
      <c r="O19" s="531"/>
      <c r="P19" s="531"/>
      <c r="Q19" s="531"/>
    </row>
    <row r="20" spans="1:17" ht="16.5">
      <c r="A20" s="528">
        <v>9</v>
      </c>
      <c r="B20" s="529" t="s">
        <v>3098</v>
      </c>
      <c r="C20" s="532">
        <v>1</v>
      </c>
      <c r="D20" s="1167"/>
      <c r="E20" s="1167"/>
      <c r="F20" s="524"/>
      <c r="G20" s="530"/>
      <c r="H20" s="530"/>
      <c r="I20" s="530"/>
      <c r="J20" s="530"/>
      <c r="K20" s="513"/>
      <c r="L20" s="524"/>
      <c r="M20" s="531"/>
      <c r="N20" s="531"/>
      <c r="O20" s="531"/>
      <c r="P20" s="531"/>
      <c r="Q20" s="531"/>
    </row>
    <row r="21" spans="1:17" ht="16.5">
      <c r="A21" s="528">
        <v>10</v>
      </c>
      <c r="B21" s="529" t="s">
        <v>3099</v>
      </c>
      <c r="C21" s="532">
        <v>1</v>
      </c>
      <c r="D21" s="1167"/>
      <c r="E21" s="1167"/>
      <c r="F21" s="524"/>
      <c r="G21" s="530"/>
      <c r="H21" s="530"/>
      <c r="I21" s="530"/>
      <c r="J21" s="530"/>
      <c r="K21" s="513"/>
      <c r="L21" s="524"/>
      <c r="M21" s="531"/>
      <c r="N21" s="531"/>
      <c r="O21" s="531"/>
      <c r="P21" s="531"/>
      <c r="Q21" s="531"/>
    </row>
    <row r="22" spans="1:17" ht="16.5">
      <c r="A22" s="528">
        <v>11</v>
      </c>
      <c r="B22" s="529" t="s">
        <v>3100</v>
      </c>
      <c r="C22" s="532">
        <v>1</v>
      </c>
      <c r="D22" s="1167"/>
      <c r="E22" s="1167"/>
      <c r="F22" s="524"/>
      <c r="G22" s="530"/>
      <c r="H22" s="530"/>
      <c r="I22" s="530"/>
      <c r="J22" s="530"/>
      <c r="K22" s="513"/>
      <c r="L22" s="524"/>
      <c r="M22" s="531"/>
      <c r="N22" s="531"/>
      <c r="O22" s="531"/>
      <c r="P22" s="531"/>
      <c r="Q22" s="531"/>
    </row>
    <row r="23" spans="1:17" ht="16.5">
      <c r="A23" s="528">
        <v>12</v>
      </c>
      <c r="B23" s="529" t="s">
        <v>3101</v>
      </c>
      <c r="C23" s="532">
        <v>1</v>
      </c>
      <c r="D23" s="1167"/>
      <c r="E23" s="1167"/>
      <c r="F23" s="524"/>
      <c r="G23" s="530"/>
      <c r="H23" s="530"/>
      <c r="I23" s="530"/>
      <c r="J23" s="530"/>
      <c r="K23" s="513"/>
      <c r="L23" s="524"/>
      <c r="M23" s="531"/>
      <c r="N23" s="531"/>
      <c r="O23" s="531"/>
      <c r="P23" s="531"/>
      <c r="Q23" s="531"/>
    </row>
    <row r="24" spans="1:17" ht="16.5">
      <c r="A24" s="528">
        <v>13</v>
      </c>
      <c r="B24" s="529" t="s">
        <v>3102</v>
      </c>
      <c r="C24" s="1167"/>
      <c r="D24" s="1167" t="s">
        <v>126</v>
      </c>
      <c r="E24" s="1167"/>
      <c r="F24" s="524"/>
      <c r="G24" s="530"/>
      <c r="H24" s="530"/>
      <c r="I24" s="530"/>
      <c r="J24" s="530"/>
      <c r="K24" s="513"/>
      <c r="L24" s="524"/>
      <c r="M24" s="531"/>
      <c r="N24" s="531"/>
      <c r="O24" s="531"/>
      <c r="P24" s="531"/>
      <c r="Q24" s="531"/>
    </row>
    <row r="25" spans="1:17" ht="16.5">
      <c r="A25" s="528">
        <v>14</v>
      </c>
      <c r="B25" s="529" t="s">
        <v>3103</v>
      </c>
      <c r="C25" s="1167"/>
      <c r="D25" s="1167" t="s">
        <v>126</v>
      </c>
      <c r="E25" s="1167"/>
      <c r="F25" s="524"/>
      <c r="G25" s="530"/>
      <c r="H25" s="530"/>
      <c r="I25" s="530"/>
      <c r="J25" s="530"/>
      <c r="K25" s="513"/>
      <c r="L25" s="524"/>
      <c r="M25" s="531"/>
      <c r="N25" s="531"/>
      <c r="O25" s="531"/>
      <c r="P25" s="531"/>
      <c r="Q25" s="531"/>
    </row>
    <row r="26" spans="1:17" s="520" customFormat="1" ht="16.5">
      <c r="A26" s="525" t="s">
        <v>2500</v>
      </c>
      <c r="B26" s="525"/>
      <c r="C26" s="1164">
        <f>COUNTA(C27:C37)</f>
        <v>9</v>
      </c>
      <c r="D26" s="1164">
        <f>COUNTA(D27:D37)</f>
        <v>2</v>
      </c>
      <c r="E26" s="1164">
        <f>COUNTA(E27:E37)</f>
        <v>0</v>
      </c>
      <c r="F26" s="517">
        <f>SUM(C26:E26)</f>
        <v>11</v>
      </c>
      <c r="G26" s="526"/>
      <c r="H26" s="526"/>
      <c r="I26" s="526"/>
      <c r="J26" s="526"/>
      <c r="K26" s="518"/>
      <c r="L26" s="517"/>
      <c r="M26" s="527"/>
      <c r="N26" s="527"/>
      <c r="O26" s="527"/>
      <c r="P26" s="527"/>
      <c r="Q26" s="527"/>
    </row>
    <row r="27" spans="1:17" ht="16.5">
      <c r="A27" s="528">
        <v>1</v>
      </c>
      <c r="B27" s="529" t="s">
        <v>3104</v>
      </c>
      <c r="C27" s="532">
        <v>1</v>
      </c>
      <c r="D27" s="1167"/>
      <c r="E27" s="1167"/>
      <c r="F27" s="524"/>
      <c r="G27" s="530"/>
      <c r="H27" s="530"/>
      <c r="I27" s="530"/>
      <c r="J27" s="530"/>
      <c r="K27" s="513"/>
      <c r="L27" s="524"/>
      <c r="M27" s="531"/>
      <c r="N27" s="531"/>
      <c r="O27" s="531"/>
      <c r="P27" s="531"/>
      <c r="Q27" s="531"/>
    </row>
    <row r="28" spans="1:17" ht="16.5">
      <c r="A28" s="528">
        <v>2</v>
      </c>
      <c r="B28" s="529" t="s">
        <v>3105</v>
      </c>
      <c r="C28" s="532">
        <v>1</v>
      </c>
      <c r="D28" s="1167"/>
      <c r="E28" s="1167"/>
      <c r="F28" s="524"/>
      <c r="G28" s="530"/>
      <c r="H28" s="530"/>
      <c r="I28" s="530"/>
      <c r="J28" s="530"/>
      <c r="K28" s="513"/>
      <c r="L28" s="524"/>
      <c r="M28" s="531"/>
      <c r="N28" s="531"/>
      <c r="O28" s="531"/>
      <c r="P28" s="531"/>
      <c r="Q28" s="531"/>
    </row>
    <row r="29" spans="1:17" ht="16.5">
      <c r="A29" s="528">
        <v>3</v>
      </c>
      <c r="B29" s="529" t="s">
        <v>3106</v>
      </c>
      <c r="C29" s="532">
        <v>1</v>
      </c>
      <c r="D29" s="1167"/>
      <c r="E29" s="1167"/>
      <c r="F29" s="524"/>
      <c r="G29" s="530"/>
      <c r="H29" s="530"/>
      <c r="I29" s="530"/>
      <c r="J29" s="530"/>
      <c r="K29" s="513"/>
      <c r="L29" s="524"/>
      <c r="M29" s="531"/>
      <c r="N29" s="531"/>
      <c r="O29" s="531"/>
      <c r="P29" s="531"/>
      <c r="Q29" s="531"/>
    </row>
    <row r="30" spans="1:17" ht="16.5">
      <c r="A30" s="528">
        <v>4</v>
      </c>
      <c r="B30" s="529" t="s">
        <v>3107</v>
      </c>
      <c r="C30" s="1167"/>
      <c r="D30" s="1167">
        <v>2</v>
      </c>
      <c r="E30" s="1167"/>
      <c r="F30" s="524"/>
      <c r="G30" s="530"/>
      <c r="H30" s="530"/>
      <c r="I30" s="530"/>
      <c r="J30" s="530"/>
      <c r="K30" s="513"/>
      <c r="L30" s="524"/>
      <c r="M30" s="531"/>
      <c r="N30" s="531"/>
      <c r="O30" s="531"/>
      <c r="P30" s="531"/>
      <c r="Q30" s="531"/>
    </row>
    <row r="31" spans="1:17" ht="16.5">
      <c r="A31" s="528">
        <v>5</v>
      </c>
      <c r="B31" s="529" t="s">
        <v>3108</v>
      </c>
      <c r="C31" s="532">
        <v>1</v>
      </c>
      <c r="D31" s="1167"/>
      <c r="E31" s="1167"/>
      <c r="F31" s="524"/>
      <c r="G31" s="530"/>
      <c r="H31" s="530"/>
      <c r="I31" s="530"/>
      <c r="J31" s="530"/>
      <c r="K31" s="513"/>
      <c r="L31" s="524"/>
      <c r="M31" s="531"/>
      <c r="N31" s="531"/>
      <c r="O31" s="531"/>
      <c r="P31" s="531"/>
      <c r="Q31" s="531"/>
    </row>
    <row r="32" spans="1:17" ht="16.5">
      <c r="A32" s="528">
        <v>6</v>
      </c>
      <c r="B32" s="529" t="s">
        <v>3109</v>
      </c>
      <c r="C32" s="532">
        <v>1</v>
      </c>
      <c r="D32" s="1167"/>
      <c r="E32" s="1167"/>
      <c r="F32" s="524"/>
      <c r="G32" s="530"/>
      <c r="H32" s="530"/>
      <c r="I32" s="530"/>
      <c r="J32" s="530"/>
      <c r="K32" s="513"/>
      <c r="L32" s="524"/>
      <c r="M32" s="531"/>
      <c r="N32" s="531"/>
      <c r="O32" s="531"/>
      <c r="P32" s="531"/>
      <c r="Q32" s="531"/>
    </row>
    <row r="33" spans="1:17" ht="16.5">
      <c r="A33" s="528">
        <v>7</v>
      </c>
      <c r="B33" s="529" t="s">
        <v>3110</v>
      </c>
      <c r="C33" s="532">
        <v>1</v>
      </c>
      <c r="D33" s="1167"/>
      <c r="E33" s="1167"/>
      <c r="F33" s="524"/>
      <c r="G33" s="530"/>
      <c r="H33" s="530"/>
      <c r="I33" s="530"/>
      <c r="J33" s="530"/>
      <c r="K33" s="513"/>
      <c r="L33" s="524"/>
      <c r="M33" s="531"/>
      <c r="N33" s="531"/>
      <c r="O33" s="531"/>
      <c r="P33" s="531"/>
      <c r="Q33" s="531"/>
    </row>
    <row r="34" spans="1:17" ht="16.5">
      <c r="A34" s="528">
        <v>8</v>
      </c>
      <c r="B34" s="529" t="s">
        <v>3111</v>
      </c>
      <c r="C34" s="532">
        <v>1</v>
      </c>
      <c r="D34" s="1167"/>
      <c r="E34" s="1167"/>
      <c r="F34" s="524"/>
      <c r="G34" s="530"/>
      <c r="H34" s="530"/>
      <c r="I34" s="530"/>
      <c r="J34" s="530"/>
      <c r="K34" s="513"/>
      <c r="L34" s="524"/>
      <c r="M34" s="531"/>
      <c r="N34" s="531"/>
      <c r="O34" s="531"/>
      <c r="P34" s="531"/>
      <c r="Q34" s="531"/>
    </row>
    <row r="35" spans="1:17" ht="16.5">
      <c r="A35" s="528">
        <v>9</v>
      </c>
      <c r="B35" s="529" t="s">
        <v>3112</v>
      </c>
      <c r="C35" s="532">
        <v>1</v>
      </c>
      <c r="D35" s="1167"/>
      <c r="E35" s="1167"/>
      <c r="F35" s="524"/>
      <c r="G35" s="530"/>
      <c r="H35" s="530"/>
      <c r="I35" s="530"/>
      <c r="J35" s="530"/>
      <c r="K35" s="513"/>
      <c r="L35" s="524"/>
      <c r="M35" s="531"/>
      <c r="N35" s="531"/>
      <c r="O35" s="531"/>
      <c r="P35" s="531"/>
      <c r="Q35" s="531"/>
    </row>
    <row r="36" spans="1:17" ht="16.5">
      <c r="A36" s="528">
        <v>10</v>
      </c>
      <c r="B36" s="529" t="s">
        <v>3113</v>
      </c>
      <c r="C36" s="532"/>
      <c r="D36" s="1167">
        <v>2</v>
      </c>
      <c r="E36" s="1167"/>
      <c r="F36" s="524"/>
      <c r="G36" s="530"/>
      <c r="H36" s="530"/>
      <c r="I36" s="530"/>
      <c r="J36" s="530"/>
      <c r="K36" s="513"/>
      <c r="L36" s="524"/>
      <c r="M36" s="531"/>
      <c r="N36" s="531"/>
      <c r="O36" s="531"/>
      <c r="P36" s="531"/>
      <c r="Q36" s="531"/>
    </row>
    <row r="37" spans="1:17" ht="16.5">
      <c r="A37" s="528">
        <v>11</v>
      </c>
      <c r="B37" s="529" t="s">
        <v>3114</v>
      </c>
      <c r="C37" s="532">
        <v>1</v>
      </c>
      <c r="D37" s="1167"/>
      <c r="E37" s="1167"/>
      <c r="F37" s="524"/>
      <c r="G37" s="530"/>
      <c r="H37" s="530"/>
      <c r="I37" s="530"/>
      <c r="J37" s="530"/>
      <c r="K37" s="513"/>
      <c r="L37" s="524"/>
      <c r="M37" s="531"/>
      <c r="N37" s="531"/>
      <c r="O37" s="531"/>
      <c r="P37" s="531"/>
      <c r="Q37" s="531"/>
    </row>
    <row r="38" spans="1:17" s="520" customFormat="1" ht="16.5">
      <c r="A38" s="525" t="s">
        <v>2493</v>
      </c>
      <c r="B38" s="525"/>
      <c r="C38" s="1164">
        <f>COUNTA(C39:C52)</f>
        <v>9</v>
      </c>
      <c r="D38" s="1164">
        <f t="shared" ref="D38:E38" si="0">COUNTA(D39:D52)</f>
        <v>4</v>
      </c>
      <c r="E38" s="1164">
        <f t="shared" si="0"/>
        <v>1</v>
      </c>
      <c r="F38" s="517">
        <f>SUM(C38:E38)</f>
        <v>14</v>
      </c>
      <c r="G38" s="526"/>
      <c r="H38" s="526"/>
      <c r="I38" s="526"/>
      <c r="J38" s="526"/>
      <c r="K38" s="518"/>
      <c r="L38" s="517"/>
      <c r="M38" s="527"/>
      <c r="N38" s="527"/>
      <c r="O38" s="527"/>
      <c r="P38" s="527"/>
      <c r="Q38" s="527"/>
    </row>
    <row r="39" spans="1:17" ht="16.5">
      <c r="A39" s="528">
        <v>1</v>
      </c>
      <c r="B39" s="529" t="s">
        <v>3115</v>
      </c>
      <c r="C39" s="533">
        <v>1</v>
      </c>
      <c r="D39" s="1167"/>
      <c r="E39" s="1167"/>
      <c r="F39" s="524"/>
      <c r="G39" s="530"/>
      <c r="H39" s="530"/>
      <c r="I39" s="530"/>
      <c r="J39" s="530"/>
      <c r="K39" s="513"/>
      <c r="L39" s="524"/>
      <c r="M39" s="531"/>
      <c r="N39" s="531"/>
      <c r="O39" s="531"/>
      <c r="P39" s="531"/>
      <c r="Q39" s="531"/>
    </row>
    <row r="40" spans="1:17" ht="16.5">
      <c r="A40" s="528">
        <v>2</v>
      </c>
      <c r="B40" s="529" t="s">
        <v>3116</v>
      </c>
      <c r="C40" s="533">
        <v>1</v>
      </c>
      <c r="D40" s="1167"/>
      <c r="E40" s="1167"/>
      <c r="F40" s="524"/>
      <c r="G40" s="530"/>
      <c r="H40" s="530"/>
      <c r="I40" s="530"/>
      <c r="J40" s="530"/>
      <c r="K40" s="513"/>
      <c r="L40" s="524"/>
      <c r="M40" s="531"/>
      <c r="N40" s="531"/>
      <c r="O40" s="531"/>
      <c r="P40" s="531"/>
      <c r="Q40" s="531"/>
    </row>
    <row r="41" spans="1:17" ht="16.5">
      <c r="A41" s="528">
        <v>3</v>
      </c>
      <c r="B41" s="529" t="s">
        <v>3117</v>
      </c>
      <c r="C41" s="533">
        <v>1</v>
      </c>
      <c r="D41" s="1167"/>
      <c r="E41" s="1167"/>
      <c r="F41" s="524"/>
      <c r="G41" s="530"/>
      <c r="H41" s="530"/>
      <c r="I41" s="530"/>
      <c r="J41" s="530"/>
      <c r="K41" s="513"/>
      <c r="L41" s="524"/>
      <c r="M41" s="531"/>
      <c r="N41" s="531"/>
      <c r="O41" s="531"/>
      <c r="P41" s="531"/>
      <c r="Q41" s="531"/>
    </row>
    <row r="42" spans="1:17" ht="16.5">
      <c r="A42" s="528">
        <v>4</v>
      </c>
      <c r="B42" s="529" t="s">
        <v>3118</v>
      </c>
      <c r="C42" s="533">
        <v>1</v>
      </c>
      <c r="D42" s="1167"/>
      <c r="E42" s="1167"/>
      <c r="F42" s="524"/>
      <c r="G42" s="530"/>
      <c r="H42" s="530"/>
      <c r="I42" s="530"/>
      <c r="J42" s="530"/>
      <c r="K42" s="513"/>
      <c r="L42" s="524"/>
      <c r="M42" s="531"/>
      <c r="N42" s="531"/>
      <c r="O42" s="531"/>
      <c r="P42" s="531"/>
      <c r="Q42" s="531"/>
    </row>
    <row r="43" spans="1:17" ht="16.5">
      <c r="A43" s="528">
        <v>5</v>
      </c>
      <c r="B43" s="529" t="s">
        <v>3119</v>
      </c>
      <c r="C43" s="533">
        <v>1</v>
      </c>
      <c r="D43" s="1167"/>
      <c r="E43" s="1167"/>
      <c r="F43" s="524"/>
      <c r="G43" s="530"/>
      <c r="H43" s="530"/>
      <c r="I43" s="530"/>
      <c r="J43" s="530"/>
      <c r="K43" s="513"/>
      <c r="L43" s="524"/>
      <c r="M43" s="531"/>
      <c r="N43" s="531"/>
      <c r="O43" s="531"/>
      <c r="P43" s="531"/>
      <c r="Q43" s="531"/>
    </row>
    <row r="44" spans="1:17" ht="16.5">
      <c r="A44" s="528">
        <v>6</v>
      </c>
      <c r="B44" s="529" t="s">
        <v>3120</v>
      </c>
      <c r="C44" s="533">
        <v>1</v>
      </c>
      <c r="D44" s="1167"/>
      <c r="E44" s="1167"/>
      <c r="F44" s="524"/>
      <c r="G44" s="530"/>
      <c r="H44" s="530"/>
      <c r="I44" s="530"/>
      <c r="J44" s="530"/>
      <c r="K44" s="513"/>
      <c r="L44" s="524"/>
      <c r="M44" s="531"/>
      <c r="N44" s="531"/>
      <c r="O44" s="531"/>
      <c r="P44" s="531"/>
      <c r="Q44" s="531"/>
    </row>
    <row r="45" spans="1:17" ht="16.5">
      <c r="A45" s="528">
        <v>7</v>
      </c>
      <c r="B45" s="529" t="s">
        <v>3121</v>
      </c>
      <c r="C45" s="533">
        <v>1</v>
      </c>
      <c r="D45" s="1167"/>
      <c r="E45" s="1167"/>
      <c r="F45" s="524"/>
      <c r="G45" s="530"/>
      <c r="H45" s="530"/>
      <c r="I45" s="530"/>
      <c r="J45" s="530"/>
      <c r="K45" s="513"/>
      <c r="L45" s="524"/>
      <c r="M45" s="531"/>
      <c r="N45" s="531"/>
      <c r="O45" s="531"/>
      <c r="P45" s="531"/>
      <c r="Q45" s="531"/>
    </row>
    <row r="46" spans="1:17" ht="16.5">
      <c r="A46" s="528">
        <v>8</v>
      </c>
      <c r="B46" s="529" t="s">
        <v>3122</v>
      </c>
      <c r="C46" s="533">
        <v>1</v>
      </c>
      <c r="D46" s="506"/>
      <c r="E46" s="506"/>
      <c r="F46" s="530"/>
      <c r="G46" s="534"/>
      <c r="H46" s="534"/>
      <c r="I46" s="534"/>
      <c r="J46" s="534"/>
      <c r="K46" s="531"/>
      <c r="L46" s="530"/>
      <c r="M46" s="531"/>
      <c r="N46" s="531"/>
      <c r="O46" s="531"/>
      <c r="P46" s="531"/>
      <c r="Q46" s="531"/>
    </row>
    <row r="47" spans="1:17" ht="16.5">
      <c r="A47" s="528">
        <v>9</v>
      </c>
      <c r="B47" s="529" t="s">
        <v>3123</v>
      </c>
      <c r="C47" s="533"/>
      <c r="D47" s="506">
        <v>2</v>
      </c>
      <c r="E47" s="506"/>
      <c r="F47" s="530"/>
      <c r="G47" s="534"/>
      <c r="H47" s="534"/>
      <c r="I47" s="534"/>
      <c r="J47" s="534"/>
      <c r="K47" s="531"/>
      <c r="L47" s="530"/>
      <c r="M47" s="531"/>
      <c r="N47" s="531"/>
      <c r="O47" s="531"/>
      <c r="P47" s="531"/>
      <c r="Q47" s="531"/>
    </row>
    <row r="48" spans="1:17" ht="16.5">
      <c r="A48" s="528">
        <v>10</v>
      </c>
      <c r="B48" s="529" t="s">
        <v>3124</v>
      </c>
      <c r="C48" s="533"/>
      <c r="D48" s="506">
        <v>2</v>
      </c>
      <c r="E48" s="506"/>
      <c r="F48" s="530"/>
      <c r="G48" s="530"/>
      <c r="H48" s="530"/>
      <c r="I48" s="530"/>
      <c r="J48" s="530"/>
      <c r="K48" s="531"/>
      <c r="L48" s="530"/>
      <c r="M48" s="531"/>
      <c r="N48" s="531"/>
      <c r="O48" s="531"/>
      <c r="P48" s="531"/>
      <c r="Q48" s="531"/>
    </row>
    <row r="49" spans="1:17" ht="16.5">
      <c r="A49" s="528">
        <v>11</v>
      </c>
      <c r="B49" s="529" t="s">
        <v>3125</v>
      </c>
      <c r="C49" s="533"/>
      <c r="D49" s="506">
        <v>2</v>
      </c>
      <c r="E49" s="506"/>
      <c r="F49" s="530"/>
      <c r="G49" s="530"/>
      <c r="H49" s="530"/>
      <c r="I49" s="530"/>
      <c r="J49" s="530"/>
      <c r="K49" s="531"/>
      <c r="L49" s="530"/>
      <c r="M49" s="531"/>
      <c r="N49" s="531"/>
      <c r="O49" s="531"/>
      <c r="P49" s="531"/>
      <c r="Q49" s="531"/>
    </row>
    <row r="50" spans="1:17" ht="16.5">
      <c r="A50" s="528">
        <v>12</v>
      </c>
      <c r="B50" s="529" t="s">
        <v>3126</v>
      </c>
      <c r="C50" s="533">
        <v>1</v>
      </c>
      <c r="D50" s="506"/>
      <c r="E50" s="506"/>
      <c r="F50" s="530"/>
      <c r="G50" s="530"/>
      <c r="H50" s="530"/>
      <c r="I50" s="530"/>
      <c r="J50" s="530"/>
      <c r="K50" s="531"/>
      <c r="L50" s="530"/>
      <c r="M50" s="531"/>
      <c r="N50" s="531"/>
      <c r="O50" s="531"/>
      <c r="P50" s="531"/>
      <c r="Q50" s="531"/>
    </row>
    <row r="51" spans="1:17" ht="16.149999999999999" customHeight="1">
      <c r="A51" s="528">
        <v>13</v>
      </c>
      <c r="B51" s="529" t="s">
        <v>3127</v>
      </c>
      <c r="C51" s="533"/>
      <c r="D51" s="535">
        <v>2</v>
      </c>
      <c r="E51" s="535"/>
      <c r="F51" s="530"/>
      <c r="G51" s="530"/>
      <c r="H51" s="530"/>
      <c r="I51" s="530"/>
      <c r="J51" s="530"/>
      <c r="K51" s="531"/>
      <c r="L51" s="530"/>
      <c r="M51" s="531"/>
      <c r="N51" s="531"/>
      <c r="O51" s="531"/>
      <c r="P51" s="531"/>
      <c r="Q51" s="531"/>
    </row>
    <row r="52" spans="1:17" ht="16.5">
      <c r="A52" s="528">
        <v>14</v>
      </c>
      <c r="B52" s="529" t="s">
        <v>3128</v>
      </c>
      <c r="C52" s="533"/>
      <c r="D52" s="536"/>
      <c r="E52" s="536">
        <v>3</v>
      </c>
      <c r="F52" s="530"/>
      <c r="G52" s="530"/>
      <c r="H52" s="530"/>
      <c r="I52" s="530"/>
      <c r="J52" s="530"/>
      <c r="K52" s="531"/>
      <c r="L52" s="530"/>
      <c r="M52" s="531"/>
      <c r="N52" s="531"/>
      <c r="O52" s="531"/>
      <c r="P52" s="531"/>
      <c r="Q52" s="531"/>
    </row>
    <row r="53" spans="1:17" s="520" customFormat="1" ht="16.5">
      <c r="A53" s="1987" t="s">
        <v>2495</v>
      </c>
      <c r="B53" s="1987"/>
      <c r="C53" s="537">
        <f>COUNTA(C54:C70)</f>
        <v>9</v>
      </c>
      <c r="D53" s="537">
        <f t="shared" ref="D53:E53" si="1">COUNTA(D54:D70)</f>
        <v>7</v>
      </c>
      <c r="E53" s="537">
        <f t="shared" si="1"/>
        <v>1</v>
      </c>
      <c r="F53" s="517">
        <f>SUM(C53:E53)</f>
        <v>17</v>
      </c>
      <c r="G53" s="526"/>
      <c r="H53" s="526"/>
      <c r="I53" s="526"/>
      <c r="J53" s="526"/>
      <c r="K53" s="527"/>
      <c r="L53" s="526"/>
      <c r="M53" s="527"/>
      <c r="N53" s="527"/>
      <c r="O53" s="527"/>
      <c r="P53" s="527"/>
      <c r="Q53" s="527"/>
    </row>
    <row r="54" spans="1:17" ht="16.5">
      <c r="A54" s="528">
        <v>1</v>
      </c>
      <c r="B54" s="529" t="s">
        <v>3129</v>
      </c>
      <c r="C54" s="533">
        <v>1</v>
      </c>
      <c r="D54" s="533"/>
      <c r="E54" s="533"/>
      <c r="F54" s="530"/>
      <c r="G54" s="530"/>
      <c r="H54" s="530"/>
      <c r="I54" s="530"/>
      <c r="J54" s="530"/>
      <c r="K54" s="531"/>
      <c r="L54" s="530"/>
      <c r="M54" s="531"/>
      <c r="N54" s="531"/>
      <c r="O54" s="531"/>
      <c r="P54" s="531"/>
      <c r="Q54" s="531"/>
    </row>
    <row r="55" spans="1:17" ht="16.5">
      <c r="A55" s="528">
        <v>2</v>
      </c>
      <c r="B55" s="529" t="s">
        <v>3130</v>
      </c>
      <c r="C55" s="533"/>
      <c r="D55" s="533">
        <v>2</v>
      </c>
      <c r="E55" s="533"/>
      <c r="F55" s="530"/>
      <c r="G55" s="530"/>
      <c r="H55" s="530"/>
      <c r="I55" s="530"/>
      <c r="J55" s="530"/>
      <c r="K55" s="531"/>
      <c r="L55" s="530"/>
      <c r="M55" s="531"/>
      <c r="N55" s="531"/>
      <c r="O55" s="531"/>
      <c r="P55" s="531"/>
      <c r="Q55" s="531"/>
    </row>
    <row r="56" spans="1:17" ht="16.5">
      <c r="A56" s="528">
        <v>3</v>
      </c>
      <c r="B56" s="529" t="s">
        <v>3131</v>
      </c>
      <c r="C56" s="533">
        <v>1</v>
      </c>
      <c r="D56" s="533"/>
      <c r="E56" s="533"/>
      <c r="F56" s="530"/>
      <c r="G56" s="530"/>
      <c r="H56" s="530"/>
      <c r="I56" s="530"/>
      <c r="J56" s="530"/>
      <c r="K56" s="531"/>
      <c r="L56" s="530"/>
      <c r="M56" s="531"/>
      <c r="N56" s="531"/>
      <c r="O56" s="531"/>
      <c r="P56" s="531"/>
      <c r="Q56" s="531"/>
    </row>
    <row r="57" spans="1:17" ht="16.5">
      <c r="A57" s="528">
        <v>4</v>
      </c>
      <c r="B57" s="529" t="s">
        <v>3132</v>
      </c>
      <c r="C57" s="533">
        <v>1</v>
      </c>
      <c r="D57" s="533"/>
      <c r="E57" s="533"/>
      <c r="F57" s="530"/>
      <c r="G57" s="530"/>
      <c r="H57" s="530"/>
      <c r="I57" s="530"/>
      <c r="J57" s="530"/>
      <c r="K57" s="531"/>
      <c r="L57" s="530"/>
      <c r="M57" s="531"/>
      <c r="N57" s="531"/>
      <c r="O57" s="531"/>
      <c r="P57" s="531"/>
      <c r="Q57" s="531"/>
    </row>
    <row r="58" spans="1:17" ht="16.5">
      <c r="A58" s="528">
        <v>5</v>
      </c>
      <c r="B58" s="529" t="s">
        <v>3133</v>
      </c>
      <c r="C58" s="533">
        <v>1</v>
      </c>
      <c r="D58" s="533"/>
      <c r="E58" s="533"/>
      <c r="F58" s="530"/>
      <c r="G58" s="530"/>
      <c r="H58" s="530"/>
      <c r="I58" s="530"/>
      <c r="J58" s="530"/>
      <c r="K58" s="531"/>
      <c r="L58" s="530"/>
      <c r="M58" s="531"/>
      <c r="N58" s="531"/>
      <c r="O58" s="531"/>
      <c r="P58" s="531"/>
      <c r="Q58" s="531"/>
    </row>
    <row r="59" spans="1:17" ht="16.5">
      <c r="A59" s="528">
        <v>6</v>
      </c>
      <c r="B59" s="529" t="s">
        <v>3134</v>
      </c>
      <c r="C59" s="533"/>
      <c r="D59" s="533">
        <v>2</v>
      </c>
      <c r="E59" s="533"/>
      <c r="F59" s="530"/>
      <c r="G59" s="530"/>
      <c r="H59" s="530"/>
      <c r="I59" s="530"/>
      <c r="J59" s="530"/>
      <c r="K59" s="531"/>
      <c r="L59" s="530"/>
      <c r="M59" s="531"/>
      <c r="N59" s="531"/>
      <c r="O59" s="531"/>
      <c r="P59" s="531"/>
      <c r="Q59" s="531"/>
    </row>
    <row r="60" spans="1:17" ht="16.5">
      <c r="A60" s="528">
        <v>7</v>
      </c>
      <c r="B60" s="529" t="s">
        <v>3135</v>
      </c>
      <c r="C60" s="533"/>
      <c r="D60" s="533">
        <v>2</v>
      </c>
      <c r="E60" s="533"/>
      <c r="F60" s="530"/>
      <c r="G60" s="530"/>
      <c r="H60" s="530"/>
      <c r="I60" s="530"/>
      <c r="J60" s="530"/>
      <c r="K60" s="531"/>
      <c r="L60" s="530"/>
      <c r="M60" s="531"/>
      <c r="N60" s="531"/>
      <c r="O60" s="531"/>
      <c r="P60" s="531"/>
      <c r="Q60" s="531"/>
    </row>
    <row r="61" spans="1:17" ht="16.5">
      <c r="A61" s="528">
        <v>8</v>
      </c>
      <c r="B61" s="529" t="s">
        <v>3136</v>
      </c>
      <c r="C61" s="533">
        <v>1</v>
      </c>
      <c r="D61" s="533"/>
      <c r="E61" s="533"/>
      <c r="F61" s="530"/>
      <c r="G61" s="530"/>
      <c r="H61" s="530"/>
      <c r="I61" s="530"/>
      <c r="J61" s="530"/>
      <c r="K61" s="531"/>
      <c r="L61" s="530"/>
      <c r="M61" s="531"/>
      <c r="N61" s="531"/>
      <c r="O61" s="531"/>
      <c r="P61" s="531"/>
      <c r="Q61" s="531"/>
    </row>
    <row r="62" spans="1:17" ht="16.5">
      <c r="A62" s="528">
        <v>9</v>
      </c>
      <c r="B62" s="529" t="s">
        <v>3137</v>
      </c>
      <c r="C62" s="533">
        <v>1</v>
      </c>
      <c r="D62" s="533"/>
      <c r="E62" s="533"/>
      <c r="F62" s="530"/>
      <c r="G62" s="530"/>
      <c r="H62" s="530"/>
      <c r="I62" s="530"/>
      <c r="J62" s="530"/>
      <c r="K62" s="531"/>
      <c r="L62" s="530"/>
      <c r="M62" s="531"/>
      <c r="N62" s="531"/>
      <c r="O62" s="531"/>
      <c r="P62" s="531"/>
      <c r="Q62" s="531"/>
    </row>
    <row r="63" spans="1:17" ht="16.5">
      <c r="A63" s="528">
        <v>10</v>
      </c>
      <c r="B63" s="529" t="s">
        <v>3138</v>
      </c>
      <c r="C63" s="533">
        <v>1</v>
      </c>
      <c r="D63" s="533"/>
      <c r="E63" s="533"/>
      <c r="F63" s="530"/>
      <c r="G63" s="530"/>
      <c r="H63" s="530"/>
      <c r="I63" s="530"/>
      <c r="J63" s="530"/>
      <c r="K63" s="531"/>
      <c r="L63" s="530"/>
      <c r="M63" s="531"/>
      <c r="N63" s="531"/>
      <c r="O63" s="531"/>
      <c r="P63" s="531"/>
      <c r="Q63" s="531"/>
    </row>
    <row r="64" spans="1:17" ht="16.5">
      <c r="A64" s="528">
        <v>11</v>
      </c>
      <c r="B64" s="529" t="s">
        <v>3139</v>
      </c>
      <c r="C64" s="533"/>
      <c r="D64" s="533">
        <v>2</v>
      </c>
      <c r="E64" s="533"/>
      <c r="F64" s="530"/>
      <c r="G64" s="530"/>
      <c r="H64" s="530"/>
      <c r="I64" s="530"/>
      <c r="J64" s="530"/>
      <c r="K64" s="531"/>
      <c r="L64" s="530"/>
      <c r="M64" s="531"/>
      <c r="N64" s="531"/>
      <c r="O64" s="531"/>
      <c r="P64" s="531"/>
      <c r="Q64" s="531"/>
    </row>
    <row r="65" spans="1:17" ht="16.5">
      <c r="A65" s="528">
        <v>12</v>
      </c>
      <c r="B65" s="529" t="s">
        <v>3140</v>
      </c>
      <c r="C65" s="533">
        <v>1</v>
      </c>
      <c r="D65" s="533"/>
      <c r="E65" s="533"/>
      <c r="F65" s="530"/>
      <c r="G65" s="530"/>
      <c r="H65" s="530"/>
      <c r="I65" s="530"/>
      <c r="J65" s="530"/>
      <c r="K65" s="531"/>
      <c r="L65" s="530"/>
      <c r="M65" s="531"/>
      <c r="N65" s="531"/>
      <c r="O65" s="531"/>
      <c r="P65" s="531"/>
      <c r="Q65" s="531"/>
    </row>
    <row r="66" spans="1:17" ht="16.5">
      <c r="A66" s="528">
        <v>13</v>
      </c>
      <c r="B66" s="529" t="s">
        <v>3141</v>
      </c>
      <c r="C66" s="533"/>
      <c r="D66" s="533">
        <v>2</v>
      </c>
      <c r="E66" s="533"/>
      <c r="F66" s="530"/>
      <c r="G66" s="530"/>
      <c r="H66" s="530"/>
      <c r="I66" s="530"/>
      <c r="J66" s="530"/>
      <c r="K66" s="531"/>
      <c r="L66" s="530"/>
      <c r="M66" s="531"/>
      <c r="N66" s="531"/>
      <c r="O66" s="531"/>
      <c r="P66" s="531"/>
      <c r="Q66" s="531"/>
    </row>
    <row r="67" spans="1:17" ht="16.5">
      <c r="A67" s="528">
        <v>14</v>
      </c>
      <c r="B67" s="529" t="s">
        <v>3142</v>
      </c>
      <c r="C67" s="533">
        <v>1</v>
      </c>
      <c r="D67" s="533"/>
      <c r="E67" s="533"/>
      <c r="F67" s="530"/>
      <c r="G67" s="530"/>
      <c r="H67" s="530"/>
      <c r="I67" s="530"/>
      <c r="J67" s="530"/>
      <c r="K67" s="531"/>
      <c r="L67" s="530"/>
      <c r="M67" s="531"/>
      <c r="N67" s="531"/>
      <c r="O67" s="531"/>
      <c r="P67" s="531"/>
      <c r="Q67" s="531"/>
    </row>
    <row r="68" spans="1:17" ht="16.5">
      <c r="A68" s="528">
        <v>15</v>
      </c>
      <c r="B68" s="529" t="s">
        <v>3143</v>
      </c>
      <c r="C68" s="533"/>
      <c r="D68" s="533">
        <v>2</v>
      </c>
      <c r="E68" s="533"/>
      <c r="F68" s="530"/>
      <c r="G68" s="530"/>
      <c r="H68" s="530"/>
      <c r="I68" s="530"/>
      <c r="J68" s="530"/>
      <c r="K68" s="531"/>
      <c r="L68" s="530"/>
      <c r="M68" s="531"/>
      <c r="N68" s="531"/>
      <c r="O68" s="531"/>
      <c r="P68" s="531"/>
      <c r="Q68" s="531"/>
    </row>
    <row r="69" spans="1:17" ht="16.5">
      <c r="A69" s="528">
        <v>16</v>
      </c>
      <c r="B69" s="529" t="s">
        <v>3144</v>
      </c>
      <c r="C69" s="533"/>
      <c r="D69" s="533">
        <v>2</v>
      </c>
      <c r="E69" s="533"/>
      <c r="F69" s="530"/>
      <c r="G69" s="530"/>
      <c r="H69" s="530"/>
      <c r="I69" s="530"/>
      <c r="J69" s="530"/>
      <c r="K69" s="531"/>
      <c r="L69" s="530"/>
      <c r="M69" s="531"/>
      <c r="N69" s="531"/>
      <c r="O69" s="531"/>
      <c r="P69" s="531"/>
      <c r="Q69" s="531"/>
    </row>
    <row r="70" spans="1:17" ht="16.5">
      <c r="A70" s="528">
        <v>17</v>
      </c>
      <c r="B70" s="529" t="s">
        <v>3145</v>
      </c>
      <c r="C70" s="533"/>
      <c r="D70" s="533"/>
      <c r="E70" s="533">
        <v>3</v>
      </c>
      <c r="F70" s="530"/>
      <c r="G70" s="530"/>
      <c r="H70" s="530"/>
      <c r="I70" s="530"/>
      <c r="J70" s="530"/>
      <c r="K70" s="531"/>
      <c r="L70" s="530"/>
      <c r="M70" s="531"/>
      <c r="N70" s="531"/>
      <c r="O70" s="531"/>
      <c r="P70" s="531"/>
      <c r="Q70" s="531"/>
    </row>
    <row r="71" spans="1:17" s="520" customFormat="1" ht="16.5">
      <c r="A71" s="525" t="s">
        <v>2499</v>
      </c>
      <c r="B71" s="525"/>
      <c r="C71" s="522">
        <f>COUNTA(C72:C82)</f>
        <v>5</v>
      </c>
      <c r="D71" s="522">
        <f>COUNTA(D72:D82)</f>
        <v>6</v>
      </c>
      <c r="E71" s="522">
        <f>COUNTA(E72:E82)</f>
        <v>0</v>
      </c>
      <c r="F71" s="517">
        <f>SUM(C71:E71)</f>
        <v>11</v>
      </c>
      <c r="G71" s="526"/>
      <c r="H71" s="526"/>
      <c r="I71" s="526"/>
      <c r="J71" s="526"/>
      <c r="K71" s="527"/>
      <c r="L71" s="526"/>
      <c r="M71" s="527"/>
      <c r="N71" s="527"/>
      <c r="O71" s="527"/>
      <c r="P71" s="527"/>
      <c r="Q71" s="527"/>
    </row>
    <row r="72" spans="1:17" ht="16.5">
      <c r="A72" s="528">
        <v>1</v>
      </c>
      <c r="B72" s="529" t="s">
        <v>3146</v>
      </c>
      <c r="C72" s="533">
        <v>1</v>
      </c>
      <c r="D72" s="533"/>
      <c r="E72" s="533"/>
      <c r="F72" s="530"/>
      <c r="G72" s="530"/>
      <c r="H72" s="530"/>
      <c r="I72" s="530"/>
      <c r="J72" s="530"/>
      <c r="K72" s="531"/>
      <c r="L72" s="530"/>
      <c r="M72" s="531"/>
      <c r="N72" s="531"/>
      <c r="O72" s="531"/>
      <c r="P72" s="531"/>
      <c r="Q72" s="531"/>
    </row>
    <row r="73" spans="1:17" ht="16.5">
      <c r="A73" s="528">
        <v>2</v>
      </c>
      <c r="B73" s="529" t="s">
        <v>3147</v>
      </c>
      <c r="C73" s="533">
        <v>1</v>
      </c>
      <c r="D73" s="533"/>
      <c r="E73" s="533"/>
      <c r="F73" s="530"/>
      <c r="G73" s="530"/>
      <c r="H73" s="530"/>
      <c r="I73" s="530"/>
      <c r="J73" s="530"/>
      <c r="K73" s="531"/>
      <c r="L73" s="530"/>
      <c r="M73" s="531"/>
      <c r="N73" s="531"/>
      <c r="O73" s="531"/>
      <c r="P73" s="531"/>
      <c r="Q73" s="531"/>
    </row>
    <row r="74" spans="1:17" ht="16.5">
      <c r="A74" s="528">
        <v>3</v>
      </c>
      <c r="B74" s="529" t="s">
        <v>3148</v>
      </c>
      <c r="C74" s="533">
        <v>1</v>
      </c>
      <c r="D74" s="533"/>
      <c r="E74" s="533"/>
      <c r="F74" s="530"/>
      <c r="G74" s="530"/>
      <c r="H74" s="530"/>
      <c r="I74" s="530"/>
      <c r="J74" s="530"/>
      <c r="K74" s="531"/>
      <c r="L74" s="530"/>
      <c r="M74" s="531"/>
      <c r="N74" s="531"/>
      <c r="O74" s="531"/>
      <c r="P74" s="531"/>
      <c r="Q74" s="531"/>
    </row>
    <row r="75" spans="1:17" ht="16.5">
      <c r="A75" s="528">
        <v>4</v>
      </c>
      <c r="B75" s="529" t="s">
        <v>3149</v>
      </c>
      <c r="C75" s="533">
        <v>1</v>
      </c>
      <c r="D75" s="533"/>
      <c r="E75" s="533"/>
      <c r="F75" s="530"/>
      <c r="G75" s="530"/>
      <c r="H75" s="530"/>
      <c r="I75" s="530"/>
      <c r="J75" s="530"/>
      <c r="K75" s="531"/>
      <c r="L75" s="530"/>
      <c r="M75" s="531"/>
      <c r="N75" s="531"/>
      <c r="O75" s="531"/>
      <c r="P75" s="531"/>
      <c r="Q75" s="531"/>
    </row>
    <row r="76" spans="1:17" ht="16.5">
      <c r="A76" s="528">
        <v>5</v>
      </c>
      <c r="B76" s="529" t="s">
        <v>3150</v>
      </c>
      <c r="C76" s="533"/>
      <c r="D76" s="533">
        <v>2</v>
      </c>
      <c r="E76" s="533"/>
      <c r="F76" s="530"/>
      <c r="G76" s="530"/>
      <c r="H76" s="530"/>
      <c r="I76" s="530"/>
      <c r="J76" s="530"/>
      <c r="K76" s="531"/>
      <c r="L76" s="530"/>
      <c r="M76" s="531"/>
      <c r="N76" s="531"/>
      <c r="O76" s="531"/>
      <c r="P76" s="531"/>
      <c r="Q76" s="531"/>
    </row>
    <row r="77" spans="1:17" ht="16.5">
      <c r="A77" s="528">
        <v>6</v>
      </c>
      <c r="B77" s="529" t="s">
        <v>3151</v>
      </c>
      <c r="C77" s="533"/>
      <c r="D77" s="533">
        <v>2</v>
      </c>
      <c r="E77" s="533"/>
      <c r="F77" s="530"/>
      <c r="G77" s="530"/>
      <c r="H77" s="530"/>
      <c r="I77" s="530"/>
      <c r="J77" s="530"/>
      <c r="K77" s="531"/>
      <c r="L77" s="530"/>
      <c r="M77" s="531"/>
      <c r="N77" s="531"/>
      <c r="O77" s="531"/>
      <c r="P77" s="531"/>
      <c r="Q77" s="531"/>
    </row>
    <row r="78" spans="1:17" ht="16.5">
      <c r="A78" s="528">
        <v>7</v>
      </c>
      <c r="B78" s="529" t="s">
        <v>3152</v>
      </c>
      <c r="C78" s="533"/>
      <c r="D78" s="533">
        <v>2</v>
      </c>
      <c r="E78" s="533"/>
      <c r="F78" s="530"/>
      <c r="G78" s="530"/>
      <c r="H78" s="530"/>
      <c r="I78" s="530"/>
      <c r="J78" s="530"/>
      <c r="K78" s="531"/>
      <c r="L78" s="530"/>
      <c r="M78" s="531"/>
      <c r="N78" s="531"/>
      <c r="O78" s="531"/>
      <c r="P78" s="531"/>
      <c r="Q78" s="531"/>
    </row>
    <row r="79" spans="1:17" ht="16.5">
      <c r="A79" s="528">
        <v>8</v>
      </c>
      <c r="B79" s="529" t="s">
        <v>3153</v>
      </c>
      <c r="C79" s="533">
        <v>1</v>
      </c>
      <c r="D79" s="533"/>
      <c r="E79" s="533"/>
      <c r="F79" s="530"/>
      <c r="G79" s="530"/>
      <c r="H79" s="530"/>
      <c r="I79" s="530"/>
      <c r="J79" s="530"/>
      <c r="K79" s="531"/>
      <c r="L79" s="530"/>
      <c r="M79" s="531"/>
      <c r="N79" s="531"/>
      <c r="O79" s="531"/>
      <c r="P79" s="531"/>
      <c r="Q79" s="531"/>
    </row>
    <row r="80" spans="1:17" ht="16.5">
      <c r="A80" s="528">
        <v>9</v>
      </c>
      <c r="B80" s="529" t="s">
        <v>3154</v>
      </c>
      <c r="C80" s="533"/>
      <c r="D80" s="533">
        <v>2</v>
      </c>
      <c r="E80" s="533"/>
      <c r="F80" s="530"/>
      <c r="G80" s="530"/>
      <c r="H80" s="530"/>
      <c r="I80" s="530"/>
      <c r="J80" s="530"/>
      <c r="K80" s="531"/>
      <c r="L80" s="530"/>
      <c r="M80" s="531"/>
      <c r="N80" s="531"/>
      <c r="O80" s="531"/>
      <c r="P80" s="531"/>
      <c r="Q80" s="531"/>
    </row>
    <row r="81" spans="1:17" ht="16.5">
      <c r="A81" s="528">
        <v>10</v>
      </c>
      <c r="B81" s="529" t="s">
        <v>3155</v>
      </c>
      <c r="C81" s="533"/>
      <c r="D81" s="533">
        <v>2</v>
      </c>
      <c r="E81" s="533"/>
      <c r="F81" s="530"/>
      <c r="G81" s="530"/>
      <c r="H81" s="530"/>
      <c r="I81" s="530"/>
      <c r="J81" s="530"/>
      <c r="K81" s="531"/>
      <c r="L81" s="530"/>
      <c r="M81" s="531"/>
      <c r="N81" s="531"/>
      <c r="O81" s="531"/>
      <c r="P81" s="531"/>
      <c r="Q81" s="531"/>
    </row>
    <row r="82" spans="1:17" ht="16.5">
      <c r="A82" s="528">
        <v>11</v>
      </c>
      <c r="B82" s="529" t="s">
        <v>3156</v>
      </c>
      <c r="C82" s="533"/>
      <c r="D82" s="533">
        <v>2</v>
      </c>
      <c r="E82" s="533"/>
      <c r="F82" s="530"/>
      <c r="G82" s="530"/>
      <c r="H82" s="530"/>
      <c r="I82" s="530"/>
      <c r="J82" s="530"/>
      <c r="K82" s="531"/>
      <c r="L82" s="530"/>
      <c r="M82" s="531"/>
      <c r="N82" s="531"/>
      <c r="O82" s="531"/>
      <c r="P82" s="531"/>
      <c r="Q82" s="531"/>
    </row>
    <row r="83" spans="1:17" s="520" customFormat="1" ht="16.5">
      <c r="A83" s="525" t="s">
        <v>2496</v>
      </c>
      <c r="B83" s="525"/>
      <c r="C83" s="522">
        <f>COUNTA(C84:C98)</f>
        <v>11</v>
      </c>
      <c r="D83" s="522">
        <f>COUNTA(D84:D98)</f>
        <v>4</v>
      </c>
      <c r="E83" s="522">
        <f>COUNTA(E84:E98)</f>
        <v>0</v>
      </c>
      <c r="F83" s="517">
        <f>SUM(C83:E83)</f>
        <v>15</v>
      </c>
      <c r="G83" s="526"/>
      <c r="H83" s="526"/>
      <c r="I83" s="526"/>
      <c r="J83" s="526"/>
      <c r="K83" s="527"/>
      <c r="L83" s="526"/>
      <c r="M83" s="527"/>
      <c r="N83" s="527"/>
      <c r="O83" s="527"/>
      <c r="P83" s="527"/>
      <c r="Q83" s="527"/>
    </row>
    <row r="84" spans="1:17" ht="16.5">
      <c r="A84" s="528">
        <v>1</v>
      </c>
      <c r="B84" s="529" t="s">
        <v>3157</v>
      </c>
      <c r="C84" s="533">
        <v>1</v>
      </c>
      <c r="D84" s="533"/>
      <c r="E84" s="533"/>
      <c r="F84" s="530"/>
      <c r="G84" s="530"/>
      <c r="H84" s="530"/>
      <c r="I84" s="530"/>
      <c r="J84" s="530"/>
      <c r="K84" s="531"/>
      <c r="L84" s="530"/>
      <c r="M84" s="531"/>
      <c r="N84" s="531"/>
      <c r="O84" s="531"/>
      <c r="P84" s="531"/>
      <c r="Q84" s="531"/>
    </row>
    <row r="85" spans="1:17" ht="16.5">
      <c r="A85" s="528">
        <v>2</v>
      </c>
      <c r="B85" s="529" t="s">
        <v>3158</v>
      </c>
      <c r="C85" s="533">
        <v>1</v>
      </c>
      <c r="D85" s="533"/>
      <c r="E85" s="533"/>
      <c r="F85" s="530"/>
      <c r="G85" s="530"/>
      <c r="H85" s="530"/>
      <c r="I85" s="530"/>
      <c r="J85" s="530"/>
      <c r="K85" s="531"/>
      <c r="L85" s="530"/>
      <c r="M85" s="531"/>
      <c r="N85" s="531"/>
      <c r="O85" s="531"/>
      <c r="P85" s="531"/>
      <c r="Q85" s="531"/>
    </row>
    <row r="86" spans="1:17" ht="16.5">
      <c r="A86" s="528">
        <v>3</v>
      </c>
      <c r="B86" s="529" t="s">
        <v>3159</v>
      </c>
      <c r="C86" s="533">
        <v>1</v>
      </c>
      <c r="D86" s="533"/>
      <c r="E86" s="533"/>
      <c r="F86" s="530"/>
      <c r="G86" s="530"/>
      <c r="H86" s="530"/>
      <c r="I86" s="530"/>
      <c r="J86" s="530"/>
      <c r="K86" s="531"/>
      <c r="L86" s="530"/>
      <c r="M86" s="531"/>
      <c r="N86" s="531"/>
      <c r="O86" s="531"/>
      <c r="P86" s="531"/>
      <c r="Q86" s="531"/>
    </row>
    <row r="87" spans="1:17" ht="16.5">
      <c r="A87" s="528">
        <v>4</v>
      </c>
      <c r="B87" s="529" t="s">
        <v>3160</v>
      </c>
      <c r="C87" s="533">
        <v>1</v>
      </c>
      <c r="D87" s="533"/>
      <c r="E87" s="533"/>
      <c r="F87" s="530"/>
      <c r="G87" s="530"/>
      <c r="H87" s="530"/>
      <c r="I87" s="530"/>
      <c r="J87" s="530"/>
      <c r="K87" s="531"/>
      <c r="L87" s="530"/>
      <c r="M87" s="531"/>
      <c r="N87" s="531"/>
      <c r="O87" s="531"/>
      <c r="P87" s="531"/>
      <c r="Q87" s="531"/>
    </row>
    <row r="88" spans="1:17" ht="16.5">
      <c r="A88" s="528">
        <v>5</v>
      </c>
      <c r="B88" s="529" t="s">
        <v>3161</v>
      </c>
      <c r="C88" s="533">
        <v>1</v>
      </c>
      <c r="D88" s="533"/>
      <c r="E88" s="533"/>
      <c r="F88" s="530"/>
      <c r="G88" s="530"/>
      <c r="H88" s="530"/>
      <c r="I88" s="530"/>
      <c r="J88" s="530"/>
      <c r="K88" s="531"/>
      <c r="L88" s="530"/>
      <c r="M88" s="531"/>
      <c r="N88" s="531"/>
      <c r="O88" s="531"/>
      <c r="P88" s="531"/>
      <c r="Q88" s="531"/>
    </row>
    <row r="89" spans="1:17" ht="16.5">
      <c r="A89" s="528">
        <v>6</v>
      </c>
      <c r="B89" s="529" t="s">
        <v>3162</v>
      </c>
      <c r="C89" s="533">
        <v>1</v>
      </c>
      <c r="D89" s="533"/>
      <c r="E89" s="533"/>
      <c r="F89" s="530"/>
      <c r="G89" s="530"/>
      <c r="H89" s="530"/>
      <c r="I89" s="530"/>
      <c r="J89" s="530"/>
      <c r="K89" s="531"/>
      <c r="L89" s="530"/>
      <c r="M89" s="531"/>
      <c r="N89" s="531"/>
      <c r="O89" s="531"/>
      <c r="P89" s="531"/>
      <c r="Q89" s="531"/>
    </row>
    <row r="90" spans="1:17" ht="16.5">
      <c r="A90" s="528">
        <v>7</v>
      </c>
      <c r="B90" s="529" t="s">
        <v>3163</v>
      </c>
      <c r="C90" s="533">
        <v>1</v>
      </c>
      <c r="D90" s="533"/>
      <c r="E90" s="533"/>
      <c r="F90" s="530"/>
      <c r="G90" s="530"/>
      <c r="H90" s="530"/>
      <c r="I90" s="530"/>
      <c r="J90" s="530"/>
      <c r="K90" s="531"/>
      <c r="L90" s="530"/>
      <c r="M90" s="531"/>
      <c r="N90" s="531"/>
      <c r="O90" s="531"/>
      <c r="P90" s="531"/>
      <c r="Q90" s="531"/>
    </row>
    <row r="91" spans="1:17" ht="16.5">
      <c r="A91" s="528">
        <v>8</v>
      </c>
      <c r="B91" s="529" t="s">
        <v>3164</v>
      </c>
      <c r="C91" s="533">
        <v>1</v>
      </c>
      <c r="D91" s="533"/>
      <c r="E91" s="533"/>
      <c r="F91" s="530"/>
      <c r="G91" s="530"/>
      <c r="H91" s="530"/>
      <c r="I91" s="530"/>
      <c r="J91" s="530"/>
      <c r="K91" s="531"/>
      <c r="L91" s="530"/>
      <c r="M91" s="531"/>
      <c r="N91" s="531"/>
      <c r="O91" s="531"/>
      <c r="P91" s="531"/>
      <c r="Q91" s="531"/>
    </row>
    <row r="92" spans="1:17" ht="16.5">
      <c r="A92" s="528">
        <v>9</v>
      </c>
      <c r="B92" s="529" t="s">
        <v>3165</v>
      </c>
      <c r="C92" s="533">
        <v>1</v>
      </c>
      <c r="D92" s="533"/>
      <c r="E92" s="533"/>
      <c r="F92" s="530"/>
      <c r="G92" s="530"/>
      <c r="H92" s="530"/>
      <c r="I92" s="530"/>
      <c r="J92" s="530"/>
      <c r="K92" s="531"/>
      <c r="L92" s="530"/>
      <c r="M92" s="531"/>
      <c r="N92" s="531"/>
      <c r="O92" s="531"/>
      <c r="P92" s="531"/>
      <c r="Q92" s="531"/>
    </row>
    <row r="93" spans="1:17" ht="16.5">
      <c r="A93" s="528">
        <v>10</v>
      </c>
      <c r="B93" s="529" t="s">
        <v>3166</v>
      </c>
      <c r="C93" s="533">
        <v>1</v>
      </c>
      <c r="D93" s="533"/>
      <c r="E93" s="533"/>
      <c r="F93" s="530"/>
      <c r="G93" s="530"/>
      <c r="H93" s="530"/>
      <c r="I93" s="530"/>
      <c r="J93" s="530"/>
      <c r="K93" s="531"/>
      <c r="L93" s="530"/>
      <c r="M93" s="531"/>
      <c r="N93" s="531"/>
      <c r="O93" s="531"/>
      <c r="P93" s="531"/>
      <c r="Q93" s="531"/>
    </row>
    <row r="94" spans="1:17" ht="16.5">
      <c r="A94" s="528">
        <v>11</v>
      </c>
      <c r="B94" s="529" t="s">
        <v>3167</v>
      </c>
      <c r="C94" s="533"/>
      <c r="D94" s="533">
        <v>2</v>
      </c>
      <c r="E94" s="533"/>
      <c r="F94" s="530"/>
      <c r="G94" s="530"/>
      <c r="H94" s="530"/>
      <c r="I94" s="530"/>
      <c r="J94" s="530"/>
      <c r="K94" s="531"/>
      <c r="L94" s="530"/>
      <c r="M94" s="531"/>
      <c r="N94" s="531"/>
      <c r="O94" s="531"/>
      <c r="P94" s="531"/>
      <c r="Q94" s="531"/>
    </row>
    <row r="95" spans="1:17" ht="16.5">
      <c r="A95" s="528">
        <v>12</v>
      </c>
      <c r="B95" s="529" t="s">
        <v>3168</v>
      </c>
      <c r="C95" s="533"/>
      <c r="D95" s="533">
        <v>2</v>
      </c>
      <c r="E95" s="533"/>
      <c r="F95" s="530"/>
      <c r="G95" s="530"/>
      <c r="H95" s="530"/>
      <c r="I95" s="530"/>
      <c r="J95" s="530"/>
      <c r="K95" s="531"/>
      <c r="L95" s="530"/>
      <c r="M95" s="531"/>
      <c r="N95" s="531"/>
      <c r="O95" s="531"/>
      <c r="P95" s="531"/>
      <c r="Q95" s="531"/>
    </row>
    <row r="96" spans="1:17" ht="16.5">
      <c r="A96" s="528">
        <v>13</v>
      </c>
      <c r="B96" s="529" t="s">
        <v>3169</v>
      </c>
      <c r="C96" s="533">
        <v>1</v>
      </c>
      <c r="D96" s="533"/>
      <c r="E96" s="533"/>
      <c r="F96" s="530"/>
      <c r="G96" s="530"/>
      <c r="H96" s="530"/>
      <c r="I96" s="530"/>
      <c r="J96" s="530"/>
      <c r="K96" s="531"/>
      <c r="L96" s="530"/>
      <c r="M96" s="531"/>
      <c r="N96" s="531"/>
      <c r="O96" s="531"/>
      <c r="P96" s="531"/>
      <c r="Q96" s="531"/>
    </row>
    <row r="97" spans="1:17" ht="16.5">
      <c r="A97" s="528">
        <v>14</v>
      </c>
      <c r="B97" s="529" t="s">
        <v>3170</v>
      </c>
      <c r="C97" s="533"/>
      <c r="D97" s="533">
        <v>2</v>
      </c>
      <c r="E97" s="533"/>
      <c r="F97" s="530"/>
      <c r="G97" s="530"/>
      <c r="H97" s="530"/>
      <c r="I97" s="530"/>
      <c r="J97" s="530"/>
      <c r="K97" s="531"/>
      <c r="L97" s="530"/>
      <c r="M97" s="531"/>
      <c r="N97" s="531"/>
      <c r="O97" s="531"/>
      <c r="P97" s="531"/>
      <c r="Q97" s="531"/>
    </row>
    <row r="98" spans="1:17" ht="16.5">
      <c r="A98" s="528">
        <v>15</v>
      </c>
      <c r="B98" s="529" t="s">
        <v>3171</v>
      </c>
      <c r="C98" s="533"/>
      <c r="D98" s="533">
        <v>2</v>
      </c>
      <c r="E98" s="533"/>
      <c r="F98" s="530"/>
      <c r="G98" s="530"/>
      <c r="H98" s="530"/>
      <c r="I98" s="530"/>
      <c r="J98" s="530"/>
      <c r="K98" s="531"/>
      <c r="L98" s="530"/>
      <c r="M98" s="531"/>
      <c r="N98" s="531"/>
      <c r="O98" s="531"/>
      <c r="P98" s="531"/>
      <c r="Q98" s="531"/>
    </row>
    <row r="99" spans="1:17" s="520" customFormat="1" ht="16.5">
      <c r="A99" s="525" t="s">
        <v>2497</v>
      </c>
      <c r="B99" s="525"/>
      <c r="C99" s="522">
        <f>COUNTA(C100:C106)</f>
        <v>6</v>
      </c>
      <c r="D99" s="522">
        <f>COUNTA(D100:D106)</f>
        <v>1</v>
      </c>
      <c r="E99" s="522">
        <f>COUNTA(E100:E106)</f>
        <v>0</v>
      </c>
      <c r="F99" s="517">
        <f>SUM(C99:E99)</f>
        <v>7</v>
      </c>
      <c r="G99" s="526"/>
      <c r="H99" s="526"/>
      <c r="I99" s="526"/>
      <c r="J99" s="526"/>
      <c r="K99" s="527"/>
      <c r="L99" s="526"/>
      <c r="M99" s="527"/>
      <c r="N99" s="527"/>
      <c r="O99" s="527"/>
      <c r="P99" s="527"/>
      <c r="Q99" s="527"/>
    </row>
    <row r="100" spans="1:17" ht="16.5">
      <c r="A100" s="528">
        <v>1</v>
      </c>
      <c r="B100" s="529" t="s">
        <v>3172</v>
      </c>
      <c r="C100" s="533">
        <v>1</v>
      </c>
      <c r="D100" s="533"/>
      <c r="E100" s="533"/>
      <c r="F100" s="530"/>
      <c r="G100" s="530"/>
      <c r="H100" s="530"/>
      <c r="I100" s="530"/>
      <c r="J100" s="530"/>
      <c r="K100" s="531"/>
      <c r="L100" s="530"/>
      <c r="M100" s="531"/>
      <c r="N100" s="531"/>
      <c r="O100" s="531"/>
      <c r="P100" s="531"/>
      <c r="Q100" s="531"/>
    </row>
    <row r="101" spans="1:17" ht="16.5">
      <c r="A101" s="528">
        <v>2</v>
      </c>
      <c r="B101" s="529" t="s">
        <v>3173</v>
      </c>
      <c r="C101" s="533">
        <v>1</v>
      </c>
      <c r="D101" s="533"/>
      <c r="E101" s="533"/>
      <c r="F101" s="530"/>
      <c r="G101" s="530"/>
      <c r="H101" s="530"/>
      <c r="I101" s="530"/>
      <c r="J101" s="530"/>
      <c r="K101" s="531"/>
      <c r="L101" s="530"/>
      <c r="M101" s="531"/>
      <c r="N101" s="531"/>
      <c r="O101" s="531"/>
      <c r="P101" s="531"/>
      <c r="Q101" s="531"/>
    </row>
    <row r="102" spans="1:17" ht="16.5">
      <c r="A102" s="528">
        <v>3</v>
      </c>
      <c r="B102" s="529" t="s">
        <v>3174</v>
      </c>
      <c r="C102" s="533"/>
      <c r="D102" s="533">
        <v>2</v>
      </c>
      <c r="E102" s="533"/>
      <c r="F102" s="530"/>
      <c r="G102" s="530"/>
      <c r="H102" s="530"/>
      <c r="I102" s="530"/>
      <c r="J102" s="530"/>
      <c r="K102" s="531"/>
      <c r="L102" s="530"/>
      <c r="M102" s="531"/>
      <c r="N102" s="531"/>
      <c r="O102" s="531"/>
      <c r="P102" s="531"/>
      <c r="Q102" s="531"/>
    </row>
    <row r="103" spans="1:17" ht="16.5">
      <c r="A103" s="528">
        <v>4</v>
      </c>
      <c r="B103" s="529" t="s">
        <v>3175</v>
      </c>
      <c r="C103" s="533">
        <v>1</v>
      </c>
      <c r="D103" s="533"/>
      <c r="E103" s="533"/>
      <c r="F103" s="530"/>
      <c r="G103" s="530"/>
      <c r="H103" s="530"/>
      <c r="I103" s="530"/>
      <c r="J103" s="530"/>
      <c r="K103" s="531"/>
      <c r="L103" s="530"/>
      <c r="M103" s="531"/>
      <c r="N103" s="531"/>
      <c r="O103" s="531"/>
      <c r="P103" s="531"/>
      <c r="Q103" s="531"/>
    </row>
    <row r="104" spans="1:17" ht="16.5">
      <c r="A104" s="528">
        <v>5</v>
      </c>
      <c r="B104" s="529" t="s">
        <v>3176</v>
      </c>
      <c r="C104" s="533">
        <v>1</v>
      </c>
      <c r="D104" s="533"/>
      <c r="E104" s="533"/>
      <c r="F104" s="530"/>
      <c r="G104" s="530"/>
      <c r="H104" s="530"/>
      <c r="I104" s="530"/>
      <c r="J104" s="530"/>
      <c r="K104" s="531"/>
      <c r="L104" s="530"/>
      <c r="M104" s="531"/>
      <c r="N104" s="531"/>
      <c r="O104" s="531"/>
      <c r="P104" s="531"/>
      <c r="Q104" s="531"/>
    </row>
    <row r="105" spans="1:17" ht="16.5">
      <c r="A105" s="528">
        <v>6</v>
      </c>
      <c r="B105" s="529" t="s">
        <v>3177</v>
      </c>
      <c r="C105" s="538">
        <v>1</v>
      </c>
      <c r="D105" s="538"/>
      <c r="E105" s="538"/>
      <c r="F105" s="530"/>
      <c r="G105" s="530"/>
      <c r="H105" s="530"/>
      <c r="I105" s="530"/>
      <c r="J105" s="530"/>
      <c r="K105" s="531"/>
      <c r="L105" s="530"/>
      <c r="M105" s="531"/>
      <c r="N105" s="531"/>
      <c r="O105" s="531"/>
      <c r="P105" s="531"/>
      <c r="Q105" s="531"/>
    </row>
    <row r="106" spans="1:17" ht="16.5">
      <c r="A106" s="528">
        <v>7</v>
      </c>
      <c r="B106" s="529" t="s">
        <v>3178</v>
      </c>
      <c r="C106" s="533">
        <v>1</v>
      </c>
      <c r="D106" s="533"/>
      <c r="E106" s="533"/>
      <c r="F106" s="530"/>
      <c r="G106" s="530"/>
      <c r="H106" s="530"/>
      <c r="I106" s="530"/>
      <c r="J106" s="530"/>
      <c r="K106" s="531"/>
      <c r="L106" s="530"/>
      <c r="M106" s="531"/>
      <c r="N106" s="531"/>
      <c r="O106" s="531"/>
      <c r="P106" s="531"/>
      <c r="Q106" s="531"/>
    </row>
    <row r="107" spans="1:17" s="520" customFormat="1" ht="16.5">
      <c r="A107" s="525" t="s">
        <v>2498</v>
      </c>
      <c r="B107" s="525"/>
      <c r="C107" s="522">
        <f>COUNTA(C108:C114)</f>
        <v>7</v>
      </c>
      <c r="D107" s="522">
        <f>COUNTA(D108:D114)</f>
        <v>0</v>
      </c>
      <c r="E107" s="522">
        <f>COUNTA(E108:E114)</f>
        <v>0</v>
      </c>
      <c r="F107" s="517">
        <f>SUM(C107:E107)</f>
        <v>7</v>
      </c>
      <c r="G107" s="526"/>
      <c r="H107" s="526"/>
      <c r="I107" s="526"/>
      <c r="J107" s="526"/>
      <c r="K107" s="527"/>
      <c r="L107" s="526"/>
      <c r="M107" s="527"/>
      <c r="N107" s="527"/>
      <c r="O107" s="527"/>
      <c r="P107" s="527"/>
      <c r="Q107" s="527"/>
    </row>
    <row r="108" spans="1:17" ht="16.5">
      <c r="A108" s="528">
        <v>1</v>
      </c>
      <c r="B108" s="529" t="s">
        <v>3179</v>
      </c>
      <c r="C108" s="538">
        <v>1</v>
      </c>
      <c r="D108" s="533"/>
      <c r="E108" s="533"/>
      <c r="F108" s="530"/>
      <c r="G108" s="530"/>
      <c r="H108" s="530"/>
      <c r="I108" s="530"/>
      <c r="J108" s="530"/>
      <c r="K108" s="531"/>
      <c r="L108" s="530"/>
      <c r="M108" s="531"/>
      <c r="N108" s="531"/>
      <c r="O108" s="531"/>
      <c r="P108" s="531"/>
      <c r="Q108" s="531"/>
    </row>
    <row r="109" spans="1:17" ht="16.5">
      <c r="A109" s="528">
        <v>2</v>
      </c>
      <c r="B109" s="529" t="s">
        <v>3180</v>
      </c>
      <c r="C109" s="538">
        <v>1</v>
      </c>
      <c r="D109" s="533"/>
      <c r="E109" s="533"/>
      <c r="F109" s="530"/>
      <c r="G109" s="530"/>
      <c r="H109" s="530"/>
      <c r="I109" s="530"/>
      <c r="J109" s="530"/>
      <c r="K109" s="531"/>
      <c r="L109" s="530"/>
      <c r="M109" s="531"/>
      <c r="N109" s="531"/>
      <c r="O109" s="531"/>
      <c r="P109" s="531"/>
      <c r="Q109" s="531"/>
    </row>
    <row r="110" spans="1:17" ht="16.5">
      <c r="A110" s="528">
        <v>3</v>
      </c>
      <c r="B110" s="529" t="s">
        <v>3181</v>
      </c>
      <c r="C110" s="533">
        <v>1</v>
      </c>
      <c r="D110" s="533"/>
      <c r="E110" s="533"/>
      <c r="F110" s="530"/>
      <c r="G110" s="530"/>
      <c r="H110" s="530"/>
      <c r="I110" s="530"/>
      <c r="J110" s="530"/>
      <c r="K110" s="531"/>
      <c r="L110" s="530"/>
      <c r="M110" s="531"/>
      <c r="N110" s="531"/>
      <c r="O110" s="531"/>
      <c r="P110" s="531"/>
      <c r="Q110" s="531"/>
    </row>
    <row r="111" spans="1:17" ht="16.5">
      <c r="A111" s="528">
        <v>4</v>
      </c>
      <c r="B111" s="529" t="s">
        <v>3182</v>
      </c>
      <c r="C111" s="533">
        <v>1</v>
      </c>
      <c r="D111" s="533"/>
      <c r="E111" s="533"/>
      <c r="F111" s="530"/>
      <c r="G111" s="530"/>
      <c r="H111" s="530"/>
      <c r="I111" s="530"/>
      <c r="J111" s="530"/>
      <c r="K111" s="531"/>
      <c r="L111" s="530"/>
      <c r="M111" s="531"/>
      <c r="N111" s="531"/>
      <c r="O111" s="531"/>
      <c r="P111" s="531"/>
      <c r="Q111" s="531"/>
    </row>
    <row r="112" spans="1:17" ht="16.5">
      <c r="A112" s="528">
        <v>5</v>
      </c>
      <c r="B112" s="529" t="s">
        <v>3183</v>
      </c>
      <c r="C112" s="533">
        <v>1</v>
      </c>
      <c r="D112" s="533"/>
      <c r="E112" s="533"/>
      <c r="F112" s="530"/>
      <c r="G112" s="530"/>
      <c r="H112" s="530"/>
      <c r="I112" s="530"/>
      <c r="J112" s="530"/>
      <c r="K112" s="531"/>
      <c r="L112" s="530"/>
      <c r="M112" s="531"/>
      <c r="N112" s="531"/>
      <c r="O112" s="531"/>
      <c r="P112" s="531"/>
      <c r="Q112" s="531"/>
    </row>
    <row r="113" spans="1:17" ht="16.5">
      <c r="A113" s="528">
        <v>6</v>
      </c>
      <c r="B113" s="529" t="s">
        <v>3184</v>
      </c>
      <c r="C113" s="533">
        <v>1</v>
      </c>
      <c r="D113" s="533"/>
      <c r="E113" s="533"/>
      <c r="F113" s="530"/>
      <c r="G113" s="530"/>
      <c r="H113" s="530"/>
      <c r="I113" s="530"/>
      <c r="J113" s="530"/>
      <c r="K113" s="531"/>
      <c r="L113" s="530"/>
      <c r="M113" s="531"/>
      <c r="N113" s="531"/>
      <c r="O113" s="531"/>
      <c r="P113" s="531"/>
      <c r="Q113" s="531"/>
    </row>
    <row r="114" spans="1:17" ht="16.5">
      <c r="A114" s="528">
        <v>7</v>
      </c>
      <c r="B114" s="529" t="s">
        <v>3185</v>
      </c>
      <c r="C114" s="533">
        <v>1</v>
      </c>
      <c r="D114" s="533"/>
      <c r="E114" s="533"/>
      <c r="F114" s="530"/>
      <c r="G114" s="530"/>
      <c r="H114" s="530"/>
      <c r="I114" s="530"/>
      <c r="J114" s="530"/>
      <c r="K114" s="531"/>
      <c r="L114" s="530"/>
      <c r="M114" s="531"/>
      <c r="N114" s="531"/>
      <c r="O114" s="531"/>
      <c r="P114" s="531"/>
      <c r="Q114" s="531"/>
    </row>
    <row r="115" spans="1:17" s="520" customFormat="1" ht="16.5">
      <c r="A115" s="525" t="s">
        <v>3186</v>
      </c>
      <c r="B115" s="525"/>
      <c r="C115" s="522">
        <f>COUNTA(C116:C125)</f>
        <v>8</v>
      </c>
      <c r="D115" s="522">
        <f>COUNTA(D116:D125)</f>
        <v>2</v>
      </c>
      <c r="E115" s="522">
        <f>COUNTA(E116:E125)</f>
        <v>0</v>
      </c>
      <c r="F115" s="517">
        <f>SUM(C115:E115)</f>
        <v>10</v>
      </c>
      <c r="G115" s="526"/>
      <c r="H115" s="526"/>
      <c r="I115" s="526"/>
      <c r="J115" s="526"/>
      <c r="K115" s="527"/>
      <c r="L115" s="526"/>
      <c r="M115" s="527"/>
      <c r="N115" s="527"/>
      <c r="O115" s="527"/>
      <c r="P115" s="527"/>
      <c r="Q115" s="527"/>
    </row>
    <row r="116" spans="1:17" ht="16.5">
      <c r="A116" s="528">
        <v>1</v>
      </c>
      <c r="B116" s="529" t="s">
        <v>3187</v>
      </c>
      <c r="C116" s="533">
        <v>1</v>
      </c>
      <c r="D116" s="533"/>
      <c r="E116" s="533"/>
      <c r="F116" s="530"/>
      <c r="G116" s="530"/>
      <c r="H116" s="530"/>
      <c r="I116" s="530"/>
      <c r="J116" s="530"/>
      <c r="K116" s="531"/>
      <c r="L116" s="530"/>
      <c r="M116" s="531"/>
      <c r="N116" s="531"/>
      <c r="O116" s="531"/>
      <c r="P116" s="531"/>
      <c r="Q116" s="531"/>
    </row>
    <row r="117" spans="1:17" ht="16.5">
      <c r="A117" s="528">
        <v>2</v>
      </c>
      <c r="B117" s="529" t="s">
        <v>3188</v>
      </c>
      <c r="C117" s="533">
        <v>1</v>
      </c>
      <c r="D117" s="533"/>
      <c r="E117" s="533"/>
      <c r="F117" s="530"/>
      <c r="G117" s="530"/>
      <c r="H117" s="530"/>
      <c r="I117" s="530"/>
      <c r="J117" s="530"/>
      <c r="K117" s="531"/>
      <c r="L117" s="530"/>
      <c r="M117" s="531"/>
      <c r="N117" s="531"/>
      <c r="O117" s="531"/>
      <c r="P117" s="531"/>
      <c r="Q117" s="531"/>
    </row>
    <row r="118" spans="1:17" ht="16.5">
      <c r="A118" s="528">
        <v>3</v>
      </c>
      <c r="B118" s="529" t="s">
        <v>3179</v>
      </c>
      <c r="C118" s="538">
        <v>1</v>
      </c>
      <c r="D118" s="533"/>
      <c r="E118" s="533"/>
      <c r="F118" s="530"/>
      <c r="G118" s="530"/>
      <c r="H118" s="530"/>
      <c r="I118" s="530"/>
      <c r="J118" s="530"/>
      <c r="K118" s="531"/>
      <c r="L118" s="530"/>
      <c r="M118" s="531"/>
      <c r="N118" s="531"/>
      <c r="O118" s="531"/>
      <c r="P118" s="531"/>
      <c r="Q118" s="531"/>
    </row>
    <row r="119" spans="1:17" ht="16.5">
      <c r="A119" s="528">
        <v>4</v>
      </c>
      <c r="B119" s="529" t="s">
        <v>3189</v>
      </c>
      <c r="C119" s="538">
        <v>1</v>
      </c>
      <c r="D119" s="533"/>
      <c r="E119" s="533"/>
      <c r="F119" s="530"/>
      <c r="G119" s="530"/>
      <c r="H119" s="530"/>
      <c r="I119" s="530"/>
      <c r="J119" s="530"/>
      <c r="K119" s="531"/>
      <c r="L119" s="530"/>
      <c r="M119" s="531"/>
      <c r="N119" s="531"/>
      <c r="O119" s="531"/>
      <c r="P119" s="531"/>
      <c r="Q119" s="531"/>
    </row>
    <row r="120" spans="1:17" ht="16.5">
      <c r="A120" s="528">
        <v>5</v>
      </c>
      <c r="B120" s="529" t="s">
        <v>3190</v>
      </c>
      <c r="C120" s="538">
        <v>1</v>
      </c>
      <c r="D120" s="533"/>
      <c r="E120" s="533"/>
      <c r="F120" s="530"/>
      <c r="G120" s="530"/>
      <c r="H120" s="530"/>
      <c r="I120" s="530"/>
      <c r="J120" s="530"/>
      <c r="K120" s="531"/>
      <c r="L120" s="530"/>
      <c r="M120" s="531"/>
      <c r="N120" s="531"/>
      <c r="O120" s="531"/>
      <c r="P120" s="531"/>
      <c r="Q120" s="531"/>
    </row>
    <row r="121" spans="1:17" ht="16.5">
      <c r="A121" s="528">
        <v>6</v>
      </c>
      <c r="B121" s="529" t="s">
        <v>3191</v>
      </c>
      <c r="C121" s="538">
        <v>1</v>
      </c>
      <c r="D121" s="533"/>
      <c r="E121" s="533"/>
      <c r="F121" s="530"/>
      <c r="G121" s="530"/>
      <c r="H121" s="530"/>
      <c r="I121" s="530"/>
      <c r="J121" s="530"/>
      <c r="K121" s="531"/>
      <c r="L121" s="530"/>
      <c r="M121" s="531"/>
      <c r="N121" s="531"/>
      <c r="O121" s="531"/>
      <c r="P121" s="531"/>
      <c r="Q121" s="531"/>
    </row>
    <row r="122" spans="1:17" ht="16.5">
      <c r="A122" s="528">
        <v>7</v>
      </c>
      <c r="B122" s="529" t="s">
        <v>3192</v>
      </c>
      <c r="C122" s="533">
        <v>1</v>
      </c>
      <c r="D122" s="533"/>
      <c r="E122" s="533"/>
      <c r="F122" s="530"/>
      <c r="G122" s="530"/>
      <c r="H122" s="530"/>
      <c r="I122" s="530"/>
      <c r="J122" s="530"/>
      <c r="K122" s="531"/>
      <c r="L122" s="530"/>
      <c r="M122" s="531"/>
      <c r="N122" s="531"/>
      <c r="O122" s="531"/>
      <c r="P122" s="531"/>
      <c r="Q122" s="531"/>
    </row>
    <row r="123" spans="1:17" ht="16.5">
      <c r="A123" s="528">
        <v>8</v>
      </c>
      <c r="B123" s="529" t="s">
        <v>3180</v>
      </c>
      <c r="C123" s="533"/>
      <c r="D123" s="533">
        <v>2</v>
      </c>
      <c r="E123" s="533"/>
      <c r="F123" s="530"/>
      <c r="G123" s="530"/>
      <c r="H123" s="530"/>
      <c r="I123" s="530"/>
      <c r="J123" s="530"/>
      <c r="K123" s="531"/>
      <c r="L123" s="530"/>
      <c r="M123" s="531"/>
      <c r="N123" s="531"/>
      <c r="O123" s="531"/>
      <c r="P123" s="531"/>
      <c r="Q123" s="531"/>
    </row>
    <row r="124" spans="1:17" ht="16.5">
      <c r="A124" s="528">
        <v>9</v>
      </c>
      <c r="B124" s="529" t="s">
        <v>3193</v>
      </c>
      <c r="C124" s="533"/>
      <c r="D124" s="533">
        <v>2</v>
      </c>
      <c r="E124" s="533"/>
      <c r="F124" s="530"/>
      <c r="G124" s="530"/>
      <c r="H124" s="530"/>
      <c r="I124" s="530"/>
      <c r="J124" s="530"/>
      <c r="K124" s="531"/>
      <c r="L124" s="530"/>
      <c r="M124" s="531"/>
      <c r="N124" s="531"/>
      <c r="O124" s="531"/>
      <c r="P124" s="531"/>
      <c r="Q124" s="531"/>
    </row>
    <row r="125" spans="1:17" ht="16.5">
      <c r="A125" s="528">
        <v>10</v>
      </c>
      <c r="B125" s="529" t="s">
        <v>3194</v>
      </c>
      <c r="C125" s="538">
        <v>1</v>
      </c>
      <c r="D125" s="533"/>
      <c r="E125" s="533"/>
      <c r="F125" s="530"/>
      <c r="G125" s="530"/>
      <c r="H125" s="530"/>
      <c r="I125" s="530"/>
      <c r="J125" s="530"/>
      <c r="K125" s="531"/>
      <c r="L125" s="530"/>
      <c r="M125" s="531"/>
      <c r="N125" s="531"/>
      <c r="O125" s="531"/>
      <c r="P125" s="531"/>
      <c r="Q125" s="531"/>
    </row>
  </sheetData>
  <sheetProtection formatCells="0" formatColumns="0" formatRows="0"/>
  <mergeCells count="16">
    <mergeCell ref="A53:B53"/>
    <mergeCell ref="O7:O8"/>
    <mergeCell ref="A1:B1"/>
    <mergeCell ref="A2:B2"/>
    <mergeCell ref="A3:F3"/>
    <mergeCell ref="A4:F4"/>
    <mergeCell ref="A7:A8"/>
    <mergeCell ref="B7:B8"/>
    <mergeCell ref="C7:E7"/>
    <mergeCell ref="F7:F8"/>
    <mergeCell ref="P7:P8"/>
    <mergeCell ref="Q7:Q8"/>
    <mergeCell ref="G7:H7"/>
    <mergeCell ref="I7:I8"/>
    <mergeCell ref="J7:L7"/>
    <mergeCell ref="M7:N7"/>
  </mergeCells>
  <pageMargins left="0.44" right="0.19" top="0.37" bottom="0.75" header="0.3" footer="0.3"/>
  <pageSetup paperSize="9" scale="75" orientation="landscape" blackAndWhite="1"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60"/>
  <sheetViews>
    <sheetView showZeros="0" topLeftCell="A6" zoomScaleNormal="100" workbookViewId="0">
      <selection activeCell="F104" sqref="F104:I104"/>
    </sheetView>
  </sheetViews>
  <sheetFormatPr defaultColWidth="8" defaultRowHeight="12.75"/>
  <cols>
    <col min="1" max="1" width="5" style="1052" customWidth="1"/>
    <col min="2" max="2" width="35.140625" style="1051" customWidth="1"/>
    <col min="3" max="3" width="11.42578125" style="1051" customWidth="1"/>
    <col min="4" max="4" width="10.85546875" style="1051" customWidth="1"/>
    <col min="5" max="5" width="9.28515625" style="1051" customWidth="1"/>
    <col min="6" max="6" width="8.28515625" style="1051" customWidth="1"/>
    <col min="7" max="7" width="7.7109375" style="1051" customWidth="1"/>
    <col min="8" max="8" width="8.42578125" style="1051" customWidth="1"/>
    <col min="9" max="9" width="7.7109375" style="1051" customWidth="1"/>
    <col min="10" max="10" width="8" style="1051" customWidth="1"/>
    <col min="11" max="11" width="8.42578125" style="1051" customWidth="1"/>
    <col min="12" max="12" width="8.5703125" style="1051" customWidth="1"/>
    <col min="13" max="13" width="8.28515625" style="1051" customWidth="1"/>
    <col min="14" max="14" width="8" style="1051" customWidth="1"/>
    <col min="15" max="15" width="23.28515625" style="1051" customWidth="1"/>
    <col min="16" max="16384" width="8" style="1051"/>
  </cols>
  <sheetData>
    <row r="1" spans="1:16">
      <c r="A1" s="1812" t="s">
        <v>24</v>
      </c>
      <c r="B1" s="1812"/>
    </row>
    <row r="2" spans="1:16">
      <c r="A2" s="1812" t="s">
        <v>25</v>
      </c>
      <c r="B2" s="1812"/>
      <c r="C2" s="1812"/>
      <c r="D2" s="1812"/>
      <c r="E2" s="1812"/>
      <c r="F2" s="1812"/>
      <c r="G2" s="1812"/>
      <c r="H2" s="1812"/>
      <c r="I2" s="1812"/>
      <c r="J2" s="1812"/>
      <c r="K2" s="1812"/>
      <c r="L2" s="1812"/>
      <c r="M2" s="1812"/>
      <c r="N2" s="1812"/>
    </row>
    <row r="3" spans="1:16">
      <c r="A3" s="1812" t="s">
        <v>26</v>
      </c>
      <c r="B3" s="1812"/>
      <c r="C3" s="1812"/>
      <c r="D3" s="1812"/>
      <c r="E3" s="1812"/>
      <c r="F3" s="1812"/>
      <c r="G3" s="1812"/>
      <c r="H3" s="1812"/>
      <c r="I3" s="1812"/>
      <c r="J3" s="1812"/>
      <c r="K3" s="1812"/>
      <c r="L3" s="1812"/>
      <c r="M3" s="1812"/>
      <c r="N3" s="1812"/>
    </row>
    <row r="4" spans="1:16">
      <c r="C4" s="1053"/>
      <c r="D4" s="1053"/>
      <c r="E4" s="1054"/>
      <c r="F4" s="1055"/>
      <c r="G4" s="1055"/>
      <c r="N4" s="1056" t="s">
        <v>27</v>
      </c>
    </row>
    <row r="5" spans="1:16" ht="53.25" customHeight="1">
      <c r="A5" s="1057" t="s">
        <v>3</v>
      </c>
      <c r="B5" s="1057" t="s">
        <v>28</v>
      </c>
      <c r="C5" s="1058" t="s">
        <v>29</v>
      </c>
      <c r="D5" s="1059" t="s">
        <v>30</v>
      </c>
      <c r="E5" s="1060" t="s">
        <v>31</v>
      </c>
      <c r="F5" s="1061" t="s">
        <v>32</v>
      </c>
      <c r="G5" s="1062" t="s">
        <v>33</v>
      </c>
      <c r="H5" s="1061" t="s">
        <v>34</v>
      </c>
      <c r="I5" s="1062" t="s">
        <v>35</v>
      </c>
      <c r="J5" s="1062" t="s">
        <v>36</v>
      </c>
      <c r="K5" s="1061" t="s">
        <v>37</v>
      </c>
      <c r="L5" s="1062" t="s">
        <v>38</v>
      </c>
      <c r="M5" s="1062" t="s">
        <v>39</v>
      </c>
      <c r="N5" s="1062" t="s">
        <v>40</v>
      </c>
      <c r="O5" s="1063"/>
      <c r="P5" s="1063"/>
    </row>
    <row r="6" spans="1:16">
      <c r="A6" s="1064" t="s">
        <v>5</v>
      </c>
      <c r="B6" s="1064" t="s">
        <v>12</v>
      </c>
      <c r="C6" s="1064" t="s">
        <v>41</v>
      </c>
      <c r="D6" s="1065">
        <v>2</v>
      </c>
      <c r="E6" s="1064" t="s">
        <v>42</v>
      </c>
      <c r="F6" s="1065">
        <v>4</v>
      </c>
      <c r="G6" s="1064">
        <v>5</v>
      </c>
      <c r="H6" s="1065">
        <v>6</v>
      </c>
      <c r="I6" s="1064">
        <v>7</v>
      </c>
      <c r="J6" s="1064">
        <v>8</v>
      </c>
      <c r="K6" s="1065">
        <v>9</v>
      </c>
      <c r="L6" s="1064">
        <v>10</v>
      </c>
      <c r="M6" s="1065">
        <v>11</v>
      </c>
      <c r="N6" s="1064">
        <v>12</v>
      </c>
    </row>
    <row r="7" spans="1:16" ht="25.5">
      <c r="A7" s="1066" t="s">
        <v>5</v>
      </c>
      <c r="B7" s="1067" t="s">
        <v>43</v>
      </c>
      <c r="C7" s="1068">
        <f>D7+E7</f>
        <v>3456722</v>
      </c>
      <c r="D7" s="1069">
        <v>2894522</v>
      </c>
      <c r="E7" s="1069">
        <f>SUM(F7:N7)</f>
        <v>562200</v>
      </c>
      <c r="F7" s="1070">
        <v>54700</v>
      </c>
      <c r="G7" s="1071">
        <v>30400</v>
      </c>
      <c r="H7" s="1071">
        <v>41000</v>
      </c>
      <c r="I7" s="1071">
        <v>61200</v>
      </c>
      <c r="J7" s="1071">
        <v>26000</v>
      </c>
      <c r="K7" s="1071">
        <v>40900</v>
      </c>
      <c r="L7" s="1071">
        <v>50200</v>
      </c>
      <c r="M7" s="1071">
        <v>65900</v>
      </c>
      <c r="N7" s="1071">
        <v>191900</v>
      </c>
    </row>
    <row r="8" spans="1:16">
      <c r="A8" s="1072"/>
      <c r="B8" s="1073" t="s">
        <v>44</v>
      </c>
      <c r="C8" s="1074"/>
      <c r="D8" s="1075"/>
      <c r="E8" s="1075">
        <v>0</v>
      </c>
      <c r="F8" s="1076"/>
      <c r="G8" s="1077"/>
      <c r="H8" s="1077"/>
      <c r="I8" s="1077"/>
      <c r="J8" s="1077"/>
      <c r="K8" s="1077"/>
      <c r="L8" s="1077"/>
      <c r="M8" s="1077"/>
      <c r="N8" s="1077"/>
    </row>
    <row r="9" spans="1:16">
      <c r="A9" s="1072">
        <v>1</v>
      </c>
      <c r="B9" s="1073" t="s">
        <v>45</v>
      </c>
      <c r="C9" s="1078">
        <f>D9+E9</f>
        <v>140000</v>
      </c>
      <c r="D9" s="1079">
        <v>87200</v>
      </c>
      <c r="E9" s="1079">
        <f>SUM(F9:N9)</f>
        <v>52800</v>
      </c>
      <c r="F9" s="1074">
        <v>4000</v>
      </c>
      <c r="G9" s="1080">
        <v>2500</v>
      </c>
      <c r="H9" s="1080">
        <v>1700</v>
      </c>
      <c r="I9" s="1080">
        <v>4500</v>
      </c>
      <c r="J9" s="1080">
        <v>600</v>
      </c>
      <c r="K9" s="1080">
        <v>3500</v>
      </c>
      <c r="L9" s="1080">
        <v>2500</v>
      </c>
      <c r="M9" s="1080">
        <v>3500</v>
      </c>
      <c r="N9" s="1080">
        <v>30000</v>
      </c>
    </row>
    <row r="10" spans="1:16">
      <c r="A10" s="1072">
        <v>2</v>
      </c>
      <c r="B10" s="1073" t="s">
        <v>46</v>
      </c>
      <c r="C10" s="1078">
        <f>D10+E10</f>
        <v>960000</v>
      </c>
      <c r="D10" s="1079">
        <v>960000</v>
      </c>
      <c r="E10" s="1079">
        <f t="shared" ref="E10:E13" si="0">SUM(F10:N10)</f>
        <v>0</v>
      </c>
      <c r="F10" s="1080"/>
      <c r="G10" s="1080"/>
      <c r="H10" s="1080"/>
      <c r="I10" s="1080"/>
      <c r="J10" s="1080"/>
      <c r="K10" s="1080"/>
      <c r="L10" s="1080"/>
      <c r="M10" s="1080"/>
      <c r="N10" s="1080"/>
    </row>
    <row r="11" spans="1:16" s="1085" customFormat="1" ht="25.5">
      <c r="A11" s="1081">
        <v>3</v>
      </c>
      <c r="B11" s="1082" t="s">
        <v>47</v>
      </c>
      <c r="C11" s="1074">
        <f t="shared" ref="C11:C13" si="1">D11+E11</f>
        <v>15000</v>
      </c>
      <c r="D11" s="1079">
        <v>15000</v>
      </c>
      <c r="E11" s="1079">
        <f t="shared" si="0"/>
        <v>0</v>
      </c>
      <c r="F11" s="1083"/>
      <c r="G11" s="1083"/>
      <c r="H11" s="1083"/>
      <c r="I11" s="1083"/>
      <c r="J11" s="1083"/>
      <c r="K11" s="1083"/>
      <c r="L11" s="1083"/>
      <c r="M11" s="1083"/>
      <c r="N11" s="1083"/>
      <c r="O11" s="1084" t="s">
        <v>48</v>
      </c>
    </row>
    <row r="12" spans="1:16" ht="25.5">
      <c r="A12" s="1072">
        <v>4</v>
      </c>
      <c r="B12" s="1086" t="s">
        <v>49</v>
      </c>
      <c r="C12" s="1078">
        <f t="shared" si="1"/>
        <v>100</v>
      </c>
      <c r="D12" s="1079"/>
      <c r="E12" s="1079">
        <f t="shared" si="0"/>
        <v>100</v>
      </c>
      <c r="F12" s="1080">
        <v>20</v>
      </c>
      <c r="G12" s="1080">
        <v>10</v>
      </c>
      <c r="H12" s="1080">
        <v>20</v>
      </c>
      <c r="I12" s="1080">
        <v>10</v>
      </c>
      <c r="J12" s="1080">
        <v>10</v>
      </c>
      <c r="K12" s="1080">
        <v>10</v>
      </c>
      <c r="L12" s="1080">
        <v>10</v>
      </c>
      <c r="M12" s="1080">
        <v>10</v>
      </c>
      <c r="N12" s="1080"/>
    </row>
    <row r="13" spans="1:16" ht="25.5">
      <c r="A13" s="1072">
        <v>5</v>
      </c>
      <c r="B13" s="1086" t="s">
        <v>50</v>
      </c>
      <c r="C13" s="1078">
        <f t="shared" si="1"/>
        <v>500</v>
      </c>
      <c r="D13" s="1079">
        <v>120</v>
      </c>
      <c r="E13" s="1079">
        <f t="shared" si="0"/>
        <v>380</v>
      </c>
      <c r="F13" s="1080"/>
      <c r="G13" s="1080"/>
      <c r="H13" s="1080"/>
      <c r="I13" s="1080"/>
      <c r="J13" s="1080"/>
      <c r="K13" s="1080"/>
      <c r="L13" s="1080"/>
      <c r="M13" s="1080">
        <v>380</v>
      </c>
      <c r="N13" s="1080"/>
    </row>
    <row r="14" spans="1:16" s="1092" customFormat="1" ht="25.5">
      <c r="A14" s="1087" t="s">
        <v>12</v>
      </c>
      <c r="B14" s="1088" t="s">
        <v>51</v>
      </c>
      <c r="C14" s="1089">
        <f>D14+E14</f>
        <v>8956947</v>
      </c>
      <c r="D14" s="1089">
        <v>7115979</v>
      </c>
      <c r="E14" s="1089">
        <f>SUM(F14:N14)</f>
        <v>1840968</v>
      </c>
      <c r="F14" s="1090">
        <v>165732</v>
      </c>
      <c r="G14" s="1090">
        <v>148323</v>
      </c>
      <c r="H14" s="1090">
        <v>167517</v>
      </c>
      <c r="I14" s="1090">
        <v>229321</v>
      </c>
      <c r="J14" s="1090">
        <v>136007</v>
      </c>
      <c r="K14" s="1090">
        <v>194656</v>
      </c>
      <c r="L14" s="1090">
        <v>247157</v>
      </c>
      <c r="M14" s="1090">
        <v>192213</v>
      </c>
      <c r="N14" s="1090">
        <v>360042</v>
      </c>
      <c r="O14" s="1091" t="s">
        <v>52</v>
      </c>
    </row>
    <row r="15" spans="1:16" ht="25.5">
      <c r="A15" s="1093" t="s">
        <v>13</v>
      </c>
      <c r="B15" s="1094" t="s">
        <v>53</v>
      </c>
      <c r="C15" s="1095">
        <f>D15+E15</f>
        <v>4581108</v>
      </c>
      <c r="D15" s="1095">
        <f t="shared" ref="D15:N15" si="2">SUM(D16:D21)</f>
        <v>3413420</v>
      </c>
      <c r="E15" s="1095">
        <f t="shared" si="2"/>
        <v>1167688</v>
      </c>
      <c r="F15" s="1095">
        <f t="shared" si="2"/>
        <v>111991</v>
      </c>
      <c r="G15" s="1095">
        <f t="shared" si="2"/>
        <v>108153</v>
      </c>
      <c r="H15" s="1095">
        <f t="shared" si="2"/>
        <v>128348</v>
      </c>
      <c r="I15" s="1095">
        <f t="shared" si="2"/>
        <v>142600</v>
      </c>
      <c r="J15" s="1095">
        <f t="shared" si="2"/>
        <v>106942</v>
      </c>
      <c r="K15" s="1095">
        <f t="shared" si="2"/>
        <v>148762</v>
      </c>
      <c r="L15" s="1095">
        <f t="shared" si="2"/>
        <v>195328</v>
      </c>
      <c r="M15" s="1095">
        <f t="shared" si="2"/>
        <v>111344</v>
      </c>
      <c r="N15" s="1095">
        <f t="shared" si="2"/>
        <v>114220</v>
      </c>
    </row>
    <row r="16" spans="1:16" ht="18.75" customHeight="1">
      <c r="A16" s="1096">
        <v>1</v>
      </c>
      <c r="B16" s="1097" t="s">
        <v>54</v>
      </c>
      <c r="C16" s="1098">
        <f t="shared" ref="C16:C23" si="3">D16+E16</f>
        <v>56457</v>
      </c>
      <c r="D16" s="1098">
        <v>41523</v>
      </c>
      <c r="E16" s="1098">
        <f>SUM(F16:N16)</f>
        <v>14934</v>
      </c>
      <c r="F16" s="1099">
        <v>1105</v>
      </c>
      <c r="G16" s="1099">
        <v>401</v>
      </c>
      <c r="H16" s="1099">
        <v>649</v>
      </c>
      <c r="I16" s="1099">
        <v>222</v>
      </c>
      <c r="J16" s="1099">
        <v>939</v>
      </c>
      <c r="K16" s="1099">
        <v>2603</v>
      </c>
      <c r="L16" s="1099">
        <v>2112</v>
      </c>
      <c r="M16" s="1099">
        <v>271</v>
      </c>
      <c r="N16" s="1099">
        <v>6632</v>
      </c>
      <c r="O16" s="1051" t="s">
        <v>55</v>
      </c>
    </row>
    <row r="17" spans="1:15" ht="38.25">
      <c r="A17" s="1100">
        <v>2</v>
      </c>
      <c r="B17" s="1101" t="s">
        <v>56</v>
      </c>
      <c r="C17" s="1078">
        <f t="shared" si="3"/>
        <v>34</v>
      </c>
      <c r="D17" s="1078"/>
      <c r="E17" s="1078">
        <f>SUM(F17:N17)</f>
        <v>34</v>
      </c>
      <c r="F17" s="1080" t="s">
        <v>57</v>
      </c>
      <c r="G17" s="1080"/>
      <c r="H17" s="1080"/>
      <c r="I17" s="1080"/>
      <c r="J17" s="1080">
        <v>34</v>
      </c>
      <c r="K17" s="1080"/>
      <c r="L17" s="1080"/>
      <c r="M17" s="1080"/>
      <c r="N17" s="1080"/>
    </row>
    <row r="18" spans="1:15">
      <c r="A18" s="1100">
        <v>3</v>
      </c>
      <c r="B18" s="1102" t="s">
        <v>58</v>
      </c>
      <c r="C18" s="1078">
        <f t="shared" si="3"/>
        <v>1328</v>
      </c>
      <c r="D18" s="1078"/>
      <c r="E18" s="1078">
        <f t="shared" ref="E18:E23" si="4">SUM(F18:N18)</f>
        <v>1328</v>
      </c>
      <c r="F18" s="1103"/>
      <c r="G18" s="1103"/>
      <c r="H18" s="1103"/>
      <c r="I18" s="1103"/>
      <c r="J18" s="1103"/>
      <c r="K18" s="1103">
        <v>1328</v>
      </c>
      <c r="L18" s="1103"/>
      <c r="M18" s="1103"/>
      <c r="N18" s="1103"/>
      <c r="O18" s="1104"/>
    </row>
    <row r="19" spans="1:15" ht="24">
      <c r="A19" s="1100">
        <v>4</v>
      </c>
      <c r="B19" s="1105" t="s">
        <v>59</v>
      </c>
      <c r="C19" s="1078">
        <f t="shared" si="3"/>
        <v>18054</v>
      </c>
      <c r="D19" s="1078">
        <v>13000</v>
      </c>
      <c r="E19" s="1078">
        <f t="shared" si="4"/>
        <v>5054</v>
      </c>
      <c r="F19" s="1080"/>
      <c r="G19" s="1080">
        <v>5000</v>
      </c>
      <c r="H19" s="1080"/>
      <c r="I19" s="1080"/>
      <c r="J19" s="1080"/>
      <c r="K19" s="1080"/>
      <c r="L19" s="1080"/>
      <c r="M19" s="1080">
        <v>54</v>
      </c>
      <c r="N19" s="1080"/>
    </row>
    <row r="20" spans="1:15" ht="25.5">
      <c r="A20" s="1100">
        <v>5</v>
      </c>
      <c r="B20" s="1073" t="s">
        <v>60</v>
      </c>
      <c r="C20" s="1078">
        <f t="shared" si="3"/>
        <v>2987989</v>
      </c>
      <c r="D20" s="1078">
        <v>2591553</v>
      </c>
      <c r="E20" s="1078">
        <f t="shared" si="4"/>
        <v>396436</v>
      </c>
      <c r="F20" s="1103">
        <v>60475</v>
      </c>
      <c r="G20" s="1103">
        <v>48322</v>
      </c>
      <c r="H20" s="1103">
        <v>25129</v>
      </c>
      <c r="I20" s="1103">
        <v>33755</v>
      </c>
      <c r="J20" s="1103">
        <v>27322</v>
      </c>
      <c r="K20" s="1103">
        <v>84936</v>
      </c>
      <c r="L20" s="1103">
        <v>53906</v>
      </c>
      <c r="M20" s="1103">
        <v>34901</v>
      </c>
      <c r="N20" s="1103">
        <v>27690</v>
      </c>
    </row>
    <row r="21" spans="1:15" ht="16.5" customHeight="1">
      <c r="A21" s="1096">
        <v>6</v>
      </c>
      <c r="B21" s="1106" t="s">
        <v>61</v>
      </c>
      <c r="C21" s="1098">
        <f t="shared" si="3"/>
        <v>1517246</v>
      </c>
      <c r="D21" s="1098">
        <v>767344</v>
      </c>
      <c r="E21" s="1098">
        <f t="shared" si="4"/>
        <v>749902</v>
      </c>
      <c r="F21" s="1107">
        <v>50411</v>
      </c>
      <c r="G21" s="1107">
        <v>54430</v>
      </c>
      <c r="H21" s="1107">
        <v>102570</v>
      </c>
      <c r="I21" s="1107">
        <v>108623</v>
      </c>
      <c r="J21" s="1107">
        <v>78647</v>
      </c>
      <c r="K21" s="1107">
        <v>59895</v>
      </c>
      <c r="L21" s="1107">
        <v>139310</v>
      </c>
      <c r="M21" s="1107">
        <v>76118</v>
      </c>
      <c r="N21" s="1107">
        <v>79898</v>
      </c>
    </row>
    <row r="22" spans="1:15" hidden="1">
      <c r="A22" s="1096"/>
      <c r="B22" s="1106" t="s">
        <v>62</v>
      </c>
      <c r="C22" s="1098">
        <f t="shared" si="3"/>
        <v>1022410</v>
      </c>
      <c r="D22" s="1098">
        <v>556869</v>
      </c>
      <c r="E22" s="1098">
        <f t="shared" si="4"/>
        <v>465541</v>
      </c>
      <c r="F22" s="1107">
        <v>50412</v>
      </c>
      <c r="G22" s="1107">
        <v>19507</v>
      </c>
      <c r="H22" s="1107">
        <v>28144</v>
      </c>
      <c r="I22" s="1107">
        <v>75937</v>
      </c>
      <c r="J22" s="1107">
        <v>77682</v>
      </c>
      <c r="K22" s="1107">
        <v>25271</v>
      </c>
      <c r="L22" s="1107">
        <v>118625</v>
      </c>
      <c r="M22" s="1107">
        <v>6089</v>
      </c>
      <c r="N22" s="1107">
        <v>63874</v>
      </c>
      <c r="O22" s="1051" t="s">
        <v>63</v>
      </c>
    </row>
    <row r="23" spans="1:15" s="1092" customFormat="1" hidden="1">
      <c r="A23" s="1096"/>
      <c r="B23" s="1106" t="s">
        <v>64</v>
      </c>
      <c r="C23" s="1098">
        <f t="shared" si="3"/>
        <v>0</v>
      </c>
      <c r="D23" s="1098"/>
      <c r="E23" s="1098">
        <f t="shared" si="4"/>
        <v>0</v>
      </c>
      <c r="F23" s="1107"/>
      <c r="G23" s="1107"/>
      <c r="H23" s="1107"/>
      <c r="I23" s="1107"/>
      <c r="J23" s="1107"/>
      <c r="K23" s="1107"/>
      <c r="L23" s="1107"/>
      <c r="M23" s="1107"/>
      <c r="N23" s="1107"/>
    </row>
    <row r="24" spans="1:15" s="1092" customFormat="1" hidden="1">
      <c r="A24" s="1096"/>
      <c r="B24" s="1106"/>
      <c r="C24" s="1098"/>
      <c r="D24" s="1098"/>
      <c r="E24" s="1098"/>
      <c r="F24" s="1107"/>
      <c r="G24" s="1107"/>
      <c r="H24" s="1107"/>
      <c r="I24" s="1107"/>
      <c r="J24" s="1107"/>
      <c r="K24" s="1107"/>
      <c r="L24" s="1107"/>
      <c r="M24" s="1107"/>
      <c r="N24" s="1107"/>
    </row>
    <row r="25" spans="1:15">
      <c r="A25" s="1108" t="s">
        <v>65</v>
      </c>
      <c r="B25" s="1109" t="s">
        <v>66</v>
      </c>
      <c r="C25" s="1068">
        <f t="shared" ref="C25:N25" si="5">C14-C15</f>
        <v>4375839</v>
      </c>
      <c r="D25" s="1068">
        <f t="shared" si="5"/>
        <v>3702559</v>
      </c>
      <c r="E25" s="1068">
        <f t="shared" si="5"/>
        <v>673280</v>
      </c>
      <c r="F25" s="1068">
        <f t="shared" si="5"/>
        <v>53741</v>
      </c>
      <c r="G25" s="1068">
        <f t="shared" si="5"/>
        <v>40170</v>
      </c>
      <c r="H25" s="1068">
        <f t="shared" si="5"/>
        <v>39169</v>
      </c>
      <c r="I25" s="1068">
        <f t="shared" si="5"/>
        <v>86721</v>
      </c>
      <c r="J25" s="1068">
        <f t="shared" si="5"/>
        <v>29065</v>
      </c>
      <c r="K25" s="1068">
        <f t="shared" si="5"/>
        <v>45894</v>
      </c>
      <c r="L25" s="1068">
        <f t="shared" si="5"/>
        <v>51829</v>
      </c>
      <c r="M25" s="1068">
        <f t="shared" si="5"/>
        <v>80869</v>
      </c>
      <c r="N25" s="1068">
        <f t="shared" si="5"/>
        <v>245822</v>
      </c>
      <c r="O25" s="1110"/>
    </row>
    <row r="26" spans="1:15">
      <c r="A26" s="1072"/>
      <c r="B26" s="1073" t="s">
        <v>44</v>
      </c>
      <c r="C26" s="1074"/>
      <c r="D26" s="1074"/>
      <c r="E26" s="1074"/>
      <c r="F26" s="1080"/>
      <c r="G26" s="1080"/>
      <c r="H26" s="1080"/>
      <c r="I26" s="1080"/>
      <c r="J26" s="1080"/>
      <c r="K26" s="1080"/>
      <c r="L26" s="1080"/>
      <c r="M26" s="1080"/>
      <c r="N26" s="1080"/>
    </row>
    <row r="27" spans="1:15">
      <c r="A27" s="1072">
        <v>1</v>
      </c>
      <c r="B27" s="1073" t="s">
        <v>67</v>
      </c>
      <c r="C27" s="1078">
        <f>D27+E27</f>
        <v>218592</v>
      </c>
      <c r="D27" s="1078">
        <v>84440</v>
      </c>
      <c r="E27" s="1078">
        <f t="shared" ref="E27:E31" si="6">SUM(F27:N27)</f>
        <v>134152</v>
      </c>
      <c r="F27" s="1080">
        <v>6203</v>
      </c>
      <c r="G27" s="1080">
        <v>2168</v>
      </c>
      <c r="H27" s="1080">
        <v>2668</v>
      </c>
      <c r="I27" s="1080">
        <v>22181</v>
      </c>
      <c r="J27" s="1080">
        <v>636</v>
      </c>
      <c r="K27" s="1080">
        <v>10341</v>
      </c>
      <c r="L27" s="1080">
        <v>3996</v>
      </c>
      <c r="M27" s="1080">
        <v>7068</v>
      </c>
      <c r="N27" s="1080">
        <v>78891</v>
      </c>
    </row>
    <row r="28" spans="1:15" ht="25.5">
      <c r="A28" s="1072">
        <v>2</v>
      </c>
      <c r="B28" s="1111" t="s">
        <v>68</v>
      </c>
      <c r="C28" s="1078">
        <f>D28+E28</f>
        <v>1105952</v>
      </c>
      <c r="D28" s="1078">
        <v>1105952</v>
      </c>
      <c r="E28" s="1078">
        <f t="shared" si="6"/>
        <v>0</v>
      </c>
      <c r="F28" s="1080"/>
      <c r="G28" s="1080"/>
      <c r="H28" s="1080"/>
      <c r="I28" s="1080"/>
      <c r="J28" s="1080"/>
      <c r="K28" s="1080"/>
      <c r="L28" s="1080"/>
      <c r="M28" s="1080"/>
      <c r="N28" s="1080"/>
      <c r="O28" s="1104"/>
    </row>
    <row r="29" spans="1:15" ht="25.5">
      <c r="A29" s="1072">
        <v>3</v>
      </c>
      <c r="B29" s="1082" t="s">
        <v>47</v>
      </c>
      <c r="C29" s="1078">
        <f t="shared" ref="C29:C31" si="7">D29+E29</f>
        <v>0</v>
      </c>
      <c r="D29" s="1078"/>
      <c r="E29" s="1078">
        <f t="shared" si="6"/>
        <v>0</v>
      </c>
      <c r="F29" s="1080"/>
      <c r="G29" s="1080"/>
      <c r="H29" s="1080"/>
      <c r="I29" s="1080"/>
      <c r="J29" s="1080"/>
      <c r="K29" s="1080"/>
      <c r="L29" s="1080"/>
      <c r="M29" s="1080"/>
      <c r="N29" s="1080"/>
      <c r="O29" s="1104"/>
    </row>
    <row r="30" spans="1:15" ht="25.5">
      <c r="A30" s="1112">
        <v>4</v>
      </c>
      <c r="B30" s="1113" t="s">
        <v>49</v>
      </c>
      <c r="C30" s="1114">
        <f t="shared" si="7"/>
        <v>35</v>
      </c>
      <c r="D30" s="1114"/>
      <c r="E30" s="1114">
        <f t="shared" si="6"/>
        <v>35</v>
      </c>
      <c r="F30" s="1114">
        <v>24</v>
      </c>
      <c r="G30" s="1114"/>
      <c r="H30" s="1114">
        <v>11</v>
      </c>
      <c r="I30" s="1114"/>
      <c r="J30" s="1114"/>
      <c r="K30" s="1114"/>
      <c r="L30" s="1114"/>
      <c r="M30" s="1114"/>
      <c r="N30" s="1114"/>
      <c r="O30" s="1104"/>
    </row>
    <row r="31" spans="1:15" ht="25.5">
      <c r="A31" s="1112">
        <v>5</v>
      </c>
      <c r="B31" s="1113" t="s">
        <v>50</v>
      </c>
      <c r="C31" s="1114">
        <f t="shared" si="7"/>
        <v>26879</v>
      </c>
      <c r="D31" s="1114">
        <v>26400</v>
      </c>
      <c r="E31" s="1114">
        <f t="shared" si="6"/>
        <v>479</v>
      </c>
      <c r="F31" s="1114"/>
      <c r="G31" s="1114"/>
      <c r="H31" s="1114"/>
      <c r="I31" s="1114"/>
      <c r="J31" s="1114"/>
      <c r="K31" s="1114"/>
      <c r="L31" s="1114"/>
      <c r="M31" s="1114">
        <v>479</v>
      </c>
      <c r="N31" s="1114"/>
      <c r="O31" s="1104"/>
    </row>
    <row r="32" spans="1:15" ht="25.5">
      <c r="A32" s="1093" t="s">
        <v>69</v>
      </c>
      <c r="B32" s="1094" t="s">
        <v>70</v>
      </c>
      <c r="C32" s="1095">
        <f>C25-C7</f>
        <v>919117</v>
      </c>
      <c r="D32" s="1095">
        <f>D25-D7</f>
        <v>808037</v>
      </c>
      <c r="E32" s="1095">
        <f t="shared" ref="E32:N32" si="8">E25-E7</f>
        <v>111080</v>
      </c>
      <c r="F32" s="1095">
        <f t="shared" si="8"/>
        <v>-959</v>
      </c>
      <c r="G32" s="1095">
        <f t="shared" si="8"/>
        <v>9770</v>
      </c>
      <c r="H32" s="1095">
        <f t="shared" si="8"/>
        <v>-1831</v>
      </c>
      <c r="I32" s="1095">
        <f t="shared" si="8"/>
        <v>25521</v>
      </c>
      <c r="J32" s="1095">
        <f t="shared" si="8"/>
        <v>3065</v>
      </c>
      <c r="K32" s="1095">
        <f t="shared" si="8"/>
        <v>4994</v>
      </c>
      <c r="L32" s="1095">
        <f t="shared" si="8"/>
        <v>1629</v>
      </c>
      <c r="M32" s="1095">
        <f t="shared" si="8"/>
        <v>14969</v>
      </c>
      <c r="N32" s="1095">
        <f t="shared" si="8"/>
        <v>53922</v>
      </c>
    </row>
    <row r="33" spans="1:15" s="1117" customFormat="1" ht="25.5">
      <c r="A33" s="1115" t="s">
        <v>71</v>
      </c>
      <c r="B33" s="1094" t="s">
        <v>72</v>
      </c>
      <c r="C33" s="1095">
        <f>(C25-C27-C28)-(C7-C9-C10)</f>
        <v>694573</v>
      </c>
      <c r="D33" s="1095">
        <f>(D25-D27-D28)-(D7-D9-D10)</f>
        <v>664845</v>
      </c>
      <c r="E33" s="1095">
        <f t="shared" ref="E33:N33" si="9">(E25-E27-E28)-(E7-E9-E10)</f>
        <v>29728</v>
      </c>
      <c r="F33" s="1095">
        <f t="shared" si="9"/>
        <v>-3162</v>
      </c>
      <c r="G33" s="1095">
        <f t="shared" si="9"/>
        <v>10102</v>
      </c>
      <c r="H33" s="1095">
        <f t="shared" si="9"/>
        <v>-2799</v>
      </c>
      <c r="I33" s="1095">
        <f t="shared" si="9"/>
        <v>7840</v>
      </c>
      <c r="J33" s="1095">
        <f t="shared" si="9"/>
        <v>3029</v>
      </c>
      <c r="K33" s="1095">
        <f t="shared" si="9"/>
        <v>-1847</v>
      </c>
      <c r="L33" s="1095">
        <f t="shared" si="9"/>
        <v>133</v>
      </c>
      <c r="M33" s="1095">
        <f t="shared" si="9"/>
        <v>11401</v>
      </c>
      <c r="N33" s="1095">
        <f t="shared" si="9"/>
        <v>5031</v>
      </c>
      <c r="O33" s="1116"/>
    </row>
    <row r="34" spans="1:15" s="1117" customFormat="1">
      <c r="A34" s="1115" t="s">
        <v>73</v>
      </c>
      <c r="B34" s="1094" t="s">
        <v>74</v>
      </c>
      <c r="C34" s="1095">
        <f>SUM(C35:C37)</f>
        <v>26379</v>
      </c>
      <c r="D34" s="1095">
        <f t="shared" ref="D34:N34" si="10">SUM(D35:D37)</f>
        <v>26280</v>
      </c>
      <c r="E34" s="1095">
        <f t="shared" si="10"/>
        <v>99</v>
      </c>
      <c r="F34" s="1095">
        <f t="shared" si="10"/>
        <v>0</v>
      </c>
      <c r="G34" s="1095">
        <f t="shared" si="10"/>
        <v>0</v>
      </c>
      <c r="H34" s="1095">
        <f t="shared" si="10"/>
        <v>0</v>
      </c>
      <c r="I34" s="1095">
        <f t="shared" si="10"/>
        <v>0</v>
      </c>
      <c r="J34" s="1095">
        <f t="shared" si="10"/>
        <v>0</v>
      </c>
      <c r="K34" s="1095">
        <f t="shared" si="10"/>
        <v>0</v>
      </c>
      <c r="L34" s="1095">
        <f t="shared" si="10"/>
        <v>0</v>
      </c>
      <c r="M34" s="1095">
        <f t="shared" si="10"/>
        <v>99</v>
      </c>
      <c r="N34" s="1095">
        <f t="shared" si="10"/>
        <v>0</v>
      </c>
      <c r="O34" s="1116"/>
    </row>
    <row r="35" spans="1:15" ht="25.5">
      <c r="A35" s="1072"/>
      <c r="B35" s="1073" t="s">
        <v>75</v>
      </c>
      <c r="C35" s="1078">
        <f>C31-C13</f>
        <v>26379</v>
      </c>
      <c r="D35" s="1078">
        <f>D31-D13</f>
        <v>26280</v>
      </c>
      <c r="E35" s="1078">
        <f t="shared" ref="E35:N35" si="11">E31-E13</f>
        <v>99</v>
      </c>
      <c r="F35" s="1078">
        <f t="shared" si="11"/>
        <v>0</v>
      </c>
      <c r="G35" s="1078">
        <f t="shared" si="11"/>
        <v>0</v>
      </c>
      <c r="H35" s="1078">
        <f t="shared" si="11"/>
        <v>0</v>
      </c>
      <c r="I35" s="1078">
        <f t="shared" si="11"/>
        <v>0</v>
      </c>
      <c r="J35" s="1078">
        <f t="shared" si="11"/>
        <v>0</v>
      </c>
      <c r="K35" s="1078">
        <f t="shared" si="11"/>
        <v>0</v>
      </c>
      <c r="L35" s="1078">
        <f t="shared" si="11"/>
        <v>0</v>
      </c>
      <c r="M35" s="1078">
        <f t="shared" si="11"/>
        <v>99</v>
      </c>
      <c r="N35" s="1078">
        <f t="shared" si="11"/>
        <v>0</v>
      </c>
      <c r="O35" s="1104"/>
    </row>
    <row r="36" spans="1:15">
      <c r="A36" s="1072"/>
      <c r="B36" s="1073" t="s">
        <v>76</v>
      </c>
      <c r="C36" s="1078"/>
      <c r="D36" s="1078"/>
      <c r="E36" s="1078"/>
      <c r="F36" s="1078"/>
      <c r="G36" s="1078"/>
      <c r="H36" s="1078"/>
      <c r="I36" s="1078"/>
      <c r="J36" s="1078"/>
      <c r="K36" s="1078"/>
      <c r="L36" s="1078"/>
      <c r="M36" s="1078"/>
      <c r="N36" s="1078"/>
      <c r="O36" s="1104"/>
    </row>
    <row r="37" spans="1:15" ht="25.5">
      <c r="A37" s="1072"/>
      <c r="B37" s="1113" t="s">
        <v>77</v>
      </c>
      <c r="C37" s="1078"/>
      <c r="D37" s="1078"/>
      <c r="E37" s="1078"/>
      <c r="F37" s="1078"/>
      <c r="G37" s="1078"/>
      <c r="H37" s="1078"/>
      <c r="I37" s="1078"/>
      <c r="J37" s="1078"/>
      <c r="K37" s="1078"/>
      <c r="L37" s="1078"/>
      <c r="M37" s="1078"/>
      <c r="N37" s="1078"/>
      <c r="O37" s="1104"/>
    </row>
    <row r="38" spans="1:15" ht="38.25">
      <c r="A38" s="1118" t="s">
        <v>78</v>
      </c>
      <c r="B38" s="1119" t="s">
        <v>79</v>
      </c>
      <c r="C38" s="1120">
        <f>SUM(D38,E38)</f>
        <v>668194</v>
      </c>
      <c r="D38" s="1120">
        <f>D33-D34</f>
        <v>638565</v>
      </c>
      <c r="E38" s="1120">
        <f t="shared" ref="E38:N38" si="12">E33-E34</f>
        <v>29629</v>
      </c>
      <c r="F38" s="1120">
        <f t="shared" si="12"/>
        <v>-3162</v>
      </c>
      <c r="G38" s="1120">
        <f t="shared" si="12"/>
        <v>10102</v>
      </c>
      <c r="H38" s="1120">
        <f t="shared" si="12"/>
        <v>-2799</v>
      </c>
      <c r="I38" s="1120">
        <f t="shared" si="12"/>
        <v>7840</v>
      </c>
      <c r="J38" s="1120">
        <f t="shared" si="12"/>
        <v>3029</v>
      </c>
      <c r="K38" s="1120">
        <f t="shared" si="12"/>
        <v>-1847</v>
      </c>
      <c r="L38" s="1120">
        <f t="shared" si="12"/>
        <v>133</v>
      </c>
      <c r="M38" s="1120">
        <f t="shared" si="12"/>
        <v>11302</v>
      </c>
      <c r="N38" s="1120">
        <f t="shared" si="12"/>
        <v>5031</v>
      </c>
      <c r="O38" s="1104"/>
    </row>
    <row r="39" spans="1:15" s="1125" customFormat="1">
      <c r="A39" s="1121"/>
      <c r="B39" s="1122"/>
      <c r="C39" s="1123"/>
      <c r="D39" s="1123"/>
      <c r="E39" s="1123"/>
      <c r="F39" s="1123"/>
      <c r="G39" s="1123"/>
      <c r="H39" s="1123"/>
      <c r="I39" s="1123"/>
      <c r="J39" s="1813" t="s">
        <v>22</v>
      </c>
      <c r="K39" s="1813"/>
      <c r="L39" s="1813"/>
      <c r="M39" s="1813"/>
      <c r="N39" s="1813"/>
      <c r="O39" s="1124"/>
    </row>
    <row r="40" spans="1:15" s="1125" customFormat="1">
      <c r="A40" s="1121"/>
      <c r="B40" s="1122"/>
      <c r="C40" s="1123"/>
      <c r="D40" s="1123"/>
      <c r="E40" s="1123"/>
      <c r="F40" s="1123"/>
      <c r="G40" s="1123"/>
      <c r="H40" s="1123"/>
      <c r="I40" s="1123"/>
      <c r="J40" s="1814" t="s">
        <v>23</v>
      </c>
      <c r="K40" s="1814"/>
      <c r="L40" s="1814"/>
      <c r="M40" s="1814"/>
      <c r="N40" s="1814"/>
      <c r="O40" s="1124"/>
    </row>
    <row r="41" spans="1:15" s="1125" customFormat="1">
      <c r="A41" s="1121"/>
      <c r="B41" s="1122"/>
      <c r="C41" s="1123"/>
      <c r="D41" s="1123"/>
      <c r="E41" s="1123"/>
      <c r="F41" s="1123"/>
      <c r="G41" s="1123"/>
      <c r="H41" s="1123"/>
      <c r="I41" s="1123"/>
      <c r="J41" s="1123"/>
      <c r="K41" s="1123"/>
      <c r="L41" s="1123"/>
      <c r="M41" s="1123"/>
      <c r="N41" s="1123"/>
      <c r="O41" s="1124"/>
    </row>
    <row r="42" spans="1:15" s="1125" customFormat="1">
      <c r="A42" s="1121"/>
      <c r="B42" s="1122"/>
      <c r="C42" s="1123"/>
      <c r="D42" s="1123"/>
      <c r="E42" s="1123"/>
      <c r="F42" s="1123"/>
      <c r="G42" s="1123"/>
      <c r="H42" s="1123"/>
      <c r="I42" s="1123"/>
      <c r="J42" s="1123"/>
      <c r="K42" s="1123"/>
      <c r="L42" s="1123"/>
      <c r="M42" s="1123"/>
      <c r="N42" s="1123"/>
      <c r="O42" s="1124"/>
    </row>
    <row r="43" spans="1:15" s="1125" customFormat="1">
      <c r="A43" s="1121"/>
      <c r="B43" s="1122"/>
      <c r="C43" s="1123"/>
      <c r="D43" s="1123"/>
      <c r="E43" s="1123"/>
      <c r="F43" s="1123"/>
      <c r="G43" s="1123"/>
      <c r="H43" s="1123"/>
      <c r="I43" s="1123"/>
      <c r="J43" s="1123"/>
      <c r="K43" s="1123"/>
      <c r="L43" s="1123"/>
      <c r="M43" s="1123"/>
      <c r="N43" s="1123"/>
      <c r="O43" s="1124"/>
    </row>
    <row r="44" spans="1:15" s="1125" customFormat="1">
      <c r="A44" s="1121"/>
      <c r="B44" s="1122"/>
      <c r="C44" s="1123"/>
      <c r="D44" s="1123"/>
      <c r="E44" s="1123"/>
      <c r="F44" s="1123"/>
      <c r="G44" s="1123"/>
      <c r="H44" s="1123"/>
      <c r="I44" s="1123"/>
      <c r="J44" s="1123"/>
      <c r="K44" s="1123"/>
      <c r="L44" s="1123"/>
      <c r="M44" s="1123"/>
      <c r="N44" s="1123"/>
      <c r="O44" s="1124"/>
    </row>
    <row r="45" spans="1:15" s="1125" customFormat="1">
      <c r="A45" s="1121"/>
      <c r="B45" s="1122"/>
      <c r="C45" s="1123"/>
      <c r="D45" s="1123"/>
      <c r="E45" s="1123"/>
      <c r="F45" s="1123"/>
      <c r="G45" s="1123"/>
      <c r="H45" s="1123"/>
      <c r="I45" s="1123"/>
      <c r="J45" s="1123"/>
      <c r="K45" s="1123"/>
      <c r="L45" s="1123"/>
      <c r="M45" s="1123"/>
      <c r="N45" s="1123"/>
      <c r="O45" s="1124"/>
    </row>
    <row r="46" spans="1:15" s="1125" customFormat="1">
      <c r="A46" s="1121"/>
      <c r="B46" s="1122"/>
      <c r="C46" s="1123"/>
      <c r="D46" s="1123"/>
      <c r="E46" s="1123"/>
      <c r="F46" s="1123"/>
      <c r="G46" s="1123"/>
      <c r="H46" s="1123"/>
      <c r="I46" s="1123"/>
      <c r="J46" s="1123"/>
      <c r="K46" s="1123"/>
      <c r="L46" s="1123"/>
      <c r="M46" s="1123"/>
      <c r="N46" s="1123"/>
      <c r="O46" s="1124"/>
    </row>
    <row r="47" spans="1:15" s="1125" customFormat="1">
      <c r="A47" s="1121"/>
      <c r="B47" s="1122"/>
      <c r="C47" s="1123"/>
      <c r="D47" s="1123"/>
      <c r="E47" s="1123"/>
      <c r="F47" s="1123"/>
      <c r="G47" s="1123"/>
      <c r="H47" s="1123"/>
      <c r="I47" s="1123"/>
      <c r="J47" s="1123"/>
      <c r="K47" s="1123"/>
      <c r="L47" s="1123"/>
      <c r="M47" s="1123"/>
      <c r="N47" s="1123"/>
      <c r="O47" s="1124"/>
    </row>
    <row r="48" spans="1:15" s="1131" customFormat="1">
      <c r="A48" s="1126"/>
      <c r="B48" s="1127"/>
      <c r="C48" s="1128"/>
      <c r="D48" s="1128"/>
      <c r="E48" s="1129"/>
      <c r="F48" s="1129"/>
      <c r="G48" s="1129"/>
      <c r="H48" s="1129"/>
      <c r="I48" s="1129"/>
      <c r="J48" s="1130"/>
      <c r="K48" s="1129"/>
      <c r="L48" s="1129"/>
      <c r="M48" s="1129"/>
      <c r="N48" s="1129"/>
    </row>
    <row r="49" spans="1:14" s="1131" customFormat="1">
      <c r="A49" s="1126"/>
      <c r="B49" s="1127"/>
      <c r="C49" s="1128"/>
      <c r="D49" s="1128"/>
      <c r="E49" s="1129"/>
      <c r="F49" s="1129"/>
      <c r="G49" s="1129"/>
      <c r="H49" s="1129"/>
      <c r="I49" s="1129"/>
      <c r="J49" s="1129"/>
      <c r="K49" s="1129"/>
      <c r="L49" s="1129"/>
      <c r="M49" s="1129"/>
      <c r="N49" s="1129"/>
    </row>
    <row r="50" spans="1:14">
      <c r="B50" s="1117"/>
      <c r="D50" s="1104"/>
      <c r="E50" s="1104"/>
      <c r="F50" s="1104"/>
      <c r="G50" s="1104"/>
    </row>
    <row r="51" spans="1:14" hidden="1">
      <c r="B51" s="1117" t="s">
        <v>80</v>
      </c>
      <c r="D51" s="1104"/>
      <c r="E51" s="1104"/>
      <c r="F51" s="1104"/>
      <c r="G51" s="1104"/>
    </row>
    <row r="52" spans="1:14" s="1117" customFormat="1" hidden="1">
      <c r="A52" s="1139"/>
      <c r="B52" s="1132" t="s">
        <v>81</v>
      </c>
      <c r="D52" s="1133">
        <f>D28-D10</f>
        <v>145952</v>
      </c>
      <c r="E52" s="1116"/>
      <c r="F52" s="1116"/>
      <c r="G52" s="1116"/>
    </row>
    <row r="53" spans="1:14" s="1117" customFormat="1" hidden="1">
      <c r="A53" s="1139"/>
      <c r="B53" s="1132" t="s">
        <v>82</v>
      </c>
      <c r="D53" s="1116">
        <f t="shared" ref="D53:N53" si="13">D27-D9</f>
        <v>-2760</v>
      </c>
      <c r="E53" s="1116">
        <f t="shared" si="13"/>
        <v>81352</v>
      </c>
      <c r="F53" s="1116">
        <f t="shared" si="13"/>
        <v>2203</v>
      </c>
      <c r="G53" s="1116">
        <f t="shared" si="13"/>
        <v>-332</v>
      </c>
      <c r="H53" s="1116">
        <f t="shared" si="13"/>
        <v>968</v>
      </c>
      <c r="I53" s="1116">
        <f t="shared" si="13"/>
        <v>17681</v>
      </c>
      <c r="J53" s="1116">
        <f t="shared" si="13"/>
        <v>36</v>
      </c>
      <c r="K53" s="1116">
        <f t="shared" si="13"/>
        <v>6841</v>
      </c>
      <c r="L53" s="1116">
        <f t="shared" si="13"/>
        <v>1496</v>
      </c>
      <c r="M53" s="1116">
        <f t="shared" si="13"/>
        <v>3568</v>
      </c>
      <c r="N53" s="1116">
        <f t="shared" si="13"/>
        <v>48891</v>
      </c>
    </row>
    <row r="54" spans="1:14" s="1117" customFormat="1" ht="36" hidden="1">
      <c r="A54" s="1139"/>
      <c r="B54" s="1134" t="s">
        <v>83</v>
      </c>
      <c r="C54" s="1135"/>
      <c r="D54" s="1136">
        <f>D53*60%</f>
        <v>-1656</v>
      </c>
      <c r="E54" s="1136">
        <f t="shared" ref="E54:N54" si="14">E53*60%</f>
        <v>48811.199999999997</v>
      </c>
      <c r="F54" s="1136">
        <f t="shared" si="14"/>
        <v>1321.8</v>
      </c>
      <c r="G54" s="1136">
        <f t="shared" si="14"/>
        <v>-199.2</v>
      </c>
      <c r="H54" s="1136">
        <f t="shared" si="14"/>
        <v>580.79999999999995</v>
      </c>
      <c r="I54" s="1136">
        <f t="shared" si="14"/>
        <v>10608.6</v>
      </c>
      <c r="J54" s="1136">
        <f t="shared" si="14"/>
        <v>21.599999999999998</v>
      </c>
      <c r="K54" s="1136">
        <f t="shared" si="14"/>
        <v>4104.5999999999995</v>
      </c>
      <c r="L54" s="1136">
        <f t="shared" si="14"/>
        <v>897.6</v>
      </c>
      <c r="M54" s="1136">
        <f t="shared" si="14"/>
        <v>2140.7999999999997</v>
      </c>
      <c r="N54" s="1136">
        <f t="shared" si="14"/>
        <v>29334.6</v>
      </c>
    </row>
    <row r="55" spans="1:14" ht="36" hidden="1">
      <c r="B55" s="1134" t="s">
        <v>84</v>
      </c>
      <c r="C55" s="1137"/>
      <c r="D55" s="1133">
        <f>D32-D38</f>
        <v>169472</v>
      </c>
      <c r="E55" s="1136">
        <f>E32-E38</f>
        <v>81451</v>
      </c>
      <c r="F55" s="1136">
        <f t="shared" ref="F55:N55" si="15">F32-F38</f>
        <v>2203</v>
      </c>
      <c r="G55" s="1136">
        <f t="shared" si="15"/>
        <v>-332</v>
      </c>
      <c r="H55" s="1136">
        <f t="shared" si="15"/>
        <v>968</v>
      </c>
      <c r="I55" s="1136">
        <f t="shared" si="15"/>
        <v>17681</v>
      </c>
      <c r="J55" s="1136">
        <f t="shared" si="15"/>
        <v>36</v>
      </c>
      <c r="K55" s="1136">
        <f t="shared" si="15"/>
        <v>6841</v>
      </c>
      <c r="L55" s="1136">
        <f t="shared" si="15"/>
        <v>1496</v>
      </c>
      <c r="M55" s="1136">
        <f t="shared" si="15"/>
        <v>3667</v>
      </c>
      <c r="N55" s="1136">
        <f t="shared" si="15"/>
        <v>48891</v>
      </c>
    </row>
    <row r="57" spans="1:14">
      <c r="C57" s="1104"/>
      <c r="D57" s="1104"/>
      <c r="E57" s="1104"/>
      <c r="K57" s="1815"/>
      <c r="L57" s="1815"/>
      <c r="M57" s="1815"/>
      <c r="N57" s="1815"/>
    </row>
    <row r="58" spans="1:14">
      <c r="D58" s="1104"/>
      <c r="K58" s="1812"/>
      <c r="L58" s="1812"/>
      <c r="M58" s="1812"/>
      <c r="N58" s="1812"/>
    </row>
    <row r="60" spans="1:14">
      <c r="D60" s="1104"/>
    </row>
  </sheetData>
  <mergeCells count="7">
    <mergeCell ref="K58:N58"/>
    <mergeCell ref="A1:B1"/>
    <mergeCell ref="A2:N2"/>
    <mergeCell ref="A3:N3"/>
    <mergeCell ref="J39:N39"/>
    <mergeCell ref="J40:N40"/>
    <mergeCell ref="K57:N57"/>
  </mergeCells>
  <pageMargins left="0.17" right="0.22" top="0.23" bottom="0.17" header="0.17" footer="0.17"/>
  <pageSetup paperSize="9" scale="94" orientation="landscape" blackAndWhite="1" r:id="rId1"/>
  <headerFooter>
    <oddFooter>&amp;R&amp;P</oddFooter>
  </headerFooter>
  <colBreaks count="1" manualBreakCount="1">
    <brk id="14" max="1048575" man="1"/>
  </colBreaks>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A9DEA-C045-4AA1-88DB-BF12DFD3D360}">
  <sheetPr>
    <tabColor theme="9" tint="-0.249977111117893"/>
  </sheetPr>
  <dimension ref="A1:L250"/>
  <sheetViews>
    <sheetView showZeros="0" topLeftCell="A4" workbookViewId="0">
      <selection activeCell="C18" sqref="C18"/>
    </sheetView>
  </sheetViews>
  <sheetFormatPr defaultRowHeight="15"/>
  <cols>
    <col min="1" max="1" width="6" style="1309" customWidth="1"/>
    <col min="2" max="2" width="61" style="1305" customWidth="1"/>
    <col min="3" max="3" width="15.28515625" style="1305" customWidth="1"/>
    <col min="4" max="4" width="15.140625" style="1306" customWidth="1"/>
    <col min="5" max="5" width="16" style="1305" customWidth="1"/>
    <col min="6" max="6" width="15.140625" style="1305" customWidth="1"/>
    <col min="7" max="7" width="16.140625" style="1305" customWidth="1"/>
    <col min="8" max="8" width="9.140625" style="1305"/>
    <col min="9" max="9" width="12" style="1305" bestFit="1" customWidth="1"/>
    <col min="10" max="10" width="19.28515625" style="1305" bestFit="1" customWidth="1"/>
    <col min="11" max="11" width="19.5703125" style="1305" customWidth="1"/>
    <col min="12" max="12" width="12" style="1305" bestFit="1" customWidth="1"/>
    <col min="13" max="256" width="9.140625" style="1305"/>
    <col min="257" max="257" width="6" style="1305" customWidth="1"/>
    <col min="258" max="258" width="55.28515625" style="1305" customWidth="1"/>
    <col min="259" max="259" width="7" style="1305" customWidth="1"/>
    <col min="260" max="260" width="15.140625" style="1305" customWidth="1"/>
    <col min="261" max="261" width="16" style="1305" customWidth="1"/>
    <col min="262" max="262" width="15.140625" style="1305" customWidth="1"/>
    <col min="263" max="263" width="16.140625" style="1305" customWidth="1"/>
    <col min="264" max="264" width="9.140625" style="1305"/>
    <col min="265" max="265" width="12" style="1305" bestFit="1" customWidth="1"/>
    <col min="266" max="266" width="19.28515625" style="1305" bestFit="1" customWidth="1"/>
    <col min="267" max="267" width="19.5703125" style="1305" customWidth="1"/>
    <col min="268" max="268" width="12" style="1305" bestFit="1" customWidth="1"/>
    <col min="269" max="512" width="9.140625" style="1305"/>
    <col min="513" max="513" width="6" style="1305" customWidth="1"/>
    <col min="514" max="514" width="55.28515625" style="1305" customWidth="1"/>
    <col min="515" max="515" width="7" style="1305" customWidth="1"/>
    <col min="516" max="516" width="15.140625" style="1305" customWidth="1"/>
    <col min="517" max="517" width="16" style="1305" customWidth="1"/>
    <col min="518" max="518" width="15.140625" style="1305" customWidth="1"/>
    <col min="519" max="519" width="16.140625" style="1305" customWidth="1"/>
    <col min="520" max="520" width="9.140625" style="1305"/>
    <col min="521" max="521" width="12" style="1305" bestFit="1" customWidth="1"/>
    <col min="522" max="522" width="19.28515625" style="1305" bestFit="1" customWidth="1"/>
    <col min="523" max="523" width="19.5703125" style="1305" customWidth="1"/>
    <col min="524" max="524" width="12" style="1305" bestFit="1" customWidth="1"/>
    <col min="525" max="768" width="9.140625" style="1305"/>
    <col min="769" max="769" width="6" style="1305" customWidth="1"/>
    <col min="770" max="770" width="55.28515625" style="1305" customWidth="1"/>
    <col min="771" max="771" width="7" style="1305" customWidth="1"/>
    <col min="772" max="772" width="15.140625" style="1305" customWidth="1"/>
    <col min="773" max="773" width="16" style="1305" customWidth="1"/>
    <col min="774" max="774" width="15.140625" style="1305" customWidth="1"/>
    <col min="775" max="775" width="16.140625" style="1305" customWidth="1"/>
    <col min="776" max="776" width="9.140625" style="1305"/>
    <col min="777" max="777" width="12" style="1305" bestFit="1" customWidth="1"/>
    <col min="778" max="778" width="19.28515625" style="1305" bestFit="1" customWidth="1"/>
    <col min="779" max="779" width="19.5703125" style="1305" customWidth="1"/>
    <col min="780" max="780" width="12" style="1305" bestFit="1" customWidth="1"/>
    <col min="781" max="1024" width="9.140625" style="1305"/>
    <col min="1025" max="1025" width="6" style="1305" customWidth="1"/>
    <col min="1026" max="1026" width="55.28515625" style="1305" customWidth="1"/>
    <col min="1027" max="1027" width="7" style="1305" customWidth="1"/>
    <col min="1028" max="1028" width="15.140625" style="1305" customWidth="1"/>
    <col min="1029" max="1029" width="16" style="1305" customWidth="1"/>
    <col min="1030" max="1030" width="15.140625" style="1305" customWidth="1"/>
    <col min="1031" max="1031" width="16.140625" style="1305" customWidth="1"/>
    <col min="1032" max="1032" width="9.140625" style="1305"/>
    <col min="1033" max="1033" width="12" style="1305" bestFit="1" customWidth="1"/>
    <col min="1034" max="1034" width="19.28515625" style="1305" bestFit="1" customWidth="1"/>
    <col min="1035" max="1035" width="19.5703125" style="1305" customWidth="1"/>
    <col min="1036" max="1036" width="12" style="1305" bestFit="1" customWidth="1"/>
    <col min="1037" max="1280" width="9.140625" style="1305"/>
    <col min="1281" max="1281" width="6" style="1305" customWidth="1"/>
    <col min="1282" max="1282" width="55.28515625" style="1305" customWidth="1"/>
    <col min="1283" max="1283" width="7" style="1305" customWidth="1"/>
    <col min="1284" max="1284" width="15.140625" style="1305" customWidth="1"/>
    <col min="1285" max="1285" width="16" style="1305" customWidth="1"/>
    <col min="1286" max="1286" width="15.140625" style="1305" customWidth="1"/>
    <col min="1287" max="1287" width="16.140625" style="1305" customWidth="1"/>
    <col min="1288" max="1288" width="9.140625" style="1305"/>
    <col min="1289" max="1289" width="12" style="1305" bestFit="1" customWidth="1"/>
    <col min="1290" max="1290" width="19.28515625" style="1305" bestFit="1" customWidth="1"/>
    <col min="1291" max="1291" width="19.5703125" style="1305" customWidth="1"/>
    <col min="1292" max="1292" width="12" style="1305" bestFit="1" customWidth="1"/>
    <col min="1293" max="1536" width="9.140625" style="1305"/>
    <col min="1537" max="1537" width="6" style="1305" customWidth="1"/>
    <col min="1538" max="1538" width="55.28515625" style="1305" customWidth="1"/>
    <col min="1539" max="1539" width="7" style="1305" customWidth="1"/>
    <col min="1540" max="1540" width="15.140625" style="1305" customWidth="1"/>
    <col min="1541" max="1541" width="16" style="1305" customWidth="1"/>
    <col min="1542" max="1542" width="15.140625" style="1305" customWidth="1"/>
    <col min="1543" max="1543" width="16.140625" style="1305" customWidth="1"/>
    <col min="1544" max="1544" width="9.140625" style="1305"/>
    <col min="1545" max="1545" width="12" style="1305" bestFit="1" customWidth="1"/>
    <col min="1546" max="1546" width="19.28515625" style="1305" bestFit="1" customWidth="1"/>
    <col min="1547" max="1547" width="19.5703125" style="1305" customWidth="1"/>
    <col min="1548" max="1548" width="12" style="1305" bestFit="1" customWidth="1"/>
    <col min="1549" max="1792" width="9.140625" style="1305"/>
    <col min="1793" max="1793" width="6" style="1305" customWidth="1"/>
    <col min="1794" max="1794" width="55.28515625" style="1305" customWidth="1"/>
    <col min="1795" max="1795" width="7" style="1305" customWidth="1"/>
    <col min="1796" max="1796" width="15.140625" style="1305" customWidth="1"/>
    <col min="1797" max="1797" width="16" style="1305" customWidth="1"/>
    <col min="1798" max="1798" width="15.140625" style="1305" customWidth="1"/>
    <col min="1799" max="1799" width="16.140625" style="1305" customWidth="1"/>
    <col min="1800" max="1800" width="9.140625" style="1305"/>
    <col min="1801" max="1801" width="12" style="1305" bestFit="1" customWidth="1"/>
    <col min="1802" max="1802" width="19.28515625" style="1305" bestFit="1" customWidth="1"/>
    <col min="1803" max="1803" width="19.5703125" style="1305" customWidth="1"/>
    <col min="1804" max="1804" width="12" style="1305" bestFit="1" customWidth="1"/>
    <col min="1805" max="2048" width="9.140625" style="1305"/>
    <col min="2049" max="2049" width="6" style="1305" customWidth="1"/>
    <col min="2050" max="2050" width="55.28515625" style="1305" customWidth="1"/>
    <col min="2051" max="2051" width="7" style="1305" customWidth="1"/>
    <col min="2052" max="2052" width="15.140625" style="1305" customWidth="1"/>
    <col min="2053" max="2053" width="16" style="1305" customWidth="1"/>
    <col min="2054" max="2054" width="15.140625" style="1305" customWidth="1"/>
    <col min="2055" max="2055" width="16.140625" style="1305" customWidth="1"/>
    <col min="2056" max="2056" width="9.140625" style="1305"/>
    <col min="2057" max="2057" width="12" style="1305" bestFit="1" customWidth="1"/>
    <col min="2058" max="2058" width="19.28515625" style="1305" bestFit="1" customWidth="1"/>
    <col min="2059" max="2059" width="19.5703125" style="1305" customWidth="1"/>
    <col min="2060" max="2060" width="12" style="1305" bestFit="1" customWidth="1"/>
    <col min="2061" max="2304" width="9.140625" style="1305"/>
    <col min="2305" max="2305" width="6" style="1305" customWidth="1"/>
    <col min="2306" max="2306" width="55.28515625" style="1305" customWidth="1"/>
    <col min="2307" max="2307" width="7" style="1305" customWidth="1"/>
    <col min="2308" max="2308" width="15.140625" style="1305" customWidth="1"/>
    <col min="2309" max="2309" width="16" style="1305" customWidth="1"/>
    <col min="2310" max="2310" width="15.140625" style="1305" customWidth="1"/>
    <col min="2311" max="2311" width="16.140625" style="1305" customWidth="1"/>
    <col min="2312" max="2312" width="9.140625" style="1305"/>
    <col min="2313" max="2313" width="12" style="1305" bestFit="1" customWidth="1"/>
    <col min="2314" max="2314" width="19.28515625" style="1305" bestFit="1" customWidth="1"/>
    <col min="2315" max="2315" width="19.5703125" style="1305" customWidth="1"/>
    <col min="2316" max="2316" width="12" style="1305" bestFit="1" customWidth="1"/>
    <col min="2317" max="2560" width="9.140625" style="1305"/>
    <col min="2561" max="2561" width="6" style="1305" customWidth="1"/>
    <col min="2562" max="2562" width="55.28515625" style="1305" customWidth="1"/>
    <col min="2563" max="2563" width="7" style="1305" customWidth="1"/>
    <col min="2564" max="2564" width="15.140625" style="1305" customWidth="1"/>
    <col min="2565" max="2565" width="16" style="1305" customWidth="1"/>
    <col min="2566" max="2566" width="15.140625" style="1305" customWidth="1"/>
    <col min="2567" max="2567" width="16.140625" style="1305" customWidth="1"/>
    <col min="2568" max="2568" width="9.140625" style="1305"/>
    <col min="2569" max="2569" width="12" style="1305" bestFit="1" customWidth="1"/>
    <col min="2570" max="2570" width="19.28515625" style="1305" bestFit="1" customWidth="1"/>
    <col min="2571" max="2571" width="19.5703125" style="1305" customWidth="1"/>
    <col min="2572" max="2572" width="12" style="1305" bestFit="1" customWidth="1"/>
    <col min="2573" max="2816" width="9.140625" style="1305"/>
    <col min="2817" max="2817" width="6" style="1305" customWidth="1"/>
    <col min="2818" max="2818" width="55.28515625" style="1305" customWidth="1"/>
    <col min="2819" max="2819" width="7" style="1305" customWidth="1"/>
    <col min="2820" max="2820" width="15.140625" style="1305" customWidth="1"/>
    <col min="2821" max="2821" width="16" style="1305" customWidth="1"/>
    <col min="2822" max="2822" width="15.140625" style="1305" customWidth="1"/>
    <col min="2823" max="2823" width="16.140625" style="1305" customWidth="1"/>
    <col min="2824" max="2824" width="9.140625" style="1305"/>
    <col min="2825" max="2825" width="12" style="1305" bestFit="1" customWidth="1"/>
    <col min="2826" max="2826" width="19.28515625" style="1305" bestFit="1" customWidth="1"/>
    <col min="2827" max="2827" width="19.5703125" style="1305" customWidth="1"/>
    <col min="2828" max="2828" width="12" style="1305" bestFit="1" customWidth="1"/>
    <col min="2829" max="3072" width="9.140625" style="1305"/>
    <col min="3073" max="3073" width="6" style="1305" customWidth="1"/>
    <col min="3074" max="3074" width="55.28515625" style="1305" customWidth="1"/>
    <col min="3075" max="3075" width="7" style="1305" customWidth="1"/>
    <col min="3076" max="3076" width="15.140625" style="1305" customWidth="1"/>
    <col min="3077" max="3077" width="16" style="1305" customWidth="1"/>
    <col min="3078" max="3078" width="15.140625" style="1305" customWidth="1"/>
    <col min="3079" max="3079" width="16.140625" style="1305" customWidth="1"/>
    <col min="3080" max="3080" width="9.140625" style="1305"/>
    <col min="3081" max="3081" width="12" style="1305" bestFit="1" customWidth="1"/>
    <col min="3082" max="3082" width="19.28515625" style="1305" bestFit="1" customWidth="1"/>
    <col min="3083" max="3083" width="19.5703125" style="1305" customWidth="1"/>
    <col min="3084" max="3084" width="12" style="1305" bestFit="1" customWidth="1"/>
    <col min="3085" max="3328" width="9.140625" style="1305"/>
    <col min="3329" max="3329" width="6" style="1305" customWidth="1"/>
    <col min="3330" max="3330" width="55.28515625" style="1305" customWidth="1"/>
    <col min="3331" max="3331" width="7" style="1305" customWidth="1"/>
    <col min="3332" max="3332" width="15.140625" style="1305" customWidth="1"/>
    <col min="3333" max="3333" width="16" style="1305" customWidth="1"/>
    <col min="3334" max="3334" width="15.140625" style="1305" customWidth="1"/>
    <col min="3335" max="3335" width="16.140625" style="1305" customWidth="1"/>
    <col min="3336" max="3336" width="9.140625" style="1305"/>
    <col min="3337" max="3337" width="12" style="1305" bestFit="1" customWidth="1"/>
    <col min="3338" max="3338" width="19.28515625" style="1305" bestFit="1" customWidth="1"/>
    <col min="3339" max="3339" width="19.5703125" style="1305" customWidth="1"/>
    <col min="3340" max="3340" width="12" style="1305" bestFit="1" customWidth="1"/>
    <col min="3341" max="3584" width="9.140625" style="1305"/>
    <col min="3585" max="3585" width="6" style="1305" customWidth="1"/>
    <col min="3586" max="3586" width="55.28515625" style="1305" customWidth="1"/>
    <col min="3587" max="3587" width="7" style="1305" customWidth="1"/>
    <col min="3588" max="3588" width="15.140625" style="1305" customWidth="1"/>
    <col min="3589" max="3589" width="16" style="1305" customWidth="1"/>
    <col min="3590" max="3590" width="15.140625" style="1305" customWidth="1"/>
    <col min="3591" max="3591" width="16.140625" style="1305" customWidth="1"/>
    <col min="3592" max="3592" width="9.140625" style="1305"/>
    <col min="3593" max="3593" width="12" style="1305" bestFit="1" customWidth="1"/>
    <col min="3594" max="3594" width="19.28515625" style="1305" bestFit="1" customWidth="1"/>
    <col min="3595" max="3595" width="19.5703125" style="1305" customWidth="1"/>
    <col min="3596" max="3596" width="12" style="1305" bestFit="1" customWidth="1"/>
    <col min="3597" max="3840" width="9.140625" style="1305"/>
    <col min="3841" max="3841" width="6" style="1305" customWidth="1"/>
    <col min="3842" max="3842" width="55.28515625" style="1305" customWidth="1"/>
    <col min="3843" max="3843" width="7" style="1305" customWidth="1"/>
    <col min="3844" max="3844" width="15.140625" style="1305" customWidth="1"/>
    <col min="3845" max="3845" width="16" style="1305" customWidth="1"/>
    <col min="3846" max="3846" width="15.140625" style="1305" customWidth="1"/>
    <col min="3847" max="3847" width="16.140625" style="1305" customWidth="1"/>
    <col min="3848" max="3848" width="9.140625" style="1305"/>
    <col min="3849" max="3849" width="12" style="1305" bestFit="1" customWidth="1"/>
    <col min="3850" max="3850" width="19.28515625" style="1305" bestFit="1" customWidth="1"/>
    <col min="3851" max="3851" width="19.5703125" style="1305" customWidth="1"/>
    <col min="3852" max="3852" width="12" style="1305" bestFit="1" customWidth="1"/>
    <col min="3853" max="4096" width="9.140625" style="1305"/>
    <col min="4097" max="4097" width="6" style="1305" customWidth="1"/>
    <col min="4098" max="4098" width="55.28515625" style="1305" customWidth="1"/>
    <col min="4099" max="4099" width="7" style="1305" customWidth="1"/>
    <col min="4100" max="4100" width="15.140625" style="1305" customWidth="1"/>
    <col min="4101" max="4101" width="16" style="1305" customWidth="1"/>
    <col min="4102" max="4102" width="15.140625" style="1305" customWidth="1"/>
    <col min="4103" max="4103" width="16.140625" style="1305" customWidth="1"/>
    <col min="4104" max="4104" width="9.140625" style="1305"/>
    <col min="4105" max="4105" width="12" style="1305" bestFit="1" customWidth="1"/>
    <col min="4106" max="4106" width="19.28515625" style="1305" bestFit="1" customWidth="1"/>
    <col min="4107" max="4107" width="19.5703125" style="1305" customWidth="1"/>
    <col min="4108" max="4108" width="12" style="1305" bestFit="1" customWidth="1"/>
    <col min="4109" max="4352" width="9.140625" style="1305"/>
    <col min="4353" max="4353" width="6" style="1305" customWidth="1"/>
    <col min="4354" max="4354" width="55.28515625" style="1305" customWidth="1"/>
    <col min="4355" max="4355" width="7" style="1305" customWidth="1"/>
    <col min="4356" max="4356" width="15.140625" style="1305" customWidth="1"/>
    <col min="4357" max="4357" width="16" style="1305" customWidth="1"/>
    <col min="4358" max="4358" width="15.140625" style="1305" customWidth="1"/>
    <col min="4359" max="4359" width="16.140625" style="1305" customWidth="1"/>
    <col min="4360" max="4360" width="9.140625" style="1305"/>
    <col min="4361" max="4361" width="12" style="1305" bestFit="1" customWidth="1"/>
    <col min="4362" max="4362" width="19.28515625" style="1305" bestFit="1" customWidth="1"/>
    <col min="4363" max="4363" width="19.5703125" style="1305" customWidth="1"/>
    <col min="4364" max="4364" width="12" style="1305" bestFit="1" customWidth="1"/>
    <col min="4365" max="4608" width="9.140625" style="1305"/>
    <col min="4609" max="4609" width="6" style="1305" customWidth="1"/>
    <col min="4610" max="4610" width="55.28515625" style="1305" customWidth="1"/>
    <col min="4611" max="4611" width="7" style="1305" customWidth="1"/>
    <col min="4612" max="4612" width="15.140625" style="1305" customWidth="1"/>
    <col min="4613" max="4613" width="16" style="1305" customWidth="1"/>
    <col min="4614" max="4614" width="15.140625" style="1305" customWidth="1"/>
    <col min="4615" max="4615" width="16.140625" style="1305" customWidth="1"/>
    <col min="4616" max="4616" width="9.140625" style="1305"/>
    <col min="4617" max="4617" width="12" style="1305" bestFit="1" customWidth="1"/>
    <col min="4618" max="4618" width="19.28515625" style="1305" bestFit="1" customWidth="1"/>
    <col min="4619" max="4619" width="19.5703125" style="1305" customWidth="1"/>
    <col min="4620" max="4620" width="12" style="1305" bestFit="1" customWidth="1"/>
    <col min="4621" max="4864" width="9.140625" style="1305"/>
    <col min="4865" max="4865" width="6" style="1305" customWidth="1"/>
    <col min="4866" max="4866" width="55.28515625" style="1305" customWidth="1"/>
    <col min="4867" max="4867" width="7" style="1305" customWidth="1"/>
    <col min="4868" max="4868" width="15.140625" style="1305" customWidth="1"/>
    <col min="4869" max="4869" width="16" style="1305" customWidth="1"/>
    <col min="4870" max="4870" width="15.140625" style="1305" customWidth="1"/>
    <col min="4871" max="4871" width="16.140625" style="1305" customWidth="1"/>
    <col min="4872" max="4872" width="9.140625" style="1305"/>
    <col min="4873" max="4873" width="12" style="1305" bestFit="1" customWidth="1"/>
    <col min="4874" max="4874" width="19.28515625" style="1305" bestFit="1" customWidth="1"/>
    <col min="4875" max="4875" width="19.5703125" style="1305" customWidth="1"/>
    <col min="4876" max="4876" width="12" style="1305" bestFit="1" customWidth="1"/>
    <col min="4877" max="5120" width="9.140625" style="1305"/>
    <col min="5121" max="5121" width="6" style="1305" customWidth="1"/>
    <col min="5122" max="5122" width="55.28515625" style="1305" customWidth="1"/>
    <col min="5123" max="5123" width="7" style="1305" customWidth="1"/>
    <col min="5124" max="5124" width="15.140625" style="1305" customWidth="1"/>
    <col min="5125" max="5125" width="16" style="1305" customWidth="1"/>
    <col min="5126" max="5126" width="15.140625" style="1305" customWidth="1"/>
    <col min="5127" max="5127" width="16.140625" style="1305" customWidth="1"/>
    <col min="5128" max="5128" width="9.140625" style="1305"/>
    <col min="5129" max="5129" width="12" style="1305" bestFit="1" customWidth="1"/>
    <col min="5130" max="5130" width="19.28515625" style="1305" bestFit="1" customWidth="1"/>
    <col min="5131" max="5131" width="19.5703125" style="1305" customWidth="1"/>
    <col min="5132" max="5132" width="12" style="1305" bestFit="1" customWidth="1"/>
    <col min="5133" max="5376" width="9.140625" style="1305"/>
    <col min="5377" max="5377" width="6" style="1305" customWidth="1"/>
    <col min="5378" max="5378" width="55.28515625" style="1305" customWidth="1"/>
    <col min="5379" max="5379" width="7" style="1305" customWidth="1"/>
    <col min="5380" max="5380" width="15.140625" style="1305" customWidth="1"/>
    <col min="5381" max="5381" width="16" style="1305" customWidth="1"/>
    <col min="5382" max="5382" width="15.140625" style="1305" customWidth="1"/>
    <col min="5383" max="5383" width="16.140625" style="1305" customWidth="1"/>
    <col min="5384" max="5384" width="9.140625" style="1305"/>
    <col min="5385" max="5385" width="12" style="1305" bestFit="1" customWidth="1"/>
    <col min="5386" max="5386" width="19.28515625" style="1305" bestFit="1" customWidth="1"/>
    <col min="5387" max="5387" width="19.5703125" style="1305" customWidth="1"/>
    <col min="5388" max="5388" width="12" style="1305" bestFit="1" customWidth="1"/>
    <col min="5389" max="5632" width="9.140625" style="1305"/>
    <col min="5633" max="5633" width="6" style="1305" customWidth="1"/>
    <col min="5634" max="5634" width="55.28515625" style="1305" customWidth="1"/>
    <col min="5635" max="5635" width="7" style="1305" customWidth="1"/>
    <col min="5636" max="5636" width="15.140625" style="1305" customWidth="1"/>
    <col min="5637" max="5637" width="16" style="1305" customWidth="1"/>
    <col min="5638" max="5638" width="15.140625" style="1305" customWidth="1"/>
    <col min="5639" max="5639" width="16.140625" style="1305" customWidth="1"/>
    <col min="5640" max="5640" width="9.140625" style="1305"/>
    <col min="5641" max="5641" width="12" style="1305" bestFit="1" customWidth="1"/>
    <col min="5642" max="5642" width="19.28515625" style="1305" bestFit="1" customWidth="1"/>
    <col min="5643" max="5643" width="19.5703125" style="1305" customWidth="1"/>
    <col min="5644" max="5644" width="12" style="1305" bestFit="1" customWidth="1"/>
    <col min="5645" max="5888" width="9.140625" style="1305"/>
    <col min="5889" max="5889" width="6" style="1305" customWidth="1"/>
    <col min="5890" max="5890" width="55.28515625" style="1305" customWidth="1"/>
    <col min="5891" max="5891" width="7" style="1305" customWidth="1"/>
    <col min="5892" max="5892" width="15.140625" style="1305" customWidth="1"/>
    <col min="5893" max="5893" width="16" style="1305" customWidth="1"/>
    <col min="5894" max="5894" width="15.140625" style="1305" customWidth="1"/>
    <col min="5895" max="5895" width="16.140625" style="1305" customWidth="1"/>
    <col min="5896" max="5896" width="9.140625" style="1305"/>
    <col min="5897" max="5897" width="12" style="1305" bestFit="1" customWidth="1"/>
    <col min="5898" max="5898" width="19.28515625" style="1305" bestFit="1" customWidth="1"/>
    <col min="5899" max="5899" width="19.5703125" style="1305" customWidth="1"/>
    <col min="5900" max="5900" width="12" style="1305" bestFit="1" customWidth="1"/>
    <col min="5901" max="6144" width="9.140625" style="1305"/>
    <col min="6145" max="6145" width="6" style="1305" customWidth="1"/>
    <col min="6146" max="6146" width="55.28515625" style="1305" customWidth="1"/>
    <col min="6147" max="6147" width="7" style="1305" customWidth="1"/>
    <col min="6148" max="6148" width="15.140625" style="1305" customWidth="1"/>
    <col min="6149" max="6149" width="16" style="1305" customWidth="1"/>
    <col min="6150" max="6150" width="15.140625" style="1305" customWidth="1"/>
    <col min="6151" max="6151" width="16.140625" style="1305" customWidth="1"/>
    <col min="6152" max="6152" width="9.140625" style="1305"/>
    <col min="6153" max="6153" width="12" style="1305" bestFit="1" customWidth="1"/>
    <col min="6154" max="6154" width="19.28515625" style="1305" bestFit="1" customWidth="1"/>
    <col min="6155" max="6155" width="19.5703125" style="1305" customWidth="1"/>
    <col min="6156" max="6156" width="12" style="1305" bestFit="1" customWidth="1"/>
    <col min="6157" max="6400" width="9.140625" style="1305"/>
    <col min="6401" max="6401" width="6" style="1305" customWidth="1"/>
    <col min="6402" max="6402" width="55.28515625" style="1305" customWidth="1"/>
    <col min="6403" max="6403" width="7" style="1305" customWidth="1"/>
    <col min="6404" max="6404" width="15.140625" style="1305" customWidth="1"/>
    <col min="6405" max="6405" width="16" style="1305" customWidth="1"/>
    <col min="6406" max="6406" width="15.140625" style="1305" customWidth="1"/>
    <col min="6407" max="6407" width="16.140625" style="1305" customWidth="1"/>
    <col min="6408" max="6408" width="9.140625" style="1305"/>
    <col min="6409" max="6409" width="12" style="1305" bestFit="1" customWidth="1"/>
    <col min="6410" max="6410" width="19.28515625" style="1305" bestFit="1" customWidth="1"/>
    <col min="6411" max="6411" width="19.5703125" style="1305" customWidth="1"/>
    <col min="6412" max="6412" width="12" style="1305" bestFit="1" customWidth="1"/>
    <col min="6413" max="6656" width="9.140625" style="1305"/>
    <col min="6657" max="6657" width="6" style="1305" customWidth="1"/>
    <col min="6658" max="6658" width="55.28515625" style="1305" customWidth="1"/>
    <col min="6659" max="6659" width="7" style="1305" customWidth="1"/>
    <col min="6660" max="6660" width="15.140625" style="1305" customWidth="1"/>
    <col min="6661" max="6661" width="16" style="1305" customWidth="1"/>
    <col min="6662" max="6662" width="15.140625" style="1305" customWidth="1"/>
    <col min="6663" max="6663" width="16.140625" style="1305" customWidth="1"/>
    <col min="6664" max="6664" width="9.140625" style="1305"/>
    <col min="6665" max="6665" width="12" style="1305" bestFit="1" customWidth="1"/>
    <col min="6666" max="6666" width="19.28515625" style="1305" bestFit="1" customWidth="1"/>
    <col min="6667" max="6667" width="19.5703125" style="1305" customWidth="1"/>
    <col min="6668" max="6668" width="12" style="1305" bestFit="1" customWidth="1"/>
    <col min="6669" max="6912" width="9.140625" style="1305"/>
    <col min="6913" max="6913" width="6" style="1305" customWidth="1"/>
    <col min="6914" max="6914" width="55.28515625" style="1305" customWidth="1"/>
    <col min="6915" max="6915" width="7" style="1305" customWidth="1"/>
    <col min="6916" max="6916" width="15.140625" style="1305" customWidth="1"/>
    <col min="6917" max="6917" width="16" style="1305" customWidth="1"/>
    <col min="6918" max="6918" width="15.140625" style="1305" customWidth="1"/>
    <col min="6919" max="6919" width="16.140625" style="1305" customWidth="1"/>
    <col min="6920" max="6920" width="9.140625" style="1305"/>
    <col min="6921" max="6921" width="12" style="1305" bestFit="1" customWidth="1"/>
    <col min="6922" max="6922" width="19.28515625" style="1305" bestFit="1" customWidth="1"/>
    <col min="6923" max="6923" width="19.5703125" style="1305" customWidth="1"/>
    <col min="6924" max="6924" width="12" style="1305" bestFit="1" customWidth="1"/>
    <col min="6925" max="7168" width="9.140625" style="1305"/>
    <col min="7169" max="7169" width="6" style="1305" customWidth="1"/>
    <col min="7170" max="7170" width="55.28515625" style="1305" customWidth="1"/>
    <col min="7171" max="7171" width="7" style="1305" customWidth="1"/>
    <col min="7172" max="7172" width="15.140625" style="1305" customWidth="1"/>
    <col min="7173" max="7173" width="16" style="1305" customWidth="1"/>
    <col min="7174" max="7174" width="15.140625" style="1305" customWidth="1"/>
    <col min="7175" max="7175" width="16.140625" style="1305" customWidth="1"/>
    <col min="7176" max="7176" width="9.140625" style="1305"/>
    <col min="7177" max="7177" width="12" style="1305" bestFit="1" customWidth="1"/>
    <col min="7178" max="7178" width="19.28515625" style="1305" bestFit="1" customWidth="1"/>
    <col min="7179" max="7179" width="19.5703125" style="1305" customWidth="1"/>
    <col min="7180" max="7180" width="12" style="1305" bestFit="1" customWidth="1"/>
    <col min="7181" max="7424" width="9.140625" style="1305"/>
    <col min="7425" max="7425" width="6" style="1305" customWidth="1"/>
    <col min="7426" max="7426" width="55.28515625" style="1305" customWidth="1"/>
    <col min="7427" max="7427" width="7" style="1305" customWidth="1"/>
    <col min="7428" max="7428" width="15.140625" style="1305" customWidth="1"/>
    <col min="7429" max="7429" width="16" style="1305" customWidth="1"/>
    <col min="7430" max="7430" width="15.140625" style="1305" customWidth="1"/>
    <col min="7431" max="7431" width="16.140625" style="1305" customWidth="1"/>
    <col min="7432" max="7432" width="9.140625" style="1305"/>
    <col min="7433" max="7433" width="12" style="1305" bestFit="1" customWidth="1"/>
    <col min="7434" max="7434" width="19.28515625" style="1305" bestFit="1" customWidth="1"/>
    <col min="7435" max="7435" width="19.5703125" style="1305" customWidth="1"/>
    <col min="7436" max="7436" width="12" style="1305" bestFit="1" customWidth="1"/>
    <col min="7437" max="7680" width="9.140625" style="1305"/>
    <col min="7681" max="7681" width="6" style="1305" customWidth="1"/>
    <col min="7682" max="7682" width="55.28515625" style="1305" customWidth="1"/>
    <col min="7683" max="7683" width="7" style="1305" customWidth="1"/>
    <col min="7684" max="7684" width="15.140625" style="1305" customWidth="1"/>
    <col min="7685" max="7685" width="16" style="1305" customWidth="1"/>
    <col min="7686" max="7686" width="15.140625" style="1305" customWidth="1"/>
    <col min="7687" max="7687" width="16.140625" style="1305" customWidth="1"/>
    <col min="7688" max="7688" width="9.140625" style="1305"/>
    <col min="7689" max="7689" width="12" style="1305" bestFit="1" customWidth="1"/>
    <col min="7690" max="7690" width="19.28515625" style="1305" bestFit="1" customWidth="1"/>
    <col min="7691" max="7691" width="19.5703125" style="1305" customWidth="1"/>
    <col min="7692" max="7692" width="12" style="1305" bestFit="1" customWidth="1"/>
    <col min="7693" max="7936" width="9.140625" style="1305"/>
    <col min="7937" max="7937" width="6" style="1305" customWidth="1"/>
    <col min="7938" max="7938" width="55.28515625" style="1305" customWidth="1"/>
    <col min="7939" max="7939" width="7" style="1305" customWidth="1"/>
    <col min="7940" max="7940" width="15.140625" style="1305" customWidth="1"/>
    <col min="7941" max="7941" width="16" style="1305" customWidth="1"/>
    <col min="7942" max="7942" width="15.140625" style="1305" customWidth="1"/>
    <col min="7943" max="7943" width="16.140625" style="1305" customWidth="1"/>
    <col min="7944" max="7944" width="9.140625" style="1305"/>
    <col min="7945" max="7945" width="12" style="1305" bestFit="1" customWidth="1"/>
    <col min="7946" max="7946" width="19.28515625" style="1305" bestFit="1" customWidth="1"/>
    <col min="7947" max="7947" width="19.5703125" style="1305" customWidth="1"/>
    <col min="7948" max="7948" width="12" style="1305" bestFit="1" customWidth="1"/>
    <col min="7949" max="8192" width="9.140625" style="1305"/>
    <col min="8193" max="8193" width="6" style="1305" customWidth="1"/>
    <col min="8194" max="8194" width="55.28515625" style="1305" customWidth="1"/>
    <col min="8195" max="8195" width="7" style="1305" customWidth="1"/>
    <col min="8196" max="8196" width="15.140625" style="1305" customWidth="1"/>
    <col min="8197" max="8197" width="16" style="1305" customWidth="1"/>
    <col min="8198" max="8198" width="15.140625" style="1305" customWidth="1"/>
    <col min="8199" max="8199" width="16.140625" style="1305" customWidth="1"/>
    <col min="8200" max="8200" width="9.140625" style="1305"/>
    <col min="8201" max="8201" width="12" style="1305" bestFit="1" customWidth="1"/>
    <col min="8202" max="8202" width="19.28515625" style="1305" bestFit="1" customWidth="1"/>
    <col min="8203" max="8203" width="19.5703125" style="1305" customWidth="1"/>
    <col min="8204" max="8204" width="12" style="1305" bestFit="1" customWidth="1"/>
    <col min="8205" max="8448" width="9.140625" style="1305"/>
    <col min="8449" max="8449" width="6" style="1305" customWidth="1"/>
    <col min="8450" max="8450" width="55.28515625" style="1305" customWidth="1"/>
    <col min="8451" max="8451" width="7" style="1305" customWidth="1"/>
    <col min="8452" max="8452" width="15.140625" style="1305" customWidth="1"/>
    <col min="8453" max="8453" width="16" style="1305" customWidth="1"/>
    <col min="8454" max="8454" width="15.140625" style="1305" customWidth="1"/>
    <col min="8455" max="8455" width="16.140625" style="1305" customWidth="1"/>
    <col min="8456" max="8456" width="9.140625" style="1305"/>
    <col min="8457" max="8457" width="12" style="1305" bestFit="1" customWidth="1"/>
    <col min="8458" max="8458" width="19.28515625" style="1305" bestFit="1" customWidth="1"/>
    <col min="8459" max="8459" width="19.5703125" style="1305" customWidth="1"/>
    <col min="8460" max="8460" width="12" style="1305" bestFit="1" customWidth="1"/>
    <col min="8461" max="8704" width="9.140625" style="1305"/>
    <col min="8705" max="8705" width="6" style="1305" customWidth="1"/>
    <col min="8706" max="8706" width="55.28515625" style="1305" customWidth="1"/>
    <col min="8707" max="8707" width="7" style="1305" customWidth="1"/>
    <col min="8708" max="8708" width="15.140625" style="1305" customWidth="1"/>
    <col min="8709" max="8709" width="16" style="1305" customWidth="1"/>
    <col min="8710" max="8710" width="15.140625" style="1305" customWidth="1"/>
    <col min="8711" max="8711" width="16.140625" style="1305" customWidth="1"/>
    <col min="8712" max="8712" width="9.140625" style="1305"/>
    <col min="8713" max="8713" width="12" style="1305" bestFit="1" customWidth="1"/>
    <col min="8714" max="8714" width="19.28515625" style="1305" bestFit="1" customWidth="1"/>
    <col min="8715" max="8715" width="19.5703125" style="1305" customWidth="1"/>
    <col min="8716" max="8716" width="12" style="1305" bestFit="1" customWidth="1"/>
    <col min="8717" max="8960" width="9.140625" style="1305"/>
    <col min="8961" max="8961" width="6" style="1305" customWidth="1"/>
    <col min="8962" max="8962" width="55.28515625" style="1305" customWidth="1"/>
    <col min="8963" max="8963" width="7" style="1305" customWidth="1"/>
    <col min="8964" max="8964" width="15.140625" style="1305" customWidth="1"/>
    <col min="8965" max="8965" width="16" style="1305" customWidth="1"/>
    <col min="8966" max="8966" width="15.140625" style="1305" customWidth="1"/>
    <col min="8967" max="8967" width="16.140625" style="1305" customWidth="1"/>
    <col min="8968" max="8968" width="9.140625" style="1305"/>
    <col min="8969" max="8969" width="12" style="1305" bestFit="1" customWidth="1"/>
    <col min="8970" max="8970" width="19.28515625" style="1305" bestFit="1" customWidth="1"/>
    <col min="8971" max="8971" width="19.5703125" style="1305" customWidth="1"/>
    <col min="8972" max="8972" width="12" style="1305" bestFit="1" customWidth="1"/>
    <col min="8973" max="9216" width="9.140625" style="1305"/>
    <col min="9217" max="9217" width="6" style="1305" customWidth="1"/>
    <col min="9218" max="9218" width="55.28515625" style="1305" customWidth="1"/>
    <col min="9219" max="9219" width="7" style="1305" customWidth="1"/>
    <col min="9220" max="9220" width="15.140625" style="1305" customWidth="1"/>
    <col min="9221" max="9221" width="16" style="1305" customWidth="1"/>
    <col min="9222" max="9222" width="15.140625" style="1305" customWidth="1"/>
    <col min="9223" max="9223" width="16.140625" style="1305" customWidth="1"/>
    <col min="9224" max="9224" width="9.140625" style="1305"/>
    <col min="9225" max="9225" width="12" style="1305" bestFit="1" customWidth="1"/>
    <col min="9226" max="9226" width="19.28515625" style="1305" bestFit="1" customWidth="1"/>
    <col min="9227" max="9227" width="19.5703125" style="1305" customWidth="1"/>
    <col min="9228" max="9228" width="12" style="1305" bestFit="1" customWidth="1"/>
    <col min="9229" max="9472" width="9.140625" style="1305"/>
    <col min="9473" max="9473" width="6" style="1305" customWidth="1"/>
    <col min="9474" max="9474" width="55.28515625" style="1305" customWidth="1"/>
    <col min="9475" max="9475" width="7" style="1305" customWidth="1"/>
    <col min="9476" max="9476" width="15.140625" style="1305" customWidth="1"/>
    <col min="9477" max="9477" width="16" style="1305" customWidth="1"/>
    <col min="9478" max="9478" width="15.140625" style="1305" customWidth="1"/>
    <col min="9479" max="9479" width="16.140625" style="1305" customWidth="1"/>
    <col min="9480" max="9480" width="9.140625" style="1305"/>
    <col min="9481" max="9481" width="12" style="1305" bestFit="1" customWidth="1"/>
    <col min="9482" max="9482" width="19.28515625" style="1305" bestFit="1" customWidth="1"/>
    <col min="9483" max="9483" width="19.5703125" style="1305" customWidth="1"/>
    <col min="9484" max="9484" width="12" style="1305" bestFit="1" customWidth="1"/>
    <col min="9485" max="9728" width="9.140625" style="1305"/>
    <col min="9729" max="9729" width="6" style="1305" customWidth="1"/>
    <col min="9730" max="9730" width="55.28515625" style="1305" customWidth="1"/>
    <col min="9731" max="9731" width="7" style="1305" customWidth="1"/>
    <col min="9732" max="9732" width="15.140625" style="1305" customWidth="1"/>
    <col min="9733" max="9733" width="16" style="1305" customWidth="1"/>
    <col min="9734" max="9734" width="15.140625" style="1305" customWidth="1"/>
    <col min="9735" max="9735" width="16.140625" style="1305" customWidth="1"/>
    <col min="9736" max="9736" width="9.140625" style="1305"/>
    <col min="9737" max="9737" width="12" style="1305" bestFit="1" customWidth="1"/>
    <col min="9738" max="9738" width="19.28515625" style="1305" bestFit="1" customWidth="1"/>
    <col min="9739" max="9739" width="19.5703125" style="1305" customWidth="1"/>
    <col min="9740" max="9740" width="12" style="1305" bestFit="1" customWidth="1"/>
    <col min="9741" max="9984" width="9.140625" style="1305"/>
    <col min="9985" max="9985" width="6" style="1305" customWidth="1"/>
    <col min="9986" max="9986" width="55.28515625" style="1305" customWidth="1"/>
    <col min="9987" max="9987" width="7" style="1305" customWidth="1"/>
    <col min="9988" max="9988" width="15.140625" style="1305" customWidth="1"/>
    <col min="9989" max="9989" width="16" style="1305" customWidth="1"/>
    <col min="9990" max="9990" width="15.140625" style="1305" customWidth="1"/>
    <col min="9991" max="9991" width="16.140625" style="1305" customWidth="1"/>
    <col min="9992" max="9992" width="9.140625" style="1305"/>
    <col min="9993" max="9993" width="12" style="1305" bestFit="1" customWidth="1"/>
    <col min="9994" max="9994" width="19.28515625" style="1305" bestFit="1" customWidth="1"/>
    <col min="9995" max="9995" width="19.5703125" style="1305" customWidth="1"/>
    <col min="9996" max="9996" width="12" style="1305" bestFit="1" customWidth="1"/>
    <col min="9997" max="10240" width="9.140625" style="1305"/>
    <col min="10241" max="10241" width="6" style="1305" customWidth="1"/>
    <col min="10242" max="10242" width="55.28515625" style="1305" customWidth="1"/>
    <col min="10243" max="10243" width="7" style="1305" customWidth="1"/>
    <col min="10244" max="10244" width="15.140625" style="1305" customWidth="1"/>
    <col min="10245" max="10245" width="16" style="1305" customWidth="1"/>
    <col min="10246" max="10246" width="15.140625" style="1305" customWidth="1"/>
    <col min="10247" max="10247" width="16.140625" style="1305" customWidth="1"/>
    <col min="10248" max="10248" width="9.140625" style="1305"/>
    <col min="10249" max="10249" width="12" style="1305" bestFit="1" customWidth="1"/>
    <col min="10250" max="10250" width="19.28515625" style="1305" bestFit="1" customWidth="1"/>
    <col min="10251" max="10251" width="19.5703125" style="1305" customWidth="1"/>
    <col min="10252" max="10252" width="12" style="1305" bestFit="1" customWidth="1"/>
    <col min="10253" max="10496" width="9.140625" style="1305"/>
    <col min="10497" max="10497" width="6" style="1305" customWidth="1"/>
    <col min="10498" max="10498" width="55.28515625" style="1305" customWidth="1"/>
    <col min="10499" max="10499" width="7" style="1305" customWidth="1"/>
    <col min="10500" max="10500" width="15.140625" style="1305" customWidth="1"/>
    <col min="10501" max="10501" width="16" style="1305" customWidth="1"/>
    <col min="10502" max="10502" width="15.140625" style="1305" customWidth="1"/>
    <col min="10503" max="10503" width="16.140625" style="1305" customWidth="1"/>
    <col min="10504" max="10504" width="9.140625" style="1305"/>
    <col min="10505" max="10505" width="12" style="1305" bestFit="1" customWidth="1"/>
    <col min="10506" max="10506" width="19.28515625" style="1305" bestFit="1" customWidth="1"/>
    <col min="10507" max="10507" width="19.5703125" style="1305" customWidth="1"/>
    <col min="10508" max="10508" width="12" style="1305" bestFit="1" customWidth="1"/>
    <col min="10509" max="10752" width="9.140625" style="1305"/>
    <col min="10753" max="10753" width="6" style="1305" customWidth="1"/>
    <col min="10754" max="10754" width="55.28515625" style="1305" customWidth="1"/>
    <col min="10755" max="10755" width="7" style="1305" customWidth="1"/>
    <col min="10756" max="10756" width="15.140625" style="1305" customWidth="1"/>
    <col min="10757" max="10757" width="16" style="1305" customWidth="1"/>
    <col min="10758" max="10758" width="15.140625" style="1305" customWidth="1"/>
    <col min="10759" max="10759" width="16.140625" style="1305" customWidth="1"/>
    <col min="10760" max="10760" width="9.140625" style="1305"/>
    <col min="10761" max="10761" width="12" style="1305" bestFit="1" customWidth="1"/>
    <col min="10762" max="10762" width="19.28515625" style="1305" bestFit="1" customWidth="1"/>
    <col min="10763" max="10763" width="19.5703125" style="1305" customWidth="1"/>
    <col min="10764" max="10764" width="12" style="1305" bestFit="1" customWidth="1"/>
    <col min="10765" max="11008" width="9.140625" style="1305"/>
    <col min="11009" max="11009" width="6" style="1305" customWidth="1"/>
    <col min="11010" max="11010" width="55.28515625" style="1305" customWidth="1"/>
    <col min="11011" max="11011" width="7" style="1305" customWidth="1"/>
    <col min="11012" max="11012" width="15.140625" style="1305" customWidth="1"/>
    <col min="11013" max="11013" width="16" style="1305" customWidth="1"/>
    <col min="11014" max="11014" width="15.140625" style="1305" customWidth="1"/>
    <col min="11015" max="11015" width="16.140625" style="1305" customWidth="1"/>
    <col min="11016" max="11016" width="9.140625" style="1305"/>
    <col min="11017" max="11017" width="12" style="1305" bestFit="1" customWidth="1"/>
    <col min="11018" max="11018" width="19.28515625" style="1305" bestFit="1" customWidth="1"/>
    <col min="11019" max="11019" width="19.5703125" style="1305" customWidth="1"/>
    <col min="11020" max="11020" width="12" style="1305" bestFit="1" customWidth="1"/>
    <col min="11021" max="11264" width="9.140625" style="1305"/>
    <col min="11265" max="11265" width="6" style="1305" customWidth="1"/>
    <col min="11266" max="11266" width="55.28515625" style="1305" customWidth="1"/>
    <col min="11267" max="11267" width="7" style="1305" customWidth="1"/>
    <col min="11268" max="11268" width="15.140625" style="1305" customWidth="1"/>
    <col min="11269" max="11269" width="16" style="1305" customWidth="1"/>
    <col min="11270" max="11270" width="15.140625" style="1305" customWidth="1"/>
    <col min="11271" max="11271" width="16.140625" style="1305" customWidth="1"/>
    <col min="11272" max="11272" width="9.140625" style="1305"/>
    <col min="11273" max="11273" width="12" style="1305" bestFit="1" customWidth="1"/>
    <col min="11274" max="11274" width="19.28515625" style="1305" bestFit="1" customWidth="1"/>
    <col min="11275" max="11275" width="19.5703125" style="1305" customWidth="1"/>
    <col min="11276" max="11276" width="12" style="1305" bestFit="1" customWidth="1"/>
    <col min="11277" max="11520" width="9.140625" style="1305"/>
    <col min="11521" max="11521" width="6" style="1305" customWidth="1"/>
    <col min="11522" max="11522" width="55.28515625" style="1305" customWidth="1"/>
    <col min="11523" max="11523" width="7" style="1305" customWidth="1"/>
    <col min="11524" max="11524" width="15.140625" style="1305" customWidth="1"/>
    <col min="11525" max="11525" width="16" style="1305" customWidth="1"/>
    <col min="11526" max="11526" width="15.140625" style="1305" customWidth="1"/>
    <col min="11527" max="11527" width="16.140625" style="1305" customWidth="1"/>
    <col min="11528" max="11528" width="9.140625" style="1305"/>
    <col min="11529" max="11529" width="12" style="1305" bestFit="1" customWidth="1"/>
    <col min="11530" max="11530" width="19.28515625" style="1305" bestFit="1" customWidth="1"/>
    <col min="11531" max="11531" width="19.5703125" style="1305" customWidth="1"/>
    <col min="11532" max="11532" width="12" style="1305" bestFit="1" customWidth="1"/>
    <col min="11533" max="11776" width="9.140625" style="1305"/>
    <col min="11777" max="11777" width="6" style="1305" customWidth="1"/>
    <col min="11778" max="11778" width="55.28515625" style="1305" customWidth="1"/>
    <col min="11779" max="11779" width="7" style="1305" customWidth="1"/>
    <col min="11780" max="11780" width="15.140625" style="1305" customWidth="1"/>
    <col min="11781" max="11781" width="16" style="1305" customWidth="1"/>
    <col min="11782" max="11782" width="15.140625" style="1305" customWidth="1"/>
    <col min="11783" max="11783" width="16.140625" style="1305" customWidth="1"/>
    <col min="11784" max="11784" width="9.140625" style="1305"/>
    <col min="11785" max="11785" width="12" style="1305" bestFit="1" customWidth="1"/>
    <col min="11786" max="11786" width="19.28515625" style="1305" bestFit="1" customWidth="1"/>
    <col min="11787" max="11787" width="19.5703125" style="1305" customWidth="1"/>
    <col min="11788" max="11788" width="12" style="1305" bestFit="1" customWidth="1"/>
    <col min="11789" max="12032" width="9.140625" style="1305"/>
    <col min="12033" max="12033" width="6" style="1305" customWidth="1"/>
    <col min="12034" max="12034" width="55.28515625" style="1305" customWidth="1"/>
    <col min="12035" max="12035" width="7" style="1305" customWidth="1"/>
    <col min="12036" max="12036" width="15.140625" style="1305" customWidth="1"/>
    <col min="12037" max="12037" width="16" style="1305" customWidth="1"/>
    <col min="12038" max="12038" width="15.140625" style="1305" customWidth="1"/>
    <col min="12039" max="12039" width="16.140625" style="1305" customWidth="1"/>
    <col min="12040" max="12040" width="9.140625" style="1305"/>
    <col min="12041" max="12041" width="12" style="1305" bestFit="1" customWidth="1"/>
    <col min="12042" max="12042" width="19.28515625" style="1305" bestFit="1" customWidth="1"/>
    <col min="12043" max="12043" width="19.5703125" style="1305" customWidth="1"/>
    <col min="12044" max="12044" width="12" style="1305" bestFit="1" customWidth="1"/>
    <col min="12045" max="12288" width="9.140625" style="1305"/>
    <col min="12289" max="12289" width="6" style="1305" customWidth="1"/>
    <col min="12290" max="12290" width="55.28515625" style="1305" customWidth="1"/>
    <col min="12291" max="12291" width="7" style="1305" customWidth="1"/>
    <col min="12292" max="12292" width="15.140625" style="1305" customWidth="1"/>
    <col min="12293" max="12293" width="16" style="1305" customWidth="1"/>
    <col min="12294" max="12294" width="15.140625" style="1305" customWidth="1"/>
    <col min="12295" max="12295" width="16.140625" style="1305" customWidth="1"/>
    <col min="12296" max="12296" width="9.140625" style="1305"/>
    <col min="12297" max="12297" width="12" style="1305" bestFit="1" customWidth="1"/>
    <col min="12298" max="12298" width="19.28515625" style="1305" bestFit="1" customWidth="1"/>
    <col min="12299" max="12299" width="19.5703125" style="1305" customWidth="1"/>
    <col min="12300" max="12300" width="12" style="1305" bestFit="1" customWidth="1"/>
    <col min="12301" max="12544" width="9.140625" style="1305"/>
    <col min="12545" max="12545" width="6" style="1305" customWidth="1"/>
    <col min="12546" max="12546" width="55.28515625" style="1305" customWidth="1"/>
    <col min="12547" max="12547" width="7" style="1305" customWidth="1"/>
    <col min="12548" max="12548" width="15.140625" style="1305" customWidth="1"/>
    <col min="12549" max="12549" width="16" style="1305" customWidth="1"/>
    <col min="12550" max="12550" width="15.140625" style="1305" customWidth="1"/>
    <col min="12551" max="12551" width="16.140625" style="1305" customWidth="1"/>
    <col min="12552" max="12552" width="9.140625" style="1305"/>
    <col min="12553" max="12553" width="12" style="1305" bestFit="1" customWidth="1"/>
    <col min="12554" max="12554" width="19.28515625" style="1305" bestFit="1" customWidth="1"/>
    <col min="12555" max="12555" width="19.5703125" style="1305" customWidth="1"/>
    <col min="12556" max="12556" width="12" style="1305" bestFit="1" customWidth="1"/>
    <col min="12557" max="12800" width="9.140625" style="1305"/>
    <col min="12801" max="12801" width="6" style="1305" customWidth="1"/>
    <col min="12802" max="12802" width="55.28515625" style="1305" customWidth="1"/>
    <col min="12803" max="12803" width="7" style="1305" customWidth="1"/>
    <col min="12804" max="12804" width="15.140625" style="1305" customWidth="1"/>
    <col min="12805" max="12805" width="16" style="1305" customWidth="1"/>
    <col min="12806" max="12806" width="15.140625" style="1305" customWidth="1"/>
    <col min="12807" max="12807" width="16.140625" style="1305" customWidth="1"/>
    <col min="12808" max="12808" width="9.140625" style="1305"/>
    <col min="12809" max="12809" width="12" style="1305" bestFit="1" customWidth="1"/>
    <col min="12810" max="12810" width="19.28515625" style="1305" bestFit="1" customWidth="1"/>
    <col min="12811" max="12811" width="19.5703125" style="1305" customWidth="1"/>
    <col min="12812" max="12812" width="12" style="1305" bestFit="1" customWidth="1"/>
    <col min="12813" max="13056" width="9.140625" style="1305"/>
    <col min="13057" max="13057" width="6" style="1305" customWidth="1"/>
    <col min="13058" max="13058" width="55.28515625" style="1305" customWidth="1"/>
    <col min="13059" max="13059" width="7" style="1305" customWidth="1"/>
    <col min="13060" max="13060" width="15.140625" style="1305" customWidth="1"/>
    <col min="13061" max="13061" width="16" style="1305" customWidth="1"/>
    <col min="13062" max="13062" width="15.140625" style="1305" customWidth="1"/>
    <col min="13063" max="13063" width="16.140625" style="1305" customWidth="1"/>
    <col min="13064" max="13064" width="9.140625" style="1305"/>
    <col min="13065" max="13065" width="12" style="1305" bestFit="1" customWidth="1"/>
    <col min="13066" max="13066" width="19.28515625" style="1305" bestFit="1" customWidth="1"/>
    <col min="13067" max="13067" width="19.5703125" style="1305" customWidth="1"/>
    <col min="13068" max="13068" width="12" style="1305" bestFit="1" customWidth="1"/>
    <col min="13069" max="13312" width="9.140625" style="1305"/>
    <col min="13313" max="13313" width="6" style="1305" customWidth="1"/>
    <col min="13314" max="13314" width="55.28515625" style="1305" customWidth="1"/>
    <col min="13315" max="13315" width="7" style="1305" customWidth="1"/>
    <col min="13316" max="13316" width="15.140625" style="1305" customWidth="1"/>
    <col min="13317" max="13317" width="16" style="1305" customWidth="1"/>
    <col min="13318" max="13318" width="15.140625" style="1305" customWidth="1"/>
    <col min="13319" max="13319" width="16.140625" style="1305" customWidth="1"/>
    <col min="13320" max="13320" width="9.140625" style="1305"/>
    <col min="13321" max="13321" width="12" style="1305" bestFit="1" customWidth="1"/>
    <col min="13322" max="13322" width="19.28515625" style="1305" bestFit="1" customWidth="1"/>
    <col min="13323" max="13323" width="19.5703125" style="1305" customWidth="1"/>
    <col min="13324" max="13324" width="12" style="1305" bestFit="1" customWidth="1"/>
    <col min="13325" max="13568" width="9.140625" style="1305"/>
    <col min="13569" max="13569" width="6" style="1305" customWidth="1"/>
    <col min="13570" max="13570" width="55.28515625" style="1305" customWidth="1"/>
    <col min="13571" max="13571" width="7" style="1305" customWidth="1"/>
    <col min="13572" max="13572" width="15.140625" style="1305" customWidth="1"/>
    <col min="13573" max="13573" width="16" style="1305" customWidth="1"/>
    <col min="13574" max="13574" width="15.140625" style="1305" customWidth="1"/>
    <col min="13575" max="13575" width="16.140625" style="1305" customWidth="1"/>
    <col min="13576" max="13576" width="9.140625" style="1305"/>
    <col min="13577" max="13577" width="12" style="1305" bestFit="1" customWidth="1"/>
    <col min="13578" max="13578" width="19.28515625" style="1305" bestFit="1" customWidth="1"/>
    <col min="13579" max="13579" width="19.5703125" style="1305" customWidth="1"/>
    <col min="13580" max="13580" width="12" style="1305" bestFit="1" customWidth="1"/>
    <col min="13581" max="13824" width="9.140625" style="1305"/>
    <col min="13825" max="13825" width="6" style="1305" customWidth="1"/>
    <col min="13826" max="13826" width="55.28515625" style="1305" customWidth="1"/>
    <col min="13827" max="13827" width="7" style="1305" customWidth="1"/>
    <col min="13828" max="13828" width="15.140625" style="1305" customWidth="1"/>
    <col min="13829" max="13829" width="16" style="1305" customWidth="1"/>
    <col min="13830" max="13830" width="15.140625" style="1305" customWidth="1"/>
    <col min="13831" max="13831" width="16.140625" style="1305" customWidth="1"/>
    <col min="13832" max="13832" width="9.140625" style="1305"/>
    <col min="13833" max="13833" width="12" style="1305" bestFit="1" customWidth="1"/>
    <col min="13834" max="13834" width="19.28515625" style="1305" bestFit="1" customWidth="1"/>
    <col min="13835" max="13835" width="19.5703125" style="1305" customWidth="1"/>
    <col min="13836" max="13836" width="12" style="1305" bestFit="1" customWidth="1"/>
    <col min="13837" max="14080" width="9.140625" style="1305"/>
    <col min="14081" max="14081" width="6" style="1305" customWidth="1"/>
    <col min="14082" max="14082" width="55.28515625" style="1305" customWidth="1"/>
    <col min="14083" max="14083" width="7" style="1305" customWidth="1"/>
    <col min="14084" max="14084" width="15.140625" style="1305" customWidth="1"/>
    <col min="14085" max="14085" width="16" style="1305" customWidth="1"/>
    <col min="14086" max="14086" width="15.140625" style="1305" customWidth="1"/>
    <col min="14087" max="14087" width="16.140625" style="1305" customWidth="1"/>
    <col min="14088" max="14088" width="9.140625" style="1305"/>
    <col min="14089" max="14089" width="12" style="1305" bestFit="1" customWidth="1"/>
    <col min="14090" max="14090" width="19.28515625" style="1305" bestFit="1" customWidth="1"/>
    <col min="14091" max="14091" width="19.5703125" style="1305" customWidth="1"/>
    <col min="14092" max="14092" width="12" style="1305" bestFit="1" customWidth="1"/>
    <col min="14093" max="14336" width="9.140625" style="1305"/>
    <col min="14337" max="14337" width="6" style="1305" customWidth="1"/>
    <col min="14338" max="14338" width="55.28515625" style="1305" customWidth="1"/>
    <col min="14339" max="14339" width="7" style="1305" customWidth="1"/>
    <col min="14340" max="14340" width="15.140625" style="1305" customWidth="1"/>
    <col min="14341" max="14341" width="16" style="1305" customWidth="1"/>
    <col min="14342" max="14342" width="15.140625" style="1305" customWidth="1"/>
    <col min="14343" max="14343" width="16.140625" style="1305" customWidth="1"/>
    <col min="14344" max="14344" width="9.140625" style="1305"/>
    <col min="14345" max="14345" width="12" style="1305" bestFit="1" customWidth="1"/>
    <col min="14346" max="14346" width="19.28515625" style="1305" bestFit="1" customWidth="1"/>
    <col min="14347" max="14347" width="19.5703125" style="1305" customWidth="1"/>
    <col min="14348" max="14348" width="12" style="1305" bestFit="1" customWidth="1"/>
    <col min="14349" max="14592" width="9.140625" style="1305"/>
    <col min="14593" max="14593" width="6" style="1305" customWidth="1"/>
    <col min="14594" max="14594" width="55.28515625" style="1305" customWidth="1"/>
    <col min="14595" max="14595" width="7" style="1305" customWidth="1"/>
    <col min="14596" max="14596" width="15.140625" style="1305" customWidth="1"/>
    <col min="14597" max="14597" width="16" style="1305" customWidth="1"/>
    <col min="14598" max="14598" width="15.140625" style="1305" customWidth="1"/>
    <col min="14599" max="14599" width="16.140625" style="1305" customWidth="1"/>
    <col min="14600" max="14600" width="9.140625" style="1305"/>
    <col min="14601" max="14601" width="12" style="1305" bestFit="1" customWidth="1"/>
    <col min="14602" max="14602" width="19.28515625" style="1305" bestFit="1" customWidth="1"/>
    <col min="14603" max="14603" width="19.5703125" style="1305" customWidth="1"/>
    <col min="14604" max="14604" width="12" style="1305" bestFit="1" customWidth="1"/>
    <col min="14605" max="14848" width="9.140625" style="1305"/>
    <col min="14849" max="14849" width="6" style="1305" customWidth="1"/>
    <col min="14850" max="14850" width="55.28515625" style="1305" customWidth="1"/>
    <col min="14851" max="14851" width="7" style="1305" customWidth="1"/>
    <col min="14852" max="14852" width="15.140625" style="1305" customWidth="1"/>
    <col min="14853" max="14853" width="16" style="1305" customWidth="1"/>
    <col min="14854" max="14854" width="15.140625" style="1305" customWidth="1"/>
    <col min="14855" max="14855" width="16.140625" style="1305" customWidth="1"/>
    <col min="14856" max="14856" width="9.140625" style="1305"/>
    <col min="14857" max="14857" width="12" style="1305" bestFit="1" customWidth="1"/>
    <col min="14858" max="14858" width="19.28515625" style="1305" bestFit="1" customWidth="1"/>
    <col min="14859" max="14859" width="19.5703125" style="1305" customWidth="1"/>
    <col min="14860" max="14860" width="12" style="1305" bestFit="1" customWidth="1"/>
    <col min="14861" max="15104" width="9.140625" style="1305"/>
    <col min="15105" max="15105" width="6" style="1305" customWidth="1"/>
    <col min="15106" max="15106" width="55.28515625" style="1305" customWidth="1"/>
    <col min="15107" max="15107" width="7" style="1305" customWidth="1"/>
    <col min="15108" max="15108" width="15.140625" style="1305" customWidth="1"/>
    <col min="15109" max="15109" width="16" style="1305" customWidth="1"/>
    <col min="15110" max="15110" width="15.140625" style="1305" customWidth="1"/>
    <col min="15111" max="15111" width="16.140625" style="1305" customWidth="1"/>
    <col min="15112" max="15112" width="9.140625" style="1305"/>
    <col min="15113" max="15113" width="12" style="1305" bestFit="1" customWidth="1"/>
    <col min="15114" max="15114" width="19.28515625" style="1305" bestFit="1" customWidth="1"/>
    <col min="15115" max="15115" width="19.5703125" style="1305" customWidth="1"/>
    <col min="15116" max="15116" width="12" style="1305" bestFit="1" customWidth="1"/>
    <col min="15117" max="15360" width="9.140625" style="1305"/>
    <col min="15361" max="15361" width="6" style="1305" customWidth="1"/>
    <col min="15362" max="15362" width="55.28515625" style="1305" customWidth="1"/>
    <col min="15363" max="15363" width="7" style="1305" customWidth="1"/>
    <col min="15364" max="15364" width="15.140625" style="1305" customWidth="1"/>
    <col min="15365" max="15365" width="16" style="1305" customWidth="1"/>
    <col min="15366" max="15366" width="15.140625" style="1305" customWidth="1"/>
    <col min="15367" max="15367" width="16.140625" style="1305" customWidth="1"/>
    <col min="15368" max="15368" width="9.140625" style="1305"/>
    <col min="15369" max="15369" width="12" style="1305" bestFit="1" customWidth="1"/>
    <col min="15370" max="15370" width="19.28515625" style="1305" bestFit="1" customWidth="1"/>
    <col min="15371" max="15371" width="19.5703125" style="1305" customWidth="1"/>
    <col min="15372" max="15372" width="12" style="1305" bestFit="1" customWidth="1"/>
    <col min="15373" max="15616" width="9.140625" style="1305"/>
    <col min="15617" max="15617" width="6" style="1305" customWidth="1"/>
    <col min="15618" max="15618" width="55.28515625" style="1305" customWidth="1"/>
    <col min="15619" max="15619" width="7" style="1305" customWidth="1"/>
    <col min="15620" max="15620" width="15.140625" style="1305" customWidth="1"/>
    <col min="15621" max="15621" width="16" style="1305" customWidth="1"/>
    <col min="15622" max="15622" width="15.140625" style="1305" customWidth="1"/>
    <col min="15623" max="15623" width="16.140625" style="1305" customWidth="1"/>
    <col min="15624" max="15624" width="9.140625" style="1305"/>
    <col min="15625" max="15625" width="12" style="1305" bestFit="1" customWidth="1"/>
    <col min="15626" max="15626" width="19.28515625" style="1305" bestFit="1" customWidth="1"/>
    <col min="15627" max="15627" width="19.5703125" style="1305" customWidth="1"/>
    <col min="15628" max="15628" width="12" style="1305" bestFit="1" customWidth="1"/>
    <col min="15629" max="15872" width="9.140625" style="1305"/>
    <col min="15873" max="15873" width="6" style="1305" customWidth="1"/>
    <col min="15874" max="15874" width="55.28515625" style="1305" customWidth="1"/>
    <col min="15875" max="15875" width="7" style="1305" customWidth="1"/>
    <col min="15876" max="15876" width="15.140625" style="1305" customWidth="1"/>
    <col min="15877" max="15877" width="16" style="1305" customWidth="1"/>
    <col min="15878" max="15878" width="15.140625" style="1305" customWidth="1"/>
    <col min="15879" max="15879" width="16.140625" style="1305" customWidth="1"/>
    <col min="15880" max="15880" width="9.140625" style="1305"/>
    <col min="15881" max="15881" width="12" style="1305" bestFit="1" customWidth="1"/>
    <col min="15882" max="15882" width="19.28515625" style="1305" bestFit="1" customWidth="1"/>
    <col min="15883" max="15883" width="19.5703125" style="1305" customWidth="1"/>
    <col min="15884" max="15884" width="12" style="1305" bestFit="1" customWidth="1"/>
    <col min="15885" max="16128" width="9.140625" style="1305"/>
    <col min="16129" max="16129" width="6" style="1305" customWidth="1"/>
    <col min="16130" max="16130" width="55.28515625" style="1305" customWidth="1"/>
    <col min="16131" max="16131" width="7" style="1305" customWidth="1"/>
    <col min="16132" max="16132" width="15.140625" style="1305" customWidth="1"/>
    <col min="16133" max="16133" width="16" style="1305" customWidth="1"/>
    <col min="16134" max="16134" width="15.140625" style="1305" customWidth="1"/>
    <col min="16135" max="16135" width="16.140625" style="1305" customWidth="1"/>
    <col min="16136" max="16136" width="9.140625" style="1305"/>
    <col min="16137" max="16137" width="12" style="1305" bestFit="1" customWidth="1"/>
    <col min="16138" max="16138" width="19.28515625" style="1305" bestFit="1" customWidth="1"/>
    <col min="16139" max="16139" width="19.5703125" style="1305" customWidth="1"/>
    <col min="16140" max="16140" width="12" style="1305" bestFit="1" customWidth="1"/>
    <col min="16141" max="16384" width="9.140625" style="1305"/>
  </cols>
  <sheetData>
    <row r="1" spans="1:12">
      <c r="A1" s="1304" t="s">
        <v>3412</v>
      </c>
      <c r="F1" s="1307" t="s">
        <v>3433</v>
      </c>
    </row>
    <row r="2" spans="1:12" s="1307" customFormat="1" ht="14.25">
      <c r="A2" s="1304"/>
      <c r="D2" s="1308"/>
    </row>
    <row r="3" spans="1:12" ht="21.75" customHeight="1">
      <c r="A3" s="1992" t="s">
        <v>3420</v>
      </c>
      <c r="B3" s="1993"/>
      <c r="C3" s="1993"/>
      <c r="D3" s="1993"/>
      <c r="E3" s="1993"/>
      <c r="F3" s="1993"/>
      <c r="G3" s="1993"/>
    </row>
    <row r="4" spans="1:12" s="1310" customFormat="1" ht="18.75" customHeight="1">
      <c r="A4" s="1994" t="s">
        <v>3297</v>
      </c>
      <c r="B4" s="1994"/>
      <c r="C4" s="1994"/>
      <c r="D4" s="1994"/>
      <c r="E4" s="1994"/>
      <c r="F4" s="1994"/>
      <c r="G4" s="1994"/>
    </row>
    <row r="5" spans="1:12" ht="14.25" customHeight="1">
      <c r="C5" s="1311"/>
      <c r="F5" s="1312"/>
      <c r="G5" s="1312" t="s">
        <v>2488</v>
      </c>
    </row>
    <row r="6" spans="1:12" s="1311" customFormat="1" ht="99.75" customHeight="1">
      <c r="A6" s="1313" t="s">
        <v>3</v>
      </c>
      <c r="B6" s="1313" t="s">
        <v>4</v>
      </c>
      <c r="C6" s="1313" t="s">
        <v>3298</v>
      </c>
      <c r="D6" s="1314" t="s">
        <v>3405</v>
      </c>
      <c r="E6" s="1313" t="s">
        <v>3413</v>
      </c>
      <c r="F6" s="1313" t="s">
        <v>3414</v>
      </c>
      <c r="G6" s="1313" t="s">
        <v>3417</v>
      </c>
    </row>
    <row r="7" spans="1:12" s="1309" customFormat="1" ht="25.5" customHeight="1">
      <c r="A7" s="1315"/>
      <c r="B7" s="1315"/>
      <c r="C7" s="1315">
        <v>1</v>
      </c>
      <c r="D7" s="1316">
        <v>2</v>
      </c>
      <c r="E7" s="1315" t="s">
        <v>3415</v>
      </c>
      <c r="F7" s="1317" t="s">
        <v>3416</v>
      </c>
      <c r="G7" s="1315" t="s">
        <v>3404</v>
      </c>
      <c r="I7" s="1327"/>
      <c r="J7" s="1327" t="s">
        <v>21</v>
      </c>
    </row>
    <row r="8" spans="1:12" s="1309" customFormat="1" ht="25.5" customHeight="1">
      <c r="A8" s="1328"/>
      <c r="B8" s="1329" t="s">
        <v>2509</v>
      </c>
      <c r="C8" s="1417">
        <f>SUM(C9,C16,C25,C27)</f>
        <v>2186</v>
      </c>
      <c r="D8" s="1402"/>
      <c r="E8" s="1417">
        <f>SUM(E9,E16,E25,E27)</f>
        <v>1009.9461999999999</v>
      </c>
      <c r="F8" s="1417">
        <f>SUM(F9,F16,F25,F27)</f>
        <v>1082.6042</v>
      </c>
      <c r="G8" s="1417">
        <f>SUM(G9,G16,G25,G27)</f>
        <v>871.89600000000007</v>
      </c>
      <c r="I8" s="1996" t="s">
        <v>3408</v>
      </c>
      <c r="J8" s="1996"/>
    </row>
    <row r="9" spans="1:12" s="1311" customFormat="1" ht="23.25" customHeight="1">
      <c r="A9" s="1330" t="s">
        <v>13</v>
      </c>
      <c r="B9" s="1331" t="s">
        <v>3299</v>
      </c>
      <c r="C9" s="1418">
        <f>C10+C11+C15</f>
        <v>315</v>
      </c>
      <c r="D9" s="1381"/>
      <c r="E9" s="1418">
        <f>E10+E11+E15</f>
        <v>363.06799999999998</v>
      </c>
      <c r="F9" s="1418">
        <f>F10+F11+F15</f>
        <v>389.18799999999999</v>
      </c>
      <c r="G9" s="1418">
        <f>G10+G11+G15</f>
        <v>313.43999999999977</v>
      </c>
      <c r="I9" s="1326" t="s">
        <v>2822</v>
      </c>
      <c r="J9" s="1304" t="s">
        <v>3411</v>
      </c>
    </row>
    <row r="10" spans="1:12" ht="19.5" customHeight="1">
      <c r="A10" s="1318">
        <v>1</v>
      </c>
      <c r="B10" s="1319" t="s">
        <v>3300</v>
      </c>
      <c r="C10" s="1385">
        <v>25</v>
      </c>
      <c r="D10" s="1386">
        <v>1</v>
      </c>
      <c r="E10" s="1423">
        <f>C10*D10*1.39</f>
        <v>34.75</v>
      </c>
      <c r="F10" s="1423">
        <f>C10*D10*1.49</f>
        <v>37.25</v>
      </c>
      <c r="G10" s="1423">
        <f>(F10-E10)*12</f>
        <v>30</v>
      </c>
      <c r="J10" s="1320"/>
      <c r="K10" s="1321"/>
    </row>
    <row r="11" spans="1:12" ht="19.5" customHeight="1">
      <c r="A11" s="1318">
        <v>2</v>
      </c>
      <c r="B11" s="1319" t="s">
        <v>3301</v>
      </c>
      <c r="C11" s="1385">
        <v>42</v>
      </c>
      <c r="D11" s="1388"/>
      <c r="E11" s="1424">
        <f>SUM(E12:E14)</f>
        <v>52.541999999999987</v>
      </c>
      <c r="F11" s="1424">
        <f>SUM(F12:F14)</f>
        <v>56.322000000000003</v>
      </c>
      <c r="G11" s="1424">
        <f>SUM(G12:G14)</f>
        <v>45.360000000000056</v>
      </c>
      <c r="J11" s="1320"/>
      <c r="K11" s="1321"/>
    </row>
    <row r="12" spans="1:12" ht="19.5" customHeight="1">
      <c r="A12" s="1318"/>
      <c r="B12" s="1322" t="s">
        <v>3302</v>
      </c>
      <c r="C12" s="1385">
        <v>16</v>
      </c>
      <c r="D12" s="1386">
        <v>0.9</v>
      </c>
      <c r="E12" s="1423">
        <f t="shared" ref="E12:E15" si="0">C12*D12*1.39</f>
        <v>20.015999999999998</v>
      </c>
      <c r="F12" s="1423">
        <f t="shared" ref="F12:F15" si="1">C12*D12*1.49</f>
        <v>21.456</v>
      </c>
      <c r="G12" s="1423">
        <f t="shared" ref="G12:G15" si="2">(F12-E12)*12</f>
        <v>17.280000000000015</v>
      </c>
      <c r="J12" s="1320"/>
      <c r="K12" s="1321"/>
    </row>
    <row r="13" spans="1:12" ht="19.5" customHeight="1">
      <c r="A13" s="1318"/>
      <c r="B13" s="1322" t="s">
        <v>3303</v>
      </c>
      <c r="C13" s="1385">
        <v>15</v>
      </c>
      <c r="D13" s="1386">
        <v>0.9</v>
      </c>
      <c r="E13" s="1423">
        <f t="shared" si="0"/>
        <v>18.764999999999997</v>
      </c>
      <c r="F13" s="1423">
        <f t="shared" si="1"/>
        <v>20.114999999999998</v>
      </c>
      <c r="G13" s="1423">
        <f t="shared" si="2"/>
        <v>16.200000000000017</v>
      </c>
      <c r="J13" s="1323"/>
      <c r="K13" s="1324"/>
      <c r="L13" s="1323"/>
    </row>
    <row r="14" spans="1:12" ht="19.5" customHeight="1">
      <c r="A14" s="1318"/>
      <c r="B14" s="1322" t="s">
        <v>3304</v>
      </c>
      <c r="C14" s="1385">
        <v>11</v>
      </c>
      <c r="D14" s="1386">
        <v>0.9</v>
      </c>
      <c r="E14" s="1423">
        <f t="shared" si="0"/>
        <v>13.760999999999999</v>
      </c>
      <c r="F14" s="1423">
        <f t="shared" si="1"/>
        <v>14.751000000000001</v>
      </c>
      <c r="G14" s="1423">
        <f t="shared" si="2"/>
        <v>11.880000000000024</v>
      </c>
      <c r="J14" s="1323"/>
    </row>
    <row r="15" spans="1:12" ht="19.5" customHeight="1">
      <c r="A15" s="1318">
        <v>3</v>
      </c>
      <c r="B15" s="1319" t="s">
        <v>3305</v>
      </c>
      <c r="C15" s="1385">
        <v>248</v>
      </c>
      <c r="D15" s="1386">
        <v>0.8</v>
      </c>
      <c r="E15" s="1423">
        <f t="shared" si="0"/>
        <v>275.77600000000001</v>
      </c>
      <c r="F15" s="1423">
        <f t="shared" si="1"/>
        <v>295.61599999999999</v>
      </c>
      <c r="G15" s="1423">
        <f t="shared" si="2"/>
        <v>238.0799999999997</v>
      </c>
    </row>
    <row r="16" spans="1:12" s="1307" customFormat="1" ht="21" customHeight="1">
      <c r="A16" s="1332" t="s">
        <v>65</v>
      </c>
      <c r="B16" s="1333" t="s">
        <v>3407</v>
      </c>
      <c r="C16" s="1393">
        <f>SUM(C17,C21)</f>
        <v>196</v>
      </c>
      <c r="D16" s="1393"/>
      <c r="E16" s="1425">
        <f>SUM(E17,E21)</f>
        <v>495.92419999999993</v>
      </c>
      <c r="F16" s="1425">
        <f>SUM(F17,F21)</f>
        <v>531.60220000000004</v>
      </c>
      <c r="G16" s="1425">
        <f>SUM(G17,G21)</f>
        <v>428.13600000000008</v>
      </c>
      <c r="J16" s="1323"/>
      <c r="K16" s="1325"/>
    </row>
    <row r="17" spans="1:11" ht="19.5" customHeight="1">
      <c r="A17" s="1318">
        <v>1</v>
      </c>
      <c r="B17" s="1319" t="s">
        <v>3406</v>
      </c>
      <c r="C17" s="1385">
        <v>24</v>
      </c>
      <c r="D17" s="1395"/>
      <c r="E17" s="1423">
        <f>SUM(E18:E20)</f>
        <v>202.24499999999998</v>
      </c>
      <c r="F17" s="1423">
        <f>SUM(F18:F20)</f>
        <v>216.79499999999999</v>
      </c>
      <c r="G17" s="1423">
        <f>SUM(G18:G20)</f>
        <v>174.60000000000002</v>
      </c>
      <c r="K17" s="1323"/>
    </row>
    <row r="18" spans="1:11" ht="19.5" customHeight="1">
      <c r="A18" s="1318"/>
      <c r="B18" s="1342" t="s">
        <v>129</v>
      </c>
      <c r="C18" s="1416">
        <f>SUM(C43,C67,C91,C115,C140,C164,C188,C212,C236)</f>
        <v>92</v>
      </c>
      <c r="D18" s="1395">
        <v>1.34</v>
      </c>
      <c r="E18" s="1423">
        <f t="shared" ref="E18:E20" si="3">C18*D18*1.39</f>
        <v>171.35919999999999</v>
      </c>
      <c r="F18" s="1423">
        <f t="shared" ref="F18:F20" si="4">C18*D18*1.49</f>
        <v>183.68719999999999</v>
      </c>
      <c r="G18" s="1423">
        <f t="shared" ref="G18:G20" si="5">(F18-E18)*12</f>
        <v>147.93600000000004</v>
      </c>
      <c r="K18" s="1323"/>
    </row>
    <row r="19" spans="1:11" ht="19.5" customHeight="1">
      <c r="A19" s="1318"/>
      <c r="B19" s="1342" t="s">
        <v>1312</v>
      </c>
      <c r="C19" s="1416">
        <f>SUM(C44,C68,C92,C116,C141,C165,C189,C213,C237)</f>
        <v>3</v>
      </c>
      <c r="D19" s="1395">
        <v>1.1000000000000001</v>
      </c>
      <c r="E19" s="1423">
        <f t="shared" si="3"/>
        <v>4.5869999999999997</v>
      </c>
      <c r="F19" s="1423">
        <f t="shared" si="4"/>
        <v>4.9170000000000007</v>
      </c>
      <c r="G19" s="1423">
        <f t="shared" si="5"/>
        <v>3.9600000000000115</v>
      </c>
      <c r="K19" s="1323"/>
    </row>
    <row r="20" spans="1:11" ht="19.5" customHeight="1">
      <c r="A20" s="1318"/>
      <c r="B20" s="1342" t="s">
        <v>3435</v>
      </c>
      <c r="C20" s="1416">
        <f>SUM(C45,C69,C93,C117,C142,C166,C190,C214,C238)</f>
        <v>22</v>
      </c>
      <c r="D20" s="1395">
        <v>0.86</v>
      </c>
      <c r="E20" s="1423">
        <f t="shared" si="3"/>
        <v>26.298799999999996</v>
      </c>
      <c r="F20" s="1423">
        <f t="shared" si="4"/>
        <v>28.190799999999996</v>
      </c>
      <c r="G20" s="1423">
        <f t="shared" si="5"/>
        <v>22.703999999999994</v>
      </c>
      <c r="K20" s="1323"/>
    </row>
    <row r="21" spans="1:11" ht="19.5" customHeight="1">
      <c r="A21" s="1318">
        <v>2</v>
      </c>
      <c r="B21" s="1319" t="s">
        <v>3301</v>
      </c>
      <c r="C21" s="1393">
        <f>SUM(C22:C24)</f>
        <v>172</v>
      </c>
      <c r="D21" s="1393"/>
      <c r="E21" s="1425">
        <f>SUM(E22:E24)</f>
        <v>293.67919999999998</v>
      </c>
      <c r="F21" s="1425">
        <f>SUM(F22:F24)</f>
        <v>314.80720000000002</v>
      </c>
      <c r="G21" s="1425">
        <f>SUM(G22:G24)</f>
        <v>253.53600000000009</v>
      </c>
      <c r="J21" s="1320"/>
      <c r="K21" s="1321"/>
    </row>
    <row r="22" spans="1:11" ht="19.5" customHeight="1">
      <c r="A22" s="1318"/>
      <c r="B22" s="1342" t="s">
        <v>129</v>
      </c>
      <c r="C22" s="1385">
        <f>SUM(C47,C71,C95,C119,C144,C168,C192,C216,C240)</f>
        <v>125</v>
      </c>
      <c r="D22" s="1395">
        <v>1.34</v>
      </c>
      <c r="E22" s="1423">
        <f t="shared" ref="E22:E24" si="6">C22*D22*1.39</f>
        <v>232.82499999999999</v>
      </c>
      <c r="F22" s="1423">
        <f t="shared" ref="F22:F24" si="7">C22*D22*1.49</f>
        <v>249.57499999999999</v>
      </c>
      <c r="G22" s="1423">
        <f t="shared" ref="G22:G24" si="8">(F22-E22)*12</f>
        <v>201</v>
      </c>
      <c r="J22" s="1320"/>
      <c r="K22" s="1321"/>
    </row>
    <row r="23" spans="1:11" ht="19.5" customHeight="1">
      <c r="A23" s="1318"/>
      <c r="B23" s="1342" t="s">
        <v>1312</v>
      </c>
      <c r="C23" s="1385">
        <f>SUM(C48,C72,C96,C120,C145,C169,C193,C217,C241)</f>
        <v>14</v>
      </c>
      <c r="D23" s="1395">
        <v>1.1000000000000001</v>
      </c>
      <c r="E23" s="1423">
        <f t="shared" si="6"/>
        <v>21.406000000000002</v>
      </c>
      <c r="F23" s="1423">
        <f t="shared" si="7"/>
        <v>22.946000000000002</v>
      </c>
      <c r="G23" s="1423">
        <f t="shared" si="8"/>
        <v>18.47999999999999</v>
      </c>
      <c r="J23" s="1320"/>
      <c r="K23" s="1321"/>
    </row>
    <row r="24" spans="1:11" ht="19.5" customHeight="1">
      <c r="A24" s="1318"/>
      <c r="B24" s="1342" t="s">
        <v>3435</v>
      </c>
      <c r="C24" s="1385">
        <f>SUM(C49,C73,C97,C121,C146,C170,C194,C218,C242)</f>
        <v>33</v>
      </c>
      <c r="D24" s="1395">
        <v>0.86</v>
      </c>
      <c r="E24" s="1423">
        <f t="shared" si="6"/>
        <v>39.448199999999993</v>
      </c>
      <c r="F24" s="1423">
        <f t="shared" si="7"/>
        <v>42.286200000000001</v>
      </c>
      <c r="G24" s="1423">
        <f t="shared" si="8"/>
        <v>34.056000000000097</v>
      </c>
      <c r="J24" s="1320"/>
      <c r="K24" s="1321"/>
    </row>
    <row r="25" spans="1:11" s="1336" customFormat="1" ht="36.75" customHeight="1">
      <c r="A25" s="1334" t="s">
        <v>14</v>
      </c>
      <c r="B25" s="1335" t="s">
        <v>3409</v>
      </c>
      <c r="C25" s="1393">
        <f>C26</f>
        <v>142</v>
      </c>
      <c r="D25" s="1396">
        <f>D26</f>
        <v>0.22500000000000001</v>
      </c>
      <c r="E25" s="1426">
        <f>E26</f>
        <v>44.410499999999999</v>
      </c>
      <c r="F25" s="1426">
        <f>F26</f>
        <v>47.605499999999999</v>
      </c>
      <c r="G25" s="1426">
        <f>G26</f>
        <v>38.340000000000003</v>
      </c>
      <c r="J25" s="1338"/>
    </row>
    <row r="26" spans="1:11" ht="24.75" customHeight="1">
      <c r="A26" s="1318">
        <v>1</v>
      </c>
      <c r="B26" s="1319" t="s">
        <v>3300</v>
      </c>
      <c r="C26" s="1385">
        <f>SUM(C51,C75,C99,C123,C148,C172,C196,C220,C244)</f>
        <v>142</v>
      </c>
      <c r="D26" s="1397">
        <v>0.22500000000000001</v>
      </c>
      <c r="E26" s="1423">
        <f t="shared" ref="E26" si="9">C26*D26*1.39</f>
        <v>44.410499999999999</v>
      </c>
      <c r="F26" s="1423">
        <f t="shared" ref="F26" si="10">C26*D26*1.49</f>
        <v>47.605499999999999</v>
      </c>
      <c r="G26" s="1423">
        <f t="shared" ref="G26" si="11">(F26-E26)*12</f>
        <v>38.340000000000003</v>
      </c>
      <c r="J26" s="1320"/>
      <c r="K26" s="1321"/>
    </row>
    <row r="27" spans="1:11" s="1336" customFormat="1" ht="52.5" customHeight="1">
      <c r="A27" s="1334" t="s">
        <v>18</v>
      </c>
      <c r="B27" s="1335" t="s">
        <v>3410</v>
      </c>
      <c r="C27" s="1393">
        <f>SUM(C28:C31)</f>
        <v>1533</v>
      </c>
      <c r="D27" s="1398">
        <f>SUM(D28:D31)</f>
        <v>0.2</v>
      </c>
      <c r="E27" s="1425">
        <f>SUM(E28:E31)</f>
        <v>106.54349999999999</v>
      </c>
      <c r="F27" s="1425">
        <f>SUM(F28:F31)</f>
        <v>114.20850000000002</v>
      </c>
      <c r="G27" s="1425">
        <f>SUM(G28:G31)</f>
        <v>91.980000000000203</v>
      </c>
      <c r="K27" s="1337"/>
    </row>
    <row r="28" spans="1:11" ht="19.5" customHeight="1">
      <c r="A28" s="1318">
        <v>1</v>
      </c>
      <c r="B28" s="1319" t="s">
        <v>3306</v>
      </c>
      <c r="C28" s="1385">
        <f>SUM(C53,C77,C101,C126,C150,C174,C198,C222,C247)</f>
        <v>26</v>
      </c>
      <c r="D28" s="1386">
        <f>0.05</f>
        <v>0.05</v>
      </c>
      <c r="E28" s="1423">
        <f t="shared" ref="E28:E31" si="12">C28*D28*1.39</f>
        <v>1.8069999999999999</v>
      </c>
      <c r="F28" s="1423">
        <f t="shared" ref="F28:F31" si="13">C28*D28*1.49</f>
        <v>1.9370000000000001</v>
      </c>
      <c r="G28" s="1423">
        <f t="shared" ref="G28:G31" si="14">(F28-E28)*12</f>
        <v>1.5600000000000014</v>
      </c>
    </row>
    <row r="29" spans="1:11" ht="19.5" customHeight="1">
      <c r="A29" s="1318">
        <v>2</v>
      </c>
      <c r="B29" s="1319" t="s">
        <v>3300</v>
      </c>
      <c r="C29" s="1385">
        <f>SUM(C54,C78,C102,C127,C151,C175,C199,C223,C248)</f>
        <v>49</v>
      </c>
      <c r="D29" s="1386">
        <f>0.05</f>
        <v>0.05</v>
      </c>
      <c r="E29" s="1423">
        <f t="shared" si="12"/>
        <v>3.4055</v>
      </c>
      <c r="F29" s="1423">
        <f t="shared" si="13"/>
        <v>3.6505000000000001</v>
      </c>
      <c r="G29" s="1423">
        <f t="shared" si="14"/>
        <v>2.9400000000000013</v>
      </c>
      <c r="J29" s="1320"/>
      <c r="K29" s="1321"/>
    </row>
    <row r="30" spans="1:11" ht="19.5" customHeight="1">
      <c r="A30" s="1318">
        <v>3</v>
      </c>
      <c r="B30" s="1319" t="s">
        <v>3301</v>
      </c>
      <c r="C30" s="1385">
        <f>SUM(C55,C79,C103,C128,C152,C176,C200,C224,C249)</f>
        <v>252</v>
      </c>
      <c r="D30" s="1386">
        <f>0.05</f>
        <v>0.05</v>
      </c>
      <c r="E30" s="1423">
        <f t="shared" si="12"/>
        <v>17.513999999999999</v>
      </c>
      <c r="F30" s="1423">
        <f t="shared" si="13"/>
        <v>18.774000000000001</v>
      </c>
      <c r="G30" s="1423">
        <f t="shared" si="14"/>
        <v>15.120000000000019</v>
      </c>
      <c r="J30" s="1320"/>
      <c r="K30" s="1321"/>
    </row>
    <row r="31" spans="1:11" ht="19.5" customHeight="1">
      <c r="A31" s="1318">
        <v>4</v>
      </c>
      <c r="B31" s="1319" t="s">
        <v>3307</v>
      </c>
      <c r="C31" s="1385">
        <f>SUM(C56,C80,C104,C129,C153,C177,C201,C225,C250)</f>
        <v>1206</v>
      </c>
      <c r="D31" s="1386">
        <f>0.05</f>
        <v>0.05</v>
      </c>
      <c r="E31" s="1423">
        <f t="shared" si="12"/>
        <v>83.816999999999993</v>
      </c>
      <c r="F31" s="1423">
        <f t="shared" si="13"/>
        <v>89.847000000000008</v>
      </c>
      <c r="G31" s="1423">
        <f t="shared" si="14"/>
        <v>72.360000000000184</v>
      </c>
      <c r="J31" s="1320"/>
      <c r="K31" s="1321"/>
    </row>
    <row r="32" spans="1:11">
      <c r="A32" s="1995"/>
      <c r="B32" s="1995"/>
    </row>
    <row r="33" spans="1:7">
      <c r="A33" s="1400"/>
      <c r="B33" s="1401" t="s">
        <v>2500</v>
      </c>
      <c r="C33" s="1417">
        <f>SUM(C34,C41,C50,C52)</f>
        <v>267</v>
      </c>
      <c r="D33" s="1402"/>
      <c r="E33" s="1403">
        <f>SUM(E34,E41,E50,E52)</f>
        <v>140.19540000000001</v>
      </c>
      <c r="F33" s="1403">
        <f>SUM(F34,F41,F50,F52)</f>
        <v>150.28140000000002</v>
      </c>
      <c r="G33" s="1403">
        <f>SUM(G34,G41,G50,G52)</f>
        <v>121.03200000000017</v>
      </c>
    </row>
    <row r="34" spans="1:7">
      <c r="A34" s="1339" t="s">
        <v>13</v>
      </c>
      <c r="B34" s="1380" t="s">
        <v>3299</v>
      </c>
      <c r="C34" s="1418">
        <f>C35+C36+C40</f>
        <v>51</v>
      </c>
      <c r="D34" s="1381"/>
      <c r="E34" s="1382">
        <f>E35+E36+E40</f>
        <v>66.302999999999997</v>
      </c>
      <c r="F34" s="1382">
        <f>F35+F36+F40</f>
        <v>71.073000000000008</v>
      </c>
      <c r="G34" s="1382">
        <f>G35+G36+G40</f>
        <v>57.24000000000008</v>
      </c>
    </row>
    <row r="35" spans="1:7">
      <c r="A35" s="1383">
        <v>1</v>
      </c>
      <c r="B35" s="1384" t="s">
        <v>3300</v>
      </c>
      <c r="C35" s="1385">
        <v>18</v>
      </c>
      <c r="D35" s="1386">
        <v>1</v>
      </c>
      <c r="E35" s="1387">
        <f>C35*D35*1.39</f>
        <v>25.02</v>
      </c>
      <c r="F35" s="1387">
        <f>C35*D35*1.49</f>
        <v>26.82</v>
      </c>
      <c r="G35" s="1387">
        <f>(F35-E35)*12</f>
        <v>21.600000000000009</v>
      </c>
    </row>
    <row r="36" spans="1:7" ht="18" customHeight="1">
      <c r="A36" s="1383">
        <v>2</v>
      </c>
      <c r="B36" s="1384" t="s">
        <v>3301</v>
      </c>
      <c r="C36" s="1385">
        <f>SUM(C37:C39)</f>
        <v>33</v>
      </c>
      <c r="D36" s="1388"/>
      <c r="E36" s="1419">
        <f>SUM(E37:E39)</f>
        <v>41.283000000000001</v>
      </c>
      <c r="F36" s="1419">
        <f>SUM(F37:F39)</f>
        <v>44.253</v>
      </c>
      <c r="G36" s="1419">
        <f>SUM(G37:G39)</f>
        <v>35.640000000000072</v>
      </c>
    </row>
    <row r="37" spans="1:7" ht="18" customHeight="1">
      <c r="A37" s="1383"/>
      <c r="B37" s="1390" t="s">
        <v>3302</v>
      </c>
      <c r="C37" s="1385">
        <v>11</v>
      </c>
      <c r="D37" s="1386">
        <v>0.9</v>
      </c>
      <c r="E37" s="1387">
        <f t="shared" ref="E37:E40" si="15">C37*D37*1.39</f>
        <v>13.760999999999999</v>
      </c>
      <c r="F37" s="1387">
        <f t="shared" ref="F37:F40" si="16">C37*D37*1.49</f>
        <v>14.751000000000001</v>
      </c>
      <c r="G37" s="1387">
        <f t="shared" ref="G37:G40" si="17">(F37-E37)*12</f>
        <v>11.880000000000024</v>
      </c>
    </row>
    <row r="38" spans="1:7" ht="18" customHeight="1">
      <c r="A38" s="1383"/>
      <c r="B38" s="1390" t="s">
        <v>3303</v>
      </c>
      <c r="C38" s="1385">
        <v>11</v>
      </c>
      <c r="D38" s="1386">
        <v>0.9</v>
      </c>
      <c r="E38" s="1387">
        <f t="shared" si="15"/>
        <v>13.760999999999999</v>
      </c>
      <c r="F38" s="1387">
        <f t="shared" si="16"/>
        <v>14.751000000000001</v>
      </c>
      <c r="G38" s="1387">
        <f t="shared" si="17"/>
        <v>11.880000000000024</v>
      </c>
    </row>
    <row r="39" spans="1:7" ht="18" customHeight="1">
      <c r="A39" s="1383"/>
      <c r="B39" s="1390" t="s">
        <v>3304</v>
      </c>
      <c r="C39" s="1385">
        <v>11</v>
      </c>
      <c r="D39" s="1386">
        <v>0.9</v>
      </c>
      <c r="E39" s="1387">
        <f t="shared" si="15"/>
        <v>13.760999999999999</v>
      </c>
      <c r="F39" s="1387">
        <f t="shared" si="16"/>
        <v>14.751000000000001</v>
      </c>
      <c r="G39" s="1387">
        <f t="shared" si="17"/>
        <v>11.880000000000024</v>
      </c>
    </row>
    <row r="40" spans="1:7">
      <c r="A40" s="1383">
        <v>3</v>
      </c>
      <c r="B40" s="1384" t="s">
        <v>3305</v>
      </c>
      <c r="C40" s="1385"/>
      <c r="D40" s="1386">
        <v>0.8</v>
      </c>
      <c r="E40" s="1387">
        <f t="shared" si="15"/>
        <v>0</v>
      </c>
      <c r="F40" s="1387">
        <f t="shared" si="16"/>
        <v>0</v>
      </c>
      <c r="G40" s="1387">
        <f t="shared" si="17"/>
        <v>0</v>
      </c>
    </row>
    <row r="41" spans="1:7">
      <c r="A41" s="1391" t="s">
        <v>65</v>
      </c>
      <c r="B41" s="1392" t="s">
        <v>3407</v>
      </c>
      <c r="C41" s="1393">
        <f>SUM(C42,C46)</f>
        <v>33</v>
      </c>
      <c r="D41" s="1393">
        <f>SUM(D42,D46)</f>
        <v>0</v>
      </c>
      <c r="E41" s="1394">
        <f>SUM(E42,E46)</f>
        <v>56.795399999999994</v>
      </c>
      <c r="F41" s="1394">
        <f>SUM(F42,F46)</f>
        <v>60.881399999999999</v>
      </c>
      <c r="G41" s="1394">
        <f>SUM(G42,G46)</f>
        <v>49.032000000000068</v>
      </c>
    </row>
    <row r="42" spans="1:7" ht="16.5">
      <c r="A42" s="1383">
        <v>1</v>
      </c>
      <c r="B42" s="1384" t="s">
        <v>3406</v>
      </c>
      <c r="C42" s="1385">
        <f>SUM(C43:C45)</f>
        <v>13</v>
      </c>
      <c r="D42" s="1395"/>
      <c r="E42" s="1385">
        <f>SUM(E43:E45)</f>
        <v>22.879399999999997</v>
      </c>
      <c r="F42" s="1385">
        <f>SUM(F43:F45)</f>
        <v>24.525400000000001</v>
      </c>
      <c r="G42" s="1385">
        <f>SUM(G43:G45)</f>
        <v>19.752000000000045</v>
      </c>
    </row>
    <row r="43" spans="1:7" ht="16.5">
      <c r="A43" s="1383"/>
      <c r="B43" s="1342" t="s">
        <v>129</v>
      </c>
      <c r="C43" s="1416">
        <v>11</v>
      </c>
      <c r="D43" s="1395">
        <v>1.34</v>
      </c>
      <c r="E43" s="1387">
        <f t="shared" ref="E43:E45" si="18">C43*D43*1.39</f>
        <v>20.488599999999998</v>
      </c>
      <c r="F43" s="1387">
        <f t="shared" ref="F43:F45" si="19">C43*D43*1.49</f>
        <v>21.962600000000002</v>
      </c>
      <c r="G43" s="1387">
        <f t="shared" ref="G43:G45" si="20">(F43-E43)*12</f>
        <v>17.688000000000045</v>
      </c>
    </row>
    <row r="44" spans="1:7" ht="16.5">
      <c r="A44" s="1383"/>
      <c r="B44" s="1342" t="s">
        <v>1312</v>
      </c>
      <c r="C44" s="1416"/>
      <c r="D44" s="1395">
        <v>1.1000000000000001</v>
      </c>
      <c r="E44" s="1387">
        <f t="shared" si="18"/>
        <v>0</v>
      </c>
      <c r="F44" s="1387">
        <f t="shared" si="19"/>
        <v>0</v>
      </c>
      <c r="G44" s="1387">
        <f t="shared" si="20"/>
        <v>0</v>
      </c>
    </row>
    <row r="45" spans="1:7" ht="16.5">
      <c r="A45" s="1383"/>
      <c r="B45" s="1342" t="s">
        <v>3435</v>
      </c>
      <c r="C45" s="1416">
        <v>2</v>
      </c>
      <c r="D45" s="1395">
        <v>0.86</v>
      </c>
      <c r="E45" s="1387">
        <f t="shared" si="18"/>
        <v>2.3907999999999996</v>
      </c>
      <c r="F45" s="1387">
        <f t="shared" si="19"/>
        <v>2.5627999999999997</v>
      </c>
      <c r="G45" s="1387">
        <f t="shared" si="20"/>
        <v>2.0640000000000018</v>
      </c>
    </row>
    <row r="46" spans="1:7">
      <c r="A46" s="1383">
        <v>2</v>
      </c>
      <c r="B46" s="1384" t="s">
        <v>3301</v>
      </c>
      <c r="C46" s="1393">
        <f>SUM(C47:C49)</f>
        <v>20</v>
      </c>
      <c r="D46" s="1393"/>
      <c r="E46" s="1393">
        <f>SUM(E47:E49)</f>
        <v>33.915999999999997</v>
      </c>
      <c r="F46" s="1393">
        <f>SUM(F47:F49)</f>
        <v>36.356000000000002</v>
      </c>
      <c r="G46" s="1393">
        <f>SUM(G47:G49)</f>
        <v>29.280000000000019</v>
      </c>
    </row>
    <row r="47" spans="1:7" ht="16.5">
      <c r="A47" s="1383"/>
      <c r="B47" s="1342" t="s">
        <v>129</v>
      </c>
      <c r="C47" s="1385">
        <v>14</v>
      </c>
      <c r="D47" s="1395">
        <v>1.34</v>
      </c>
      <c r="E47" s="1387">
        <f t="shared" ref="E47:E49" si="21">C47*D47*1.39</f>
        <v>26.0764</v>
      </c>
      <c r="F47" s="1387">
        <f t="shared" ref="F47:F49" si="22">C47*D47*1.49</f>
        <v>27.952400000000001</v>
      </c>
      <c r="G47" s="1387">
        <f t="shared" ref="G47:G49" si="23">(F47-E47)*12</f>
        <v>22.512000000000015</v>
      </c>
    </row>
    <row r="48" spans="1:7" ht="16.5">
      <c r="A48" s="1383"/>
      <c r="B48" s="1342" t="s">
        <v>1312</v>
      </c>
      <c r="C48" s="1385">
        <v>2</v>
      </c>
      <c r="D48" s="1395">
        <v>1.1000000000000001</v>
      </c>
      <c r="E48" s="1387">
        <f t="shared" si="21"/>
        <v>3.0579999999999998</v>
      </c>
      <c r="F48" s="1387">
        <f t="shared" si="22"/>
        <v>3.278</v>
      </c>
      <c r="G48" s="1387">
        <f t="shared" si="23"/>
        <v>2.6400000000000023</v>
      </c>
    </row>
    <row r="49" spans="1:7" ht="16.5">
      <c r="A49" s="1383"/>
      <c r="B49" s="1342" t="s">
        <v>3435</v>
      </c>
      <c r="C49" s="1385">
        <v>4</v>
      </c>
      <c r="D49" s="1395">
        <v>0.86</v>
      </c>
      <c r="E49" s="1387">
        <f t="shared" si="21"/>
        <v>4.7815999999999992</v>
      </c>
      <c r="F49" s="1387">
        <f t="shared" si="22"/>
        <v>5.1255999999999995</v>
      </c>
      <c r="G49" s="1387">
        <f t="shared" si="23"/>
        <v>4.1280000000000037</v>
      </c>
    </row>
    <row r="50" spans="1:7" ht="28.5">
      <c r="A50" s="1391" t="s">
        <v>14</v>
      </c>
      <c r="B50" s="1392" t="s">
        <v>3409</v>
      </c>
      <c r="C50" s="1393">
        <v>18</v>
      </c>
      <c r="D50" s="1396">
        <f>D51</f>
        <v>0.22500000000000001</v>
      </c>
      <c r="E50" s="1389">
        <f>E51</f>
        <v>5.6294999999999993</v>
      </c>
      <c r="F50" s="1389">
        <f>F51</f>
        <v>6.0344999999999995</v>
      </c>
      <c r="G50" s="1389">
        <f>G51</f>
        <v>4.860000000000003</v>
      </c>
    </row>
    <row r="51" spans="1:7">
      <c r="A51" s="1383">
        <v>1</v>
      </c>
      <c r="B51" s="1384" t="s">
        <v>3300</v>
      </c>
      <c r="C51" s="1385">
        <v>18</v>
      </c>
      <c r="D51" s="1397">
        <v>0.22500000000000001</v>
      </c>
      <c r="E51" s="1387">
        <f t="shared" ref="E51" si="24">C51*D51*1.39</f>
        <v>5.6294999999999993</v>
      </c>
      <c r="F51" s="1387">
        <f t="shared" ref="F51" si="25">C51*D51*1.49</f>
        <v>6.0344999999999995</v>
      </c>
      <c r="G51" s="1387">
        <f t="shared" ref="G51" si="26">(F51-E51)*12</f>
        <v>4.860000000000003</v>
      </c>
    </row>
    <row r="52" spans="1:7" ht="28.5">
      <c r="A52" s="1391" t="s">
        <v>18</v>
      </c>
      <c r="B52" s="1392" t="s">
        <v>3410</v>
      </c>
      <c r="C52" s="1393">
        <f>SUM(C53:C56)</f>
        <v>165</v>
      </c>
      <c r="D52" s="1398">
        <f>SUM(D53:D56)</f>
        <v>0.2</v>
      </c>
      <c r="E52" s="1394">
        <f>SUM(E53:E56)</f>
        <v>11.467499999999999</v>
      </c>
      <c r="F52" s="1394">
        <f>SUM(F53:F56)</f>
        <v>12.2925</v>
      </c>
      <c r="G52" s="1394">
        <f>SUM(G53:G56)</f>
        <v>9.9000000000000181</v>
      </c>
    </row>
    <row r="53" spans="1:7">
      <c r="A53" s="1383">
        <v>1</v>
      </c>
      <c r="B53" s="1384" t="s">
        <v>3306</v>
      </c>
      <c r="C53" s="1385">
        <v>0</v>
      </c>
      <c r="D53" s="1386">
        <f>0.05</f>
        <v>0.05</v>
      </c>
      <c r="E53" s="1387">
        <f t="shared" ref="E53:E56" si="27">C53*D53*1.39</f>
        <v>0</v>
      </c>
      <c r="F53" s="1387">
        <f t="shared" ref="F53:F56" si="28">C53*D53*1.49</f>
        <v>0</v>
      </c>
      <c r="G53" s="1387">
        <f t="shared" ref="G53:G56" si="29">(F53-E53)*12</f>
        <v>0</v>
      </c>
    </row>
    <row r="54" spans="1:7">
      <c r="A54" s="1383">
        <v>2</v>
      </c>
      <c r="B54" s="1384" t="s">
        <v>3300</v>
      </c>
      <c r="C54" s="1385">
        <v>0</v>
      </c>
      <c r="D54" s="1386">
        <f>0.05</f>
        <v>0.05</v>
      </c>
      <c r="E54" s="1387">
        <f t="shared" si="27"/>
        <v>0</v>
      </c>
      <c r="F54" s="1387">
        <f t="shared" si="28"/>
        <v>0</v>
      </c>
      <c r="G54" s="1387">
        <f t="shared" si="29"/>
        <v>0</v>
      </c>
    </row>
    <row r="55" spans="1:7">
      <c r="A55" s="1383">
        <v>3</v>
      </c>
      <c r="B55" s="1399" t="s">
        <v>3301</v>
      </c>
      <c r="C55" s="1385">
        <v>31</v>
      </c>
      <c r="D55" s="1386">
        <f>0.05</f>
        <v>0.05</v>
      </c>
      <c r="E55" s="1387">
        <f t="shared" si="27"/>
        <v>2.1545000000000001</v>
      </c>
      <c r="F55" s="1387">
        <f t="shared" si="28"/>
        <v>2.3094999999999999</v>
      </c>
      <c r="G55" s="1387">
        <f t="shared" si="29"/>
        <v>1.8599999999999977</v>
      </c>
    </row>
    <row r="56" spans="1:7">
      <c r="A56" s="1383">
        <v>4</v>
      </c>
      <c r="B56" s="1399" t="s">
        <v>3307</v>
      </c>
      <c r="C56" s="1385">
        <v>134</v>
      </c>
      <c r="D56" s="1386">
        <f>0.05</f>
        <v>0.05</v>
      </c>
      <c r="E56" s="1387">
        <f t="shared" si="27"/>
        <v>9.3129999999999988</v>
      </c>
      <c r="F56" s="1387">
        <f t="shared" si="28"/>
        <v>9.9830000000000005</v>
      </c>
      <c r="G56" s="1387">
        <f t="shared" si="29"/>
        <v>8.0400000000000205</v>
      </c>
    </row>
    <row r="57" spans="1:7" ht="15.75">
      <c r="A57" s="1400"/>
      <c r="B57" s="1405" t="s">
        <v>2496</v>
      </c>
      <c r="C57" s="1417">
        <f>SUM(C58,C65,C74,C76)</f>
        <v>267</v>
      </c>
      <c r="D57" s="1402"/>
      <c r="E57" s="1403">
        <f>SUM(E58,E65,E74,E76)</f>
        <v>140.19540000000001</v>
      </c>
      <c r="F57" s="1403">
        <f>SUM(F58,F65,F74,F76)</f>
        <v>150.28140000000002</v>
      </c>
      <c r="G57" s="1403">
        <f>SUM(G58,G65,G74,G76)</f>
        <v>121.03200000000017</v>
      </c>
    </row>
    <row r="58" spans="1:7">
      <c r="A58" s="1339" t="s">
        <v>13</v>
      </c>
      <c r="B58" s="1380" t="s">
        <v>3299</v>
      </c>
      <c r="C58" s="1418">
        <f>C59+C60+C64</f>
        <v>51</v>
      </c>
      <c r="D58" s="1381"/>
      <c r="E58" s="1382">
        <f>E59+E60+E64</f>
        <v>66.302999999999997</v>
      </c>
      <c r="F58" s="1382">
        <f>F59+F60+F64</f>
        <v>71.073000000000008</v>
      </c>
      <c r="G58" s="1382">
        <f>G59+G60+G64</f>
        <v>57.24000000000008</v>
      </c>
    </row>
    <row r="59" spans="1:7">
      <c r="A59" s="1383">
        <v>1</v>
      </c>
      <c r="B59" s="1384" t="s">
        <v>3300</v>
      </c>
      <c r="C59" s="1385">
        <v>18</v>
      </c>
      <c r="D59" s="1386">
        <v>1</v>
      </c>
      <c r="E59" s="1387">
        <f>C59*D59*1.39</f>
        <v>25.02</v>
      </c>
      <c r="F59" s="1387">
        <f>C59*D59*1.49</f>
        <v>26.82</v>
      </c>
      <c r="G59" s="1387">
        <f>(F59-E59)*12</f>
        <v>21.600000000000009</v>
      </c>
    </row>
    <row r="60" spans="1:7">
      <c r="A60" s="1383">
        <v>2</v>
      </c>
      <c r="B60" s="1384" t="s">
        <v>3301</v>
      </c>
      <c r="C60" s="1385">
        <f>SUM(C61:C63)</f>
        <v>33</v>
      </c>
      <c r="D60" s="1388">
        <f>SUM(D61:D63)</f>
        <v>2.7</v>
      </c>
      <c r="E60" s="1419">
        <f>SUM(E61:E63)</f>
        <v>41.283000000000001</v>
      </c>
      <c r="F60" s="1419">
        <f>SUM(F61:F63)</f>
        <v>44.253</v>
      </c>
      <c r="G60" s="1419">
        <f>SUM(G61:G63)</f>
        <v>35.640000000000072</v>
      </c>
    </row>
    <row r="61" spans="1:7">
      <c r="A61" s="1383"/>
      <c r="B61" s="1390" t="s">
        <v>3302</v>
      </c>
      <c r="C61" s="1385">
        <v>11</v>
      </c>
      <c r="D61" s="1386">
        <v>0.9</v>
      </c>
      <c r="E61" s="1387">
        <f t="shared" ref="E61:E64" si="30">C61*D61*1.39</f>
        <v>13.760999999999999</v>
      </c>
      <c r="F61" s="1387">
        <f t="shared" ref="F61:F64" si="31">C61*D61*1.49</f>
        <v>14.751000000000001</v>
      </c>
      <c r="G61" s="1387">
        <f t="shared" ref="G61:G64" si="32">(F61-E61)*12</f>
        <v>11.880000000000024</v>
      </c>
    </row>
    <row r="62" spans="1:7">
      <c r="A62" s="1383"/>
      <c r="B62" s="1390" t="s">
        <v>3303</v>
      </c>
      <c r="C62" s="1385">
        <v>11</v>
      </c>
      <c r="D62" s="1386">
        <v>0.9</v>
      </c>
      <c r="E62" s="1387">
        <f t="shared" si="30"/>
        <v>13.760999999999999</v>
      </c>
      <c r="F62" s="1387">
        <f t="shared" si="31"/>
        <v>14.751000000000001</v>
      </c>
      <c r="G62" s="1387">
        <f t="shared" si="32"/>
        <v>11.880000000000024</v>
      </c>
    </row>
    <row r="63" spans="1:7">
      <c r="A63" s="1383"/>
      <c r="B63" s="1390" t="s">
        <v>3304</v>
      </c>
      <c r="C63" s="1385">
        <v>11</v>
      </c>
      <c r="D63" s="1386">
        <v>0.9</v>
      </c>
      <c r="E63" s="1387">
        <f t="shared" si="30"/>
        <v>13.760999999999999</v>
      </c>
      <c r="F63" s="1387">
        <f t="shared" si="31"/>
        <v>14.751000000000001</v>
      </c>
      <c r="G63" s="1387">
        <f t="shared" si="32"/>
        <v>11.880000000000024</v>
      </c>
    </row>
    <row r="64" spans="1:7">
      <c r="A64" s="1383">
        <v>3</v>
      </c>
      <c r="B64" s="1384" t="s">
        <v>3305</v>
      </c>
      <c r="C64" s="1385"/>
      <c r="D64" s="1386">
        <v>0.8</v>
      </c>
      <c r="E64" s="1387">
        <f t="shared" si="30"/>
        <v>0</v>
      </c>
      <c r="F64" s="1387">
        <f t="shared" si="31"/>
        <v>0</v>
      </c>
      <c r="G64" s="1387">
        <f t="shared" si="32"/>
        <v>0</v>
      </c>
    </row>
    <row r="65" spans="1:7">
      <c r="A65" s="1391" t="s">
        <v>65</v>
      </c>
      <c r="B65" s="1392" t="s">
        <v>3407</v>
      </c>
      <c r="C65" s="1393">
        <f>SUM(C66,C70)</f>
        <v>33</v>
      </c>
      <c r="D65" s="1393">
        <f>SUM(D66,D70)</f>
        <v>0</v>
      </c>
      <c r="E65" s="1394">
        <f>SUM(E66,E70)</f>
        <v>56.795399999999994</v>
      </c>
      <c r="F65" s="1394">
        <f>SUM(F66,F70)</f>
        <v>60.881399999999999</v>
      </c>
      <c r="G65" s="1394">
        <f>SUM(G66,G70)</f>
        <v>49.032000000000068</v>
      </c>
    </row>
    <row r="66" spans="1:7" ht="16.5">
      <c r="A66" s="1383">
        <v>1</v>
      </c>
      <c r="B66" s="1384" t="s">
        <v>3406</v>
      </c>
      <c r="C66" s="1385">
        <f>SUM(C67:C69)</f>
        <v>13</v>
      </c>
      <c r="D66" s="1395"/>
      <c r="E66" s="1385">
        <f>SUM(E67:E69)</f>
        <v>22.879399999999997</v>
      </c>
      <c r="F66" s="1385">
        <f>SUM(F67:F69)</f>
        <v>24.525400000000001</v>
      </c>
      <c r="G66" s="1385">
        <f>SUM(G67:G69)</f>
        <v>19.752000000000045</v>
      </c>
    </row>
    <row r="67" spans="1:7" ht="16.5">
      <c r="A67" s="1383"/>
      <c r="B67" s="1342" t="s">
        <v>129</v>
      </c>
      <c r="C67" s="1416">
        <v>11</v>
      </c>
      <c r="D67" s="1395">
        <v>1.34</v>
      </c>
      <c r="E67" s="1387">
        <f t="shared" ref="E67:E69" si="33">C67*D67*1.39</f>
        <v>20.488599999999998</v>
      </c>
      <c r="F67" s="1387">
        <f t="shared" ref="F67:F69" si="34">C67*D67*1.49</f>
        <v>21.962600000000002</v>
      </c>
      <c r="G67" s="1387">
        <f t="shared" ref="G67:G69" si="35">(F67-E67)*12</f>
        <v>17.688000000000045</v>
      </c>
    </row>
    <row r="68" spans="1:7" ht="16.5">
      <c r="A68" s="1383"/>
      <c r="B68" s="1342" t="s">
        <v>1312</v>
      </c>
      <c r="C68" s="1416"/>
      <c r="D68" s="1395">
        <v>1.1000000000000001</v>
      </c>
      <c r="E68" s="1387">
        <f t="shared" si="33"/>
        <v>0</v>
      </c>
      <c r="F68" s="1387">
        <f t="shared" si="34"/>
        <v>0</v>
      </c>
      <c r="G68" s="1387">
        <f t="shared" si="35"/>
        <v>0</v>
      </c>
    </row>
    <row r="69" spans="1:7" ht="16.5">
      <c r="A69" s="1383"/>
      <c r="B69" s="1342" t="s">
        <v>3435</v>
      </c>
      <c r="C69" s="1416">
        <v>2</v>
      </c>
      <c r="D69" s="1395">
        <v>0.86</v>
      </c>
      <c r="E69" s="1387">
        <f t="shared" si="33"/>
        <v>2.3907999999999996</v>
      </c>
      <c r="F69" s="1387">
        <f t="shared" si="34"/>
        <v>2.5627999999999997</v>
      </c>
      <c r="G69" s="1387">
        <f t="shared" si="35"/>
        <v>2.0640000000000018</v>
      </c>
    </row>
    <row r="70" spans="1:7">
      <c r="A70" s="1383">
        <v>2</v>
      </c>
      <c r="B70" s="1384" t="s">
        <v>3301</v>
      </c>
      <c r="C70" s="1393">
        <f>SUM(C71:C73)</f>
        <v>20</v>
      </c>
      <c r="D70" s="1393"/>
      <c r="E70" s="1393">
        <f>SUM(E71:E73)</f>
        <v>33.915999999999997</v>
      </c>
      <c r="F70" s="1393">
        <f>SUM(F71:F73)</f>
        <v>36.356000000000002</v>
      </c>
      <c r="G70" s="1393">
        <f>SUM(G71:G73)</f>
        <v>29.280000000000019</v>
      </c>
    </row>
    <row r="71" spans="1:7" ht="16.5">
      <c r="A71" s="1383"/>
      <c r="B71" s="1342" t="s">
        <v>129</v>
      </c>
      <c r="C71" s="1385">
        <v>14</v>
      </c>
      <c r="D71" s="1395">
        <v>1.34</v>
      </c>
      <c r="E71" s="1387">
        <f t="shared" ref="E71:E73" si="36">C71*D71*1.39</f>
        <v>26.0764</v>
      </c>
      <c r="F71" s="1387">
        <f t="shared" ref="F71:F73" si="37">C71*D71*1.49</f>
        <v>27.952400000000001</v>
      </c>
      <c r="G71" s="1387">
        <f t="shared" ref="G71:G73" si="38">(F71-E71)*12</f>
        <v>22.512000000000015</v>
      </c>
    </row>
    <row r="72" spans="1:7" ht="16.5">
      <c r="A72" s="1383"/>
      <c r="B72" s="1342" t="s">
        <v>1312</v>
      </c>
      <c r="C72" s="1385">
        <v>2</v>
      </c>
      <c r="D72" s="1395">
        <v>1.1000000000000001</v>
      </c>
      <c r="E72" s="1387">
        <f t="shared" si="36"/>
        <v>3.0579999999999998</v>
      </c>
      <c r="F72" s="1387">
        <f t="shared" si="37"/>
        <v>3.278</v>
      </c>
      <c r="G72" s="1387">
        <f t="shared" si="38"/>
        <v>2.6400000000000023</v>
      </c>
    </row>
    <row r="73" spans="1:7" ht="16.5">
      <c r="A73" s="1383"/>
      <c r="B73" s="1342" t="s">
        <v>3435</v>
      </c>
      <c r="C73" s="1385">
        <v>4</v>
      </c>
      <c r="D73" s="1395">
        <v>0.86</v>
      </c>
      <c r="E73" s="1387">
        <f t="shared" si="36"/>
        <v>4.7815999999999992</v>
      </c>
      <c r="F73" s="1387">
        <f t="shared" si="37"/>
        <v>5.1255999999999995</v>
      </c>
      <c r="G73" s="1387">
        <f t="shared" si="38"/>
        <v>4.1280000000000037</v>
      </c>
    </row>
    <row r="74" spans="1:7" ht="28.5">
      <c r="A74" s="1391" t="s">
        <v>14</v>
      </c>
      <c r="B74" s="1392" t="s">
        <v>3409</v>
      </c>
      <c r="C74" s="1393">
        <v>18</v>
      </c>
      <c r="D74" s="1396">
        <f>D75</f>
        <v>0.22500000000000001</v>
      </c>
      <c r="E74" s="1389">
        <f>E75</f>
        <v>5.6294999999999993</v>
      </c>
      <c r="F74" s="1389">
        <f>F75</f>
        <v>6.0344999999999995</v>
      </c>
      <c r="G74" s="1389">
        <f>G75</f>
        <v>4.860000000000003</v>
      </c>
    </row>
    <row r="75" spans="1:7">
      <c r="A75" s="1383">
        <v>1</v>
      </c>
      <c r="B75" s="1384" t="s">
        <v>3300</v>
      </c>
      <c r="C75" s="1385">
        <v>18</v>
      </c>
      <c r="D75" s="1397">
        <v>0.22500000000000001</v>
      </c>
      <c r="E75" s="1387">
        <f t="shared" ref="E75" si="39">C75*D75*1.39</f>
        <v>5.6294999999999993</v>
      </c>
      <c r="F75" s="1387">
        <f t="shared" ref="F75" si="40">C75*D75*1.49</f>
        <v>6.0344999999999995</v>
      </c>
      <c r="G75" s="1387">
        <f t="shared" ref="G75" si="41">(F75-E75)*12</f>
        <v>4.860000000000003</v>
      </c>
    </row>
    <row r="76" spans="1:7" ht="28.5">
      <c r="A76" s="1391" t="s">
        <v>18</v>
      </c>
      <c r="B76" s="1392" t="s">
        <v>3410</v>
      </c>
      <c r="C76" s="1393">
        <f>SUM(C77:C80)</f>
        <v>165</v>
      </c>
      <c r="D76" s="1398">
        <f>SUM(D77:D80)</f>
        <v>0.2</v>
      </c>
      <c r="E76" s="1394">
        <f>SUM(E77:E80)</f>
        <v>11.467499999999999</v>
      </c>
      <c r="F76" s="1394">
        <f>SUM(F77:F80)</f>
        <v>12.2925</v>
      </c>
      <c r="G76" s="1394">
        <f>SUM(G77:G80)</f>
        <v>9.9000000000000181</v>
      </c>
    </row>
    <row r="77" spans="1:7">
      <c r="A77" s="1383">
        <v>1</v>
      </c>
      <c r="B77" s="1384" t="s">
        <v>3306</v>
      </c>
      <c r="C77" s="1385">
        <v>0</v>
      </c>
      <c r="D77" s="1386">
        <f>0.05</f>
        <v>0.05</v>
      </c>
      <c r="E77" s="1387">
        <f t="shared" ref="E77:E80" si="42">C77*D77*1.39</f>
        <v>0</v>
      </c>
      <c r="F77" s="1387">
        <f t="shared" ref="F77:F80" si="43">C77*D77*1.49</f>
        <v>0</v>
      </c>
      <c r="G77" s="1387">
        <f t="shared" ref="G77:G80" si="44">(F77-E77)*12</f>
        <v>0</v>
      </c>
    </row>
    <row r="78" spans="1:7">
      <c r="A78" s="1383">
        <v>2</v>
      </c>
      <c r="B78" s="1384" t="s">
        <v>3300</v>
      </c>
      <c r="C78" s="1385">
        <v>0</v>
      </c>
      <c r="D78" s="1386">
        <f>0.05</f>
        <v>0.05</v>
      </c>
      <c r="E78" s="1387">
        <f t="shared" si="42"/>
        <v>0</v>
      </c>
      <c r="F78" s="1387">
        <f t="shared" si="43"/>
        <v>0</v>
      </c>
      <c r="G78" s="1387">
        <f t="shared" si="44"/>
        <v>0</v>
      </c>
    </row>
    <row r="79" spans="1:7">
      <c r="A79" s="1383">
        <v>3</v>
      </c>
      <c r="B79" s="1399" t="s">
        <v>3301</v>
      </c>
      <c r="C79" s="1385">
        <v>31</v>
      </c>
      <c r="D79" s="1386">
        <f>0.05</f>
        <v>0.05</v>
      </c>
      <c r="E79" s="1387">
        <f t="shared" si="42"/>
        <v>2.1545000000000001</v>
      </c>
      <c r="F79" s="1387">
        <f t="shared" si="43"/>
        <v>2.3094999999999999</v>
      </c>
      <c r="G79" s="1387">
        <f t="shared" si="44"/>
        <v>1.8599999999999977</v>
      </c>
    </row>
    <row r="80" spans="1:7">
      <c r="A80" s="1383">
        <v>4</v>
      </c>
      <c r="B80" s="1399" t="s">
        <v>3307</v>
      </c>
      <c r="C80" s="1385">
        <v>134</v>
      </c>
      <c r="D80" s="1386">
        <f>0.05</f>
        <v>0.05</v>
      </c>
      <c r="E80" s="1387">
        <f t="shared" si="42"/>
        <v>9.3129999999999988</v>
      </c>
      <c r="F80" s="1387">
        <f t="shared" si="43"/>
        <v>9.9830000000000005</v>
      </c>
      <c r="G80" s="1387">
        <f t="shared" si="44"/>
        <v>8.0400000000000205</v>
      </c>
    </row>
    <row r="81" spans="1:7" ht="15.75">
      <c r="A81" s="1400"/>
      <c r="B81" s="1405" t="s">
        <v>2495</v>
      </c>
      <c r="C81" s="1417">
        <f>SUM(C82,C89,C98,C100)</f>
        <v>267</v>
      </c>
      <c r="D81" s="1402"/>
      <c r="E81" s="1403">
        <f>SUM(E82,E89,E98,E100)</f>
        <v>140.19540000000001</v>
      </c>
      <c r="F81" s="1403">
        <f>SUM(F82,F89,F98,F100)</f>
        <v>150.28140000000002</v>
      </c>
      <c r="G81" s="1403">
        <f>SUM(G82,G89,G98,G100)</f>
        <v>121.03200000000017</v>
      </c>
    </row>
    <row r="82" spans="1:7">
      <c r="A82" s="1339" t="s">
        <v>13</v>
      </c>
      <c r="B82" s="1380" t="s">
        <v>3299</v>
      </c>
      <c r="C82" s="1418">
        <f>C83+C84+C88</f>
        <v>51</v>
      </c>
      <c r="D82" s="1381"/>
      <c r="E82" s="1382">
        <f>E83+E84+E88</f>
        <v>66.302999999999997</v>
      </c>
      <c r="F82" s="1382">
        <f>F83+F84+F88</f>
        <v>71.073000000000008</v>
      </c>
      <c r="G82" s="1382">
        <f>G83+G84+G88</f>
        <v>57.24000000000008</v>
      </c>
    </row>
    <row r="83" spans="1:7">
      <c r="A83" s="1383">
        <v>1</v>
      </c>
      <c r="B83" s="1384" t="s">
        <v>3300</v>
      </c>
      <c r="C83" s="1385">
        <v>18</v>
      </c>
      <c r="D83" s="1386">
        <v>1</v>
      </c>
      <c r="E83" s="1387">
        <f>C83*D83*1.39</f>
        <v>25.02</v>
      </c>
      <c r="F83" s="1387">
        <f>C83*D83*1.49</f>
        <v>26.82</v>
      </c>
      <c r="G83" s="1387">
        <f>(F83-E83)*12</f>
        <v>21.600000000000009</v>
      </c>
    </row>
    <row r="84" spans="1:7">
      <c r="A84" s="1383">
        <v>2</v>
      </c>
      <c r="B84" s="1384" t="s">
        <v>3301</v>
      </c>
      <c r="C84" s="1385">
        <f>SUM(C85:C87)</f>
        <v>33</v>
      </c>
      <c r="D84" s="1388">
        <f>SUM(D85:D87)</f>
        <v>2.7</v>
      </c>
      <c r="E84" s="1419">
        <f>SUM(E85:E87)</f>
        <v>41.283000000000001</v>
      </c>
      <c r="F84" s="1419">
        <f>SUM(F85:F87)</f>
        <v>44.253</v>
      </c>
      <c r="G84" s="1419">
        <f>SUM(G85:G87)</f>
        <v>35.640000000000072</v>
      </c>
    </row>
    <row r="85" spans="1:7">
      <c r="A85" s="1383"/>
      <c r="B85" s="1390" t="s">
        <v>3302</v>
      </c>
      <c r="C85" s="1385">
        <v>11</v>
      </c>
      <c r="D85" s="1386">
        <v>0.9</v>
      </c>
      <c r="E85" s="1387">
        <f t="shared" ref="E85:E88" si="45">C85*D85*1.39</f>
        <v>13.760999999999999</v>
      </c>
      <c r="F85" s="1387">
        <f t="shared" ref="F85:F88" si="46">C85*D85*1.49</f>
        <v>14.751000000000001</v>
      </c>
      <c r="G85" s="1387">
        <f t="shared" ref="G85:G88" si="47">(F85-E85)*12</f>
        <v>11.880000000000024</v>
      </c>
    </row>
    <row r="86" spans="1:7">
      <c r="A86" s="1383"/>
      <c r="B86" s="1390" t="s">
        <v>3303</v>
      </c>
      <c r="C86" s="1385">
        <v>11</v>
      </c>
      <c r="D86" s="1386">
        <v>0.9</v>
      </c>
      <c r="E86" s="1387">
        <f t="shared" si="45"/>
        <v>13.760999999999999</v>
      </c>
      <c r="F86" s="1387">
        <f t="shared" si="46"/>
        <v>14.751000000000001</v>
      </c>
      <c r="G86" s="1387">
        <f t="shared" si="47"/>
        <v>11.880000000000024</v>
      </c>
    </row>
    <row r="87" spans="1:7">
      <c r="A87" s="1383"/>
      <c r="B87" s="1390" t="s">
        <v>3304</v>
      </c>
      <c r="C87" s="1385">
        <v>11</v>
      </c>
      <c r="D87" s="1386">
        <v>0.9</v>
      </c>
      <c r="E87" s="1387">
        <f t="shared" si="45"/>
        <v>13.760999999999999</v>
      </c>
      <c r="F87" s="1387">
        <f t="shared" si="46"/>
        <v>14.751000000000001</v>
      </c>
      <c r="G87" s="1387">
        <f t="shared" si="47"/>
        <v>11.880000000000024</v>
      </c>
    </row>
    <row r="88" spans="1:7">
      <c r="A88" s="1383">
        <v>3</v>
      </c>
      <c r="B88" s="1384" t="s">
        <v>3305</v>
      </c>
      <c r="C88" s="1385"/>
      <c r="D88" s="1386">
        <v>0.8</v>
      </c>
      <c r="E88" s="1387">
        <f t="shared" si="45"/>
        <v>0</v>
      </c>
      <c r="F88" s="1387">
        <f t="shared" si="46"/>
        <v>0</v>
      </c>
      <c r="G88" s="1387">
        <f t="shared" si="47"/>
        <v>0</v>
      </c>
    </row>
    <row r="89" spans="1:7">
      <c r="A89" s="1391" t="s">
        <v>65</v>
      </c>
      <c r="B89" s="1392" t="s">
        <v>3407</v>
      </c>
      <c r="C89" s="1393">
        <f>SUM(C90,C94)</f>
        <v>33</v>
      </c>
      <c r="D89" s="1393">
        <f>SUM(D90,D94)</f>
        <v>0</v>
      </c>
      <c r="E89" s="1394">
        <f>SUM(E90,E94)</f>
        <v>56.795399999999994</v>
      </c>
      <c r="F89" s="1394">
        <f>SUM(F90,F94)</f>
        <v>60.881399999999999</v>
      </c>
      <c r="G89" s="1394">
        <f>SUM(G90,G94)</f>
        <v>49.032000000000068</v>
      </c>
    </row>
    <row r="90" spans="1:7" ht="16.5">
      <c r="A90" s="1383">
        <v>1</v>
      </c>
      <c r="B90" s="1384" t="s">
        <v>3406</v>
      </c>
      <c r="C90" s="1385">
        <f>SUM(C91:C93)</f>
        <v>13</v>
      </c>
      <c r="D90" s="1395"/>
      <c r="E90" s="1385">
        <f>SUM(E91:E93)</f>
        <v>22.879399999999997</v>
      </c>
      <c r="F90" s="1385">
        <f>SUM(F91:F93)</f>
        <v>24.525400000000001</v>
      </c>
      <c r="G90" s="1385">
        <f>SUM(G91:G93)</f>
        <v>19.752000000000045</v>
      </c>
    </row>
    <row r="91" spans="1:7" ht="16.5">
      <c r="A91" s="1383"/>
      <c r="B91" s="1342" t="s">
        <v>129</v>
      </c>
      <c r="C91" s="1416">
        <v>11</v>
      </c>
      <c r="D91" s="1395">
        <v>1.34</v>
      </c>
      <c r="E91" s="1387">
        <f t="shared" ref="E91:E93" si="48">C91*D91*1.39</f>
        <v>20.488599999999998</v>
      </c>
      <c r="F91" s="1387">
        <f t="shared" ref="F91:F93" si="49">C91*D91*1.49</f>
        <v>21.962600000000002</v>
      </c>
      <c r="G91" s="1387">
        <f t="shared" ref="G91:G93" si="50">(F91-E91)*12</f>
        <v>17.688000000000045</v>
      </c>
    </row>
    <row r="92" spans="1:7" ht="16.5">
      <c r="A92" s="1383"/>
      <c r="B92" s="1342" t="s">
        <v>1312</v>
      </c>
      <c r="C92" s="1416"/>
      <c r="D92" s="1395">
        <v>1.1000000000000001</v>
      </c>
      <c r="E92" s="1387">
        <f t="shared" si="48"/>
        <v>0</v>
      </c>
      <c r="F92" s="1387">
        <f t="shared" si="49"/>
        <v>0</v>
      </c>
      <c r="G92" s="1387">
        <f t="shared" si="50"/>
        <v>0</v>
      </c>
    </row>
    <row r="93" spans="1:7" ht="16.5">
      <c r="A93" s="1383"/>
      <c r="B93" s="1342" t="s">
        <v>3435</v>
      </c>
      <c r="C93" s="1416">
        <v>2</v>
      </c>
      <c r="D93" s="1395">
        <v>0.86</v>
      </c>
      <c r="E93" s="1387">
        <f t="shared" si="48"/>
        <v>2.3907999999999996</v>
      </c>
      <c r="F93" s="1387">
        <f t="shared" si="49"/>
        <v>2.5627999999999997</v>
      </c>
      <c r="G93" s="1387">
        <f t="shared" si="50"/>
        <v>2.0640000000000018</v>
      </c>
    </row>
    <row r="94" spans="1:7">
      <c r="A94" s="1383">
        <v>2</v>
      </c>
      <c r="B94" s="1384" t="s">
        <v>3301</v>
      </c>
      <c r="C94" s="1393">
        <f>SUM(C95:C97)</f>
        <v>20</v>
      </c>
      <c r="D94" s="1393"/>
      <c r="E94" s="1393">
        <f>SUM(E95:E97)</f>
        <v>33.915999999999997</v>
      </c>
      <c r="F94" s="1393">
        <f>SUM(F95:F97)</f>
        <v>36.356000000000002</v>
      </c>
      <c r="G94" s="1393">
        <f>SUM(G95:G97)</f>
        <v>29.280000000000019</v>
      </c>
    </row>
    <row r="95" spans="1:7" ht="16.5">
      <c r="A95" s="1383"/>
      <c r="B95" s="1342" t="s">
        <v>129</v>
      </c>
      <c r="C95" s="1385">
        <v>14</v>
      </c>
      <c r="D95" s="1395">
        <v>1.34</v>
      </c>
      <c r="E95" s="1387">
        <f t="shared" ref="E95:E97" si="51">C95*D95*1.39</f>
        <v>26.0764</v>
      </c>
      <c r="F95" s="1387">
        <f t="shared" ref="F95:F97" si="52">C95*D95*1.49</f>
        <v>27.952400000000001</v>
      </c>
      <c r="G95" s="1387">
        <f t="shared" ref="G95:G97" si="53">(F95-E95)*12</f>
        <v>22.512000000000015</v>
      </c>
    </row>
    <row r="96" spans="1:7" ht="16.5">
      <c r="A96" s="1383"/>
      <c r="B96" s="1342" t="s">
        <v>1312</v>
      </c>
      <c r="C96" s="1385">
        <v>2</v>
      </c>
      <c r="D96" s="1395">
        <v>1.1000000000000001</v>
      </c>
      <c r="E96" s="1387">
        <f t="shared" si="51"/>
        <v>3.0579999999999998</v>
      </c>
      <c r="F96" s="1387">
        <f t="shared" si="52"/>
        <v>3.278</v>
      </c>
      <c r="G96" s="1387">
        <f t="shared" si="53"/>
        <v>2.6400000000000023</v>
      </c>
    </row>
    <row r="97" spans="1:7" ht="16.5">
      <c r="A97" s="1383"/>
      <c r="B97" s="1342" t="s">
        <v>3435</v>
      </c>
      <c r="C97" s="1385">
        <v>4</v>
      </c>
      <c r="D97" s="1395">
        <v>0.86</v>
      </c>
      <c r="E97" s="1387">
        <f t="shared" si="51"/>
        <v>4.7815999999999992</v>
      </c>
      <c r="F97" s="1387">
        <f t="shared" si="52"/>
        <v>5.1255999999999995</v>
      </c>
      <c r="G97" s="1387">
        <f t="shared" si="53"/>
        <v>4.1280000000000037</v>
      </c>
    </row>
    <row r="98" spans="1:7" ht="28.5">
      <c r="A98" s="1391" t="s">
        <v>14</v>
      </c>
      <c r="B98" s="1392" t="s">
        <v>3409</v>
      </c>
      <c r="C98" s="1393">
        <v>18</v>
      </c>
      <c r="D98" s="1396">
        <f>D99</f>
        <v>0.22500000000000001</v>
      </c>
      <c r="E98" s="1389">
        <f>E99</f>
        <v>5.6294999999999993</v>
      </c>
      <c r="F98" s="1389">
        <f>F99</f>
        <v>6.0344999999999995</v>
      </c>
      <c r="G98" s="1389">
        <f>G99</f>
        <v>4.860000000000003</v>
      </c>
    </row>
    <row r="99" spans="1:7">
      <c r="A99" s="1383">
        <v>1</v>
      </c>
      <c r="B99" s="1384" t="s">
        <v>3300</v>
      </c>
      <c r="C99" s="1385">
        <v>18</v>
      </c>
      <c r="D99" s="1397">
        <v>0.22500000000000001</v>
      </c>
      <c r="E99" s="1387">
        <f t="shared" ref="E99" si="54">C99*D99*1.39</f>
        <v>5.6294999999999993</v>
      </c>
      <c r="F99" s="1387">
        <f t="shared" ref="F99" si="55">C99*D99*1.49</f>
        <v>6.0344999999999995</v>
      </c>
      <c r="G99" s="1387">
        <f t="shared" ref="G99" si="56">(F99-E99)*12</f>
        <v>4.860000000000003</v>
      </c>
    </row>
    <row r="100" spans="1:7" ht="28.5">
      <c r="A100" s="1391" t="s">
        <v>18</v>
      </c>
      <c r="B100" s="1392" t="s">
        <v>3410</v>
      </c>
      <c r="C100" s="1393">
        <f>SUM(C101:C104)</f>
        <v>165</v>
      </c>
      <c r="D100" s="1398">
        <f>SUM(D101:D104)</f>
        <v>0.2</v>
      </c>
      <c r="E100" s="1394">
        <f>SUM(E101:E104)</f>
        <v>11.467499999999999</v>
      </c>
      <c r="F100" s="1394">
        <f>SUM(F101:F104)</f>
        <v>12.2925</v>
      </c>
      <c r="G100" s="1394">
        <f>SUM(G101:G104)</f>
        <v>9.9000000000000181</v>
      </c>
    </row>
    <row r="101" spans="1:7">
      <c r="A101" s="1383">
        <v>1</v>
      </c>
      <c r="B101" s="1384" t="s">
        <v>3306</v>
      </c>
      <c r="C101" s="1385">
        <v>0</v>
      </c>
      <c r="D101" s="1386">
        <f>0.05</f>
        <v>0.05</v>
      </c>
      <c r="E101" s="1387">
        <f t="shared" ref="E101:E104" si="57">C101*D101*1.39</f>
        <v>0</v>
      </c>
      <c r="F101" s="1387">
        <f t="shared" ref="F101:F104" si="58">C101*D101*1.49</f>
        <v>0</v>
      </c>
      <c r="G101" s="1387">
        <f t="shared" ref="G101:G104" si="59">(F101-E101)*12</f>
        <v>0</v>
      </c>
    </row>
    <row r="102" spans="1:7">
      <c r="A102" s="1383">
        <v>2</v>
      </c>
      <c r="B102" s="1384" t="s">
        <v>3300</v>
      </c>
      <c r="C102" s="1385">
        <v>0</v>
      </c>
      <c r="D102" s="1386">
        <f>0.05</f>
        <v>0.05</v>
      </c>
      <c r="E102" s="1387">
        <f t="shared" si="57"/>
        <v>0</v>
      </c>
      <c r="F102" s="1387">
        <f t="shared" si="58"/>
        <v>0</v>
      </c>
      <c r="G102" s="1387">
        <f t="shared" si="59"/>
        <v>0</v>
      </c>
    </row>
    <row r="103" spans="1:7">
      <c r="A103" s="1383">
        <v>3</v>
      </c>
      <c r="B103" s="1399" t="s">
        <v>3301</v>
      </c>
      <c r="C103" s="1385">
        <v>31</v>
      </c>
      <c r="D103" s="1386">
        <f>0.05</f>
        <v>0.05</v>
      </c>
      <c r="E103" s="1387">
        <f t="shared" si="57"/>
        <v>2.1545000000000001</v>
      </c>
      <c r="F103" s="1387">
        <f t="shared" si="58"/>
        <v>2.3094999999999999</v>
      </c>
      <c r="G103" s="1387">
        <f t="shared" si="59"/>
        <v>1.8599999999999977</v>
      </c>
    </row>
    <row r="104" spans="1:7">
      <c r="A104" s="1383">
        <v>4</v>
      </c>
      <c r="B104" s="1399" t="s">
        <v>3307</v>
      </c>
      <c r="C104" s="1385">
        <v>134</v>
      </c>
      <c r="D104" s="1386">
        <f>0.05</f>
        <v>0.05</v>
      </c>
      <c r="E104" s="1387">
        <f t="shared" si="57"/>
        <v>9.3129999999999988</v>
      </c>
      <c r="F104" s="1387">
        <f t="shared" si="58"/>
        <v>9.9830000000000005</v>
      </c>
      <c r="G104" s="1387">
        <f t="shared" si="59"/>
        <v>8.0400000000000205</v>
      </c>
    </row>
    <row r="105" spans="1:7" ht="15.75">
      <c r="A105" s="1400"/>
      <c r="B105" s="1405" t="s">
        <v>2499</v>
      </c>
      <c r="C105" s="1417">
        <f>SUM(C106,C113,C122,C125)</f>
        <v>643</v>
      </c>
      <c r="D105" s="1402"/>
      <c r="E105" s="1403">
        <f>SUM(E106,E113,E122,E125)</f>
        <v>292.76874999999995</v>
      </c>
      <c r="F105" s="1403">
        <f>SUM(F106,F113,F122,F125)</f>
        <v>313.83125000000001</v>
      </c>
      <c r="G105" s="1403">
        <f>SUM(G106,G113,G122,G125)</f>
        <v>252.75000000000023</v>
      </c>
    </row>
    <row r="106" spans="1:7">
      <c r="A106" s="1339" t="s">
        <v>13</v>
      </c>
      <c r="B106" s="1380" t="s">
        <v>3299</v>
      </c>
      <c r="C106" s="1418">
        <f>C107+C108+C112</f>
        <v>190</v>
      </c>
      <c r="D106" s="1381"/>
      <c r="E106" s="1382">
        <f>E107+E108+E112</f>
        <v>216.97899999999998</v>
      </c>
      <c r="F106" s="1382">
        <f>F107+F108+F112</f>
        <v>232.589</v>
      </c>
      <c r="G106" s="1382">
        <f>G107+G108+G112</f>
        <v>187.32000000000019</v>
      </c>
    </row>
    <row r="107" spans="1:7">
      <c r="A107" s="1383">
        <v>1</v>
      </c>
      <c r="B107" s="1384" t="s">
        <v>3300</v>
      </c>
      <c r="C107" s="1385">
        <v>11</v>
      </c>
      <c r="D107" s="1386">
        <v>1</v>
      </c>
      <c r="E107" s="1387">
        <f>C107*D107*1.39</f>
        <v>15.29</v>
      </c>
      <c r="F107" s="1387">
        <f>C107*D107*1.49</f>
        <v>16.39</v>
      </c>
      <c r="G107" s="1387">
        <f>(F107-E107)*12</f>
        <v>13.200000000000017</v>
      </c>
    </row>
    <row r="108" spans="1:7">
      <c r="A108" s="1383">
        <v>2</v>
      </c>
      <c r="B108" s="1384" t="s">
        <v>3301</v>
      </c>
      <c r="C108" s="1385">
        <f>SUM(C109:C111)</f>
        <v>19</v>
      </c>
      <c r="D108" s="1388">
        <f>SUM(D109:D111)</f>
        <v>2.7</v>
      </c>
      <c r="E108" s="1419">
        <f>SUM(E109:E111)</f>
        <v>23.768999999999998</v>
      </c>
      <c r="F108" s="1419">
        <f>SUM(F109:F111)</f>
        <v>25.478999999999999</v>
      </c>
      <c r="G108" s="1419">
        <f>SUM(G109:G111)</f>
        <v>20.520000000000032</v>
      </c>
    </row>
    <row r="109" spans="1:7">
      <c r="A109" s="1383"/>
      <c r="B109" s="1390" t="s">
        <v>3302</v>
      </c>
      <c r="C109" s="1385">
        <v>11</v>
      </c>
      <c r="D109" s="1386">
        <v>0.9</v>
      </c>
      <c r="E109" s="1387">
        <f t="shared" ref="E109:E112" si="60">C109*D109*1.39</f>
        <v>13.760999999999999</v>
      </c>
      <c r="F109" s="1387">
        <f t="shared" ref="F109:F112" si="61">C109*D109*1.49</f>
        <v>14.751000000000001</v>
      </c>
      <c r="G109" s="1387">
        <f t="shared" ref="G109:G112" si="62">(F109-E109)*12</f>
        <v>11.880000000000024</v>
      </c>
    </row>
    <row r="110" spans="1:7">
      <c r="A110" s="1383"/>
      <c r="B110" s="1390" t="s">
        <v>3303</v>
      </c>
      <c r="C110" s="1385">
        <v>8</v>
      </c>
      <c r="D110" s="1386">
        <v>0.9</v>
      </c>
      <c r="E110" s="1387">
        <f t="shared" si="60"/>
        <v>10.007999999999999</v>
      </c>
      <c r="F110" s="1387">
        <f t="shared" si="61"/>
        <v>10.728</v>
      </c>
      <c r="G110" s="1387">
        <f t="shared" si="62"/>
        <v>8.6400000000000077</v>
      </c>
    </row>
    <row r="111" spans="1:7">
      <c r="A111" s="1383"/>
      <c r="B111" s="1390" t="s">
        <v>3304</v>
      </c>
      <c r="C111" s="1385"/>
      <c r="D111" s="1386">
        <v>0.9</v>
      </c>
      <c r="E111" s="1387">
        <f t="shared" si="60"/>
        <v>0</v>
      </c>
      <c r="F111" s="1387">
        <f t="shared" si="61"/>
        <v>0</v>
      </c>
      <c r="G111" s="1387">
        <f t="shared" si="62"/>
        <v>0</v>
      </c>
    </row>
    <row r="112" spans="1:7">
      <c r="A112" s="1383">
        <v>3</v>
      </c>
      <c r="B112" s="1384" t="s">
        <v>3305</v>
      </c>
      <c r="C112" s="1385">
        <v>160</v>
      </c>
      <c r="D112" s="1386">
        <v>0.8</v>
      </c>
      <c r="E112" s="1387">
        <f t="shared" si="60"/>
        <v>177.92</v>
      </c>
      <c r="F112" s="1387">
        <f t="shared" si="61"/>
        <v>190.72</v>
      </c>
      <c r="G112" s="1387">
        <f t="shared" si="62"/>
        <v>153.60000000000014</v>
      </c>
    </row>
    <row r="113" spans="1:7">
      <c r="A113" s="1391" t="s">
        <v>65</v>
      </c>
      <c r="B113" s="1392" t="s">
        <v>3407</v>
      </c>
      <c r="C113" s="1393">
        <f>SUM(C114,C118)</f>
        <v>26</v>
      </c>
      <c r="D113" s="1393">
        <f>SUM(D114,D118)</f>
        <v>0</v>
      </c>
      <c r="E113" s="1394">
        <f>SUM(E114,E118)</f>
        <v>44.758000000000003</v>
      </c>
      <c r="F113" s="1394">
        <f>SUM(F114,F118)</f>
        <v>47.978000000000009</v>
      </c>
      <c r="G113" s="1394">
        <f>SUM(G114,G118)</f>
        <v>38.640000000000022</v>
      </c>
    </row>
    <row r="114" spans="1:7" ht="16.5">
      <c r="A114" s="1383">
        <v>1</v>
      </c>
      <c r="B114" s="1384" t="s">
        <v>3406</v>
      </c>
      <c r="C114" s="1385">
        <f>SUM(C115:C117)</f>
        <v>11</v>
      </c>
      <c r="D114" s="1395"/>
      <c r="E114" s="1385">
        <f>SUM(E115:E117)</f>
        <v>18.820599999999999</v>
      </c>
      <c r="F114" s="1385">
        <f>SUM(F115:F117)</f>
        <v>20.174600000000002</v>
      </c>
      <c r="G114" s="1385">
        <f>SUM(G115:G117)</f>
        <v>16.248000000000012</v>
      </c>
    </row>
    <row r="115" spans="1:7" ht="16.5">
      <c r="A115" s="1383"/>
      <c r="B115" s="1342" t="s">
        <v>129</v>
      </c>
      <c r="C115" s="1416">
        <v>8</v>
      </c>
      <c r="D115" s="1395">
        <v>1.34</v>
      </c>
      <c r="E115" s="1387">
        <f t="shared" ref="E115:E117" si="63">C115*D115*1.39</f>
        <v>14.9008</v>
      </c>
      <c r="F115" s="1387">
        <f t="shared" ref="F115:F117" si="64">C115*D115*1.49</f>
        <v>15.972800000000001</v>
      </c>
      <c r="G115" s="1387">
        <f t="shared" ref="G115:G117" si="65">(F115-E115)*12</f>
        <v>12.864000000000011</v>
      </c>
    </row>
    <row r="116" spans="1:7" ht="16.5">
      <c r="A116" s="1383"/>
      <c r="B116" s="1342" t="s">
        <v>1312</v>
      </c>
      <c r="C116" s="1416">
        <v>1</v>
      </c>
      <c r="D116" s="1395">
        <v>1.1000000000000001</v>
      </c>
      <c r="E116" s="1387">
        <f t="shared" si="63"/>
        <v>1.5289999999999999</v>
      </c>
      <c r="F116" s="1387">
        <f t="shared" si="64"/>
        <v>1.639</v>
      </c>
      <c r="G116" s="1387">
        <f t="shared" si="65"/>
        <v>1.3200000000000012</v>
      </c>
    </row>
    <row r="117" spans="1:7" ht="16.5">
      <c r="A117" s="1383"/>
      <c r="B117" s="1342" t="s">
        <v>3435</v>
      </c>
      <c r="C117" s="1416">
        <v>2</v>
      </c>
      <c r="D117" s="1395">
        <v>0.86</v>
      </c>
      <c r="E117" s="1387">
        <f t="shared" si="63"/>
        <v>2.3907999999999996</v>
      </c>
      <c r="F117" s="1387">
        <f t="shared" si="64"/>
        <v>2.5627999999999997</v>
      </c>
      <c r="G117" s="1387">
        <f t="shared" si="65"/>
        <v>2.0640000000000018</v>
      </c>
    </row>
    <row r="118" spans="1:7">
      <c r="A118" s="1383">
        <v>2</v>
      </c>
      <c r="B118" s="1384" t="s">
        <v>3301</v>
      </c>
      <c r="C118" s="1385">
        <f>SUM(C119:C121)</f>
        <v>15</v>
      </c>
      <c r="D118" s="1385"/>
      <c r="E118" s="1385">
        <f>SUM(E119:E121)</f>
        <v>25.937400000000004</v>
      </c>
      <c r="F118" s="1385">
        <f>SUM(F119:F121)</f>
        <v>27.803400000000003</v>
      </c>
      <c r="G118" s="1385">
        <f>SUM(G119:G121)</f>
        <v>22.39200000000001</v>
      </c>
    </row>
    <row r="119" spans="1:7" ht="16.5">
      <c r="A119" s="1383"/>
      <c r="B119" s="1342" t="s">
        <v>129</v>
      </c>
      <c r="C119" s="1385">
        <v>12</v>
      </c>
      <c r="D119" s="1395">
        <v>1.34</v>
      </c>
      <c r="E119" s="1387">
        <f t="shared" ref="E119:E121" si="66">C119*D119*1.39</f>
        <v>22.351200000000002</v>
      </c>
      <c r="F119" s="1387">
        <f t="shared" ref="F119:F121" si="67">C119*D119*1.49</f>
        <v>23.959200000000003</v>
      </c>
      <c r="G119" s="1387">
        <f t="shared" ref="G119:G121" si="68">(F119-E119)*12</f>
        <v>19.296000000000006</v>
      </c>
    </row>
    <row r="120" spans="1:7" ht="16.5">
      <c r="A120" s="1383"/>
      <c r="B120" s="1342" t="s">
        <v>1312</v>
      </c>
      <c r="C120" s="1385"/>
      <c r="D120" s="1395">
        <v>1.1000000000000001</v>
      </c>
      <c r="E120" s="1387">
        <f t="shared" si="66"/>
        <v>0</v>
      </c>
      <c r="F120" s="1387">
        <f t="shared" si="67"/>
        <v>0</v>
      </c>
      <c r="G120" s="1387">
        <f t="shared" si="68"/>
        <v>0</v>
      </c>
    </row>
    <row r="121" spans="1:7" ht="16.5">
      <c r="A121" s="1383"/>
      <c r="B121" s="1342" t="s">
        <v>3435</v>
      </c>
      <c r="C121" s="1385">
        <v>3</v>
      </c>
      <c r="D121" s="1395">
        <v>0.86</v>
      </c>
      <c r="E121" s="1387">
        <f t="shared" si="66"/>
        <v>3.5861999999999998</v>
      </c>
      <c r="F121" s="1387">
        <f t="shared" si="67"/>
        <v>3.8442000000000003</v>
      </c>
      <c r="G121" s="1387">
        <f t="shared" si="68"/>
        <v>3.0960000000000054</v>
      </c>
    </row>
    <row r="122" spans="1:7" ht="28.5">
      <c r="A122" s="1391" t="s">
        <v>14</v>
      </c>
      <c r="B122" s="1392" t="s">
        <v>3409</v>
      </c>
      <c r="C122" s="1393">
        <f>C123+C124</f>
        <v>201</v>
      </c>
      <c r="D122" s="1393">
        <f t="shared" ref="D122:G122" si="69">D123+D124</f>
        <v>0.27</v>
      </c>
      <c r="E122" s="1767">
        <f t="shared" si="69"/>
        <v>15.324749999999998</v>
      </c>
      <c r="F122" s="1767">
        <f t="shared" si="69"/>
        <v>16.427249999999997</v>
      </c>
      <c r="G122" s="1767">
        <f t="shared" si="69"/>
        <v>13.230000000000011</v>
      </c>
    </row>
    <row r="123" spans="1:7">
      <c r="A123" s="1383">
        <v>1</v>
      </c>
      <c r="B123" s="1384" t="s">
        <v>3300</v>
      </c>
      <c r="C123" s="1385">
        <v>11</v>
      </c>
      <c r="D123" s="1397">
        <v>0.22500000000000001</v>
      </c>
      <c r="E123" s="1387">
        <f t="shared" ref="E123:E124" si="70">C123*D123*1.39</f>
        <v>3.4402499999999998</v>
      </c>
      <c r="F123" s="1387">
        <f t="shared" ref="F123:F124" si="71">C123*D123*1.49</f>
        <v>3.6877500000000003</v>
      </c>
      <c r="G123" s="1387">
        <f t="shared" ref="G123:G124" si="72">(F123-E123)*12</f>
        <v>2.970000000000006</v>
      </c>
    </row>
    <row r="124" spans="1:7">
      <c r="A124" s="1383">
        <v>2</v>
      </c>
      <c r="B124" s="1384" t="s">
        <v>3455</v>
      </c>
      <c r="C124" s="1385">
        <v>190</v>
      </c>
      <c r="D124" s="1397">
        <v>4.4999999999999998E-2</v>
      </c>
      <c r="E124" s="1387">
        <f t="shared" si="70"/>
        <v>11.884499999999997</v>
      </c>
      <c r="F124" s="1387">
        <f t="shared" si="71"/>
        <v>12.739499999999998</v>
      </c>
      <c r="G124" s="1387">
        <f t="shared" si="72"/>
        <v>10.260000000000005</v>
      </c>
    </row>
    <row r="125" spans="1:7" ht="28.5">
      <c r="A125" s="1391" t="s">
        <v>18</v>
      </c>
      <c r="B125" s="1392" t="s">
        <v>3410</v>
      </c>
      <c r="C125" s="1393">
        <f>SUM(C126:C129)</f>
        <v>226</v>
      </c>
      <c r="D125" s="1398">
        <f>SUM(D126:D129)</f>
        <v>0.2</v>
      </c>
      <c r="E125" s="1394">
        <f>SUM(E126:E129)</f>
        <v>15.706999999999999</v>
      </c>
      <c r="F125" s="1394">
        <f>SUM(F126:F129)</f>
        <v>16.837</v>
      </c>
      <c r="G125" s="1394">
        <f>SUM(G126:G129)</f>
        <v>13.560000000000016</v>
      </c>
    </row>
    <row r="126" spans="1:7">
      <c r="A126" s="1383">
        <v>1</v>
      </c>
      <c r="B126" s="1384" t="s">
        <v>3306</v>
      </c>
      <c r="C126" s="1385">
        <v>11</v>
      </c>
      <c r="D126" s="1386">
        <f>0.05</f>
        <v>0.05</v>
      </c>
      <c r="E126" s="1387">
        <f t="shared" ref="E126:E129" si="73">C126*D126*1.39</f>
        <v>0.76449999999999996</v>
      </c>
      <c r="F126" s="1387">
        <f t="shared" ref="F126:F129" si="74">C126*D126*1.49</f>
        <v>0.81950000000000001</v>
      </c>
      <c r="G126" s="1387">
        <f t="shared" ref="G126:G129" si="75">(F126-E126)*12</f>
        <v>0.66000000000000059</v>
      </c>
    </row>
    <row r="127" spans="1:7">
      <c r="A127" s="1383">
        <v>2</v>
      </c>
      <c r="B127" s="1384" t="s">
        <v>3300</v>
      </c>
      <c r="C127" s="1385">
        <v>22</v>
      </c>
      <c r="D127" s="1386">
        <f>0.05</f>
        <v>0.05</v>
      </c>
      <c r="E127" s="1387">
        <f t="shared" si="73"/>
        <v>1.5289999999999999</v>
      </c>
      <c r="F127" s="1387">
        <f t="shared" si="74"/>
        <v>1.639</v>
      </c>
      <c r="G127" s="1387">
        <f t="shared" si="75"/>
        <v>1.3200000000000012</v>
      </c>
    </row>
    <row r="128" spans="1:7">
      <c r="A128" s="1383">
        <v>3</v>
      </c>
      <c r="B128" s="1399" t="s">
        <v>3301</v>
      </c>
      <c r="C128" s="1385">
        <v>33</v>
      </c>
      <c r="D128" s="1386">
        <f>0.05</f>
        <v>0.05</v>
      </c>
      <c r="E128" s="1387">
        <f t="shared" si="73"/>
        <v>2.2934999999999999</v>
      </c>
      <c r="F128" s="1387">
        <f t="shared" si="74"/>
        <v>2.4585000000000004</v>
      </c>
      <c r="G128" s="1387">
        <f t="shared" si="75"/>
        <v>1.9800000000000058</v>
      </c>
    </row>
    <row r="129" spans="1:7">
      <c r="A129" s="1383">
        <v>4</v>
      </c>
      <c r="B129" s="1399" t="s">
        <v>3307</v>
      </c>
      <c r="C129" s="1385">
        <v>160</v>
      </c>
      <c r="D129" s="1386">
        <f>0.05</f>
        <v>0.05</v>
      </c>
      <c r="E129" s="1387">
        <f t="shared" si="73"/>
        <v>11.12</v>
      </c>
      <c r="F129" s="1387">
        <f t="shared" si="74"/>
        <v>11.92</v>
      </c>
      <c r="G129" s="1387">
        <f t="shared" si="75"/>
        <v>9.6000000000000085</v>
      </c>
    </row>
    <row r="130" spans="1:7" ht="15.75">
      <c r="A130" s="1400"/>
      <c r="B130" s="1405" t="s">
        <v>2493</v>
      </c>
      <c r="C130" s="1417">
        <f>SUM(C131,C138,C147,C149)</f>
        <v>660</v>
      </c>
      <c r="D130" s="1402"/>
      <c r="E130" s="1403">
        <f>SUM(E131,E138,E147,E149)</f>
        <v>467.22069999999997</v>
      </c>
      <c r="F130" s="1403">
        <f>SUM(F131,F138,F147,F149)</f>
        <v>500.83370000000002</v>
      </c>
      <c r="G130" s="1403">
        <f>SUM(G131,G138,G147,G149)</f>
        <v>403.35600000000017</v>
      </c>
    </row>
    <row r="131" spans="1:7">
      <c r="A131" s="1339" t="s">
        <v>13</v>
      </c>
      <c r="B131" s="1380" t="s">
        <v>3299</v>
      </c>
      <c r="C131" s="1418">
        <f>C132+C133+C137</f>
        <v>288</v>
      </c>
      <c r="D131" s="1381"/>
      <c r="E131" s="1382">
        <f>E132+E133+E137</f>
        <v>331.654</v>
      </c>
      <c r="F131" s="1382">
        <f>F132+F133+F137</f>
        <v>355.51400000000001</v>
      </c>
      <c r="G131" s="1382">
        <f>G132+G133+G137</f>
        <v>286.32000000000016</v>
      </c>
    </row>
    <row r="132" spans="1:7">
      <c r="A132" s="1383">
        <v>1</v>
      </c>
      <c r="B132" s="1384" t="s">
        <v>3300</v>
      </c>
      <c r="C132" s="1385">
        <v>22</v>
      </c>
      <c r="D132" s="1386">
        <v>1</v>
      </c>
      <c r="E132" s="1387">
        <f>C132*D132*1.39</f>
        <v>30.58</v>
      </c>
      <c r="F132" s="1387">
        <f>C132*D132*1.49</f>
        <v>32.78</v>
      </c>
      <c r="G132" s="1387">
        <f>(F132-E132)*12</f>
        <v>26.400000000000034</v>
      </c>
    </row>
    <row r="133" spans="1:7">
      <c r="A133" s="1383">
        <v>2</v>
      </c>
      <c r="B133" s="1384" t="s">
        <v>3301</v>
      </c>
      <c r="C133" s="1385">
        <f>SUM(C134:C136)</f>
        <v>38</v>
      </c>
      <c r="D133" s="1388">
        <f>SUM(D134:D136)</f>
        <v>2.7</v>
      </c>
      <c r="E133" s="1419">
        <f>SUM(E134:E136)</f>
        <v>47.537999999999997</v>
      </c>
      <c r="F133" s="1419">
        <f>SUM(F134:F136)</f>
        <v>50.957999999999998</v>
      </c>
      <c r="G133" s="1419">
        <f>SUM(G134:G136)</f>
        <v>41.040000000000042</v>
      </c>
    </row>
    <row r="134" spans="1:7">
      <c r="A134" s="1383"/>
      <c r="B134" s="1390" t="s">
        <v>3302</v>
      </c>
      <c r="C134" s="1385">
        <v>14</v>
      </c>
      <c r="D134" s="1386">
        <v>0.9</v>
      </c>
      <c r="E134" s="1387">
        <f t="shared" ref="E134:E137" si="76">C134*D134*1.39</f>
        <v>17.513999999999999</v>
      </c>
      <c r="F134" s="1387">
        <f t="shared" ref="F134:F137" si="77">C134*D134*1.49</f>
        <v>18.774000000000001</v>
      </c>
      <c r="G134" s="1387">
        <f t="shared" ref="G134:G137" si="78">(F134-E134)*12</f>
        <v>15.120000000000019</v>
      </c>
    </row>
    <row r="135" spans="1:7">
      <c r="A135" s="1383"/>
      <c r="B135" s="1390" t="s">
        <v>3303</v>
      </c>
      <c r="C135" s="1385">
        <v>14</v>
      </c>
      <c r="D135" s="1386">
        <v>0.9</v>
      </c>
      <c r="E135" s="1387">
        <f t="shared" si="76"/>
        <v>17.513999999999999</v>
      </c>
      <c r="F135" s="1387">
        <f t="shared" si="77"/>
        <v>18.774000000000001</v>
      </c>
      <c r="G135" s="1387">
        <f t="shared" si="78"/>
        <v>15.120000000000019</v>
      </c>
    </row>
    <row r="136" spans="1:7">
      <c r="A136" s="1383"/>
      <c r="B136" s="1390" t="s">
        <v>3304</v>
      </c>
      <c r="C136" s="1385">
        <v>10</v>
      </c>
      <c r="D136" s="1386">
        <v>0.9</v>
      </c>
      <c r="E136" s="1387">
        <f t="shared" si="76"/>
        <v>12.51</v>
      </c>
      <c r="F136" s="1387">
        <f t="shared" si="77"/>
        <v>13.41</v>
      </c>
      <c r="G136" s="1387">
        <f t="shared" si="78"/>
        <v>10.800000000000004</v>
      </c>
    </row>
    <row r="137" spans="1:7">
      <c r="A137" s="1383">
        <v>3</v>
      </c>
      <c r="B137" s="1384" t="s">
        <v>3305</v>
      </c>
      <c r="C137" s="1385">
        <v>228</v>
      </c>
      <c r="D137" s="1386">
        <v>0.8</v>
      </c>
      <c r="E137" s="1387">
        <f t="shared" si="76"/>
        <v>253.536</v>
      </c>
      <c r="F137" s="1387">
        <f t="shared" si="77"/>
        <v>271.77600000000001</v>
      </c>
      <c r="G137" s="1387">
        <f t="shared" si="78"/>
        <v>218.88000000000011</v>
      </c>
    </row>
    <row r="138" spans="1:7">
      <c r="A138" s="1391" t="s">
        <v>65</v>
      </c>
      <c r="B138" s="1392" t="s">
        <v>3407</v>
      </c>
      <c r="C138" s="1393">
        <f>SUM(C139,C143)</f>
        <v>64</v>
      </c>
      <c r="D138" s="1393">
        <f>SUM(D139,D143)</f>
        <v>0</v>
      </c>
      <c r="E138" s="1394">
        <f>SUM(E139,E143)</f>
        <v>108.53119999999998</v>
      </c>
      <c r="F138" s="1394">
        <f>SUM(F139,F143)</f>
        <v>116.33919999999998</v>
      </c>
      <c r="G138" s="1394">
        <f>SUM(G139,G143)</f>
        <v>93.696000000000026</v>
      </c>
    </row>
    <row r="139" spans="1:7" ht="16.5">
      <c r="A139" s="1383">
        <v>1</v>
      </c>
      <c r="B139" s="1384" t="s">
        <v>3406</v>
      </c>
      <c r="C139" s="1385">
        <f>SUM(C140:C142)</f>
        <v>27</v>
      </c>
      <c r="D139" s="1395"/>
      <c r="E139" s="1385">
        <f>SUM(E140:E142)</f>
        <v>44.285399999999996</v>
      </c>
      <c r="F139" s="1385">
        <f>SUM(F140:F142)</f>
        <v>47.471399999999996</v>
      </c>
      <c r="G139" s="1385">
        <f>SUM(G140:G142)</f>
        <v>38.231999999999992</v>
      </c>
    </row>
    <row r="140" spans="1:7" ht="16.5">
      <c r="A140" s="1383"/>
      <c r="B140" s="1342" t="s">
        <v>129</v>
      </c>
      <c r="C140" s="1416">
        <v>17</v>
      </c>
      <c r="D140" s="1395">
        <v>1.34</v>
      </c>
      <c r="E140" s="1387">
        <f t="shared" ref="E140:E142" si="79">C140*D140*1.39</f>
        <v>31.664200000000001</v>
      </c>
      <c r="F140" s="1387">
        <f t="shared" ref="F140:F142" si="80">C140*D140*1.49</f>
        <v>33.9422</v>
      </c>
      <c r="G140" s="1387">
        <f t="shared" ref="G140:G142" si="81">(F140-E140)*12</f>
        <v>27.335999999999984</v>
      </c>
    </row>
    <row r="141" spans="1:7" ht="16.5">
      <c r="A141" s="1383"/>
      <c r="B141" s="1342" t="s">
        <v>1312</v>
      </c>
      <c r="C141" s="1416">
        <v>2</v>
      </c>
      <c r="D141" s="1395">
        <v>1.1000000000000001</v>
      </c>
      <c r="E141" s="1387">
        <f t="shared" si="79"/>
        <v>3.0579999999999998</v>
      </c>
      <c r="F141" s="1387">
        <f t="shared" si="80"/>
        <v>3.278</v>
      </c>
      <c r="G141" s="1387">
        <f t="shared" si="81"/>
        <v>2.6400000000000023</v>
      </c>
    </row>
    <row r="142" spans="1:7" ht="16.5">
      <c r="A142" s="1383"/>
      <c r="B142" s="1342" t="s">
        <v>3435</v>
      </c>
      <c r="C142" s="1416">
        <v>8</v>
      </c>
      <c r="D142" s="1395">
        <v>0.86</v>
      </c>
      <c r="E142" s="1387">
        <f t="shared" si="79"/>
        <v>9.5631999999999984</v>
      </c>
      <c r="F142" s="1387">
        <f t="shared" si="80"/>
        <v>10.251199999999999</v>
      </c>
      <c r="G142" s="1387">
        <f t="shared" si="81"/>
        <v>8.2560000000000073</v>
      </c>
    </row>
    <row r="143" spans="1:7">
      <c r="A143" s="1383">
        <v>2</v>
      </c>
      <c r="B143" s="1384" t="s">
        <v>3301</v>
      </c>
      <c r="C143" s="1393">
        <f>SUM(C144:C146)</f>
        <v>37</v>
      </c>
      <c r="D143" s="1393"/>
      <c r="E143" s="1393">
        <f>SUM(E144:E146)</f>
        <v>64.245799999999988</v>
      </c>
      <c r="F143" s="1393">
        <f>SUM(F144:F146)</f>
        <v>68.867799999999988</v>
      </c>
      <c r="G143" s="1393">
        <f>SUM(G144:G146)</f>
        <v>55.464000000000041</v>
      </c>
    </row>
    <row r="144" spans="1:7" ht="16.5">
      <c r="A144" s="1383"/>
      <c r="B144" s="1342" t="s">
        <v>129</v>
      </c>
      <c r="C144" s="1385">
        <v>29</v>
      </c>
      <c r="D144" s="1395">
        <v>1.34</v>
      </c>
      <c r="E144" s="1387">
        <f t="shared" ref="E144:E146" si="82">C144*D144*1.39</f>
        <v>54.015399999999993</v>
      </c>
      <c r="F144" s="1387">
        <f t="shared" ref="F144:F146" si="83">C144*D144*1.49</f>
        <v>57.901399999999995</v>
      </c>
      <c r="G144" s="1387">
        <f t="shared" ref="G144:G146" si="84">(F144-E144)*12</f>
        <v>46.632000000000033</v>
      </c>
    </row>
    <row r="145" spans="1:7" ht="16.5">
      <c r="A145" s="1383"/>
      <c r="B145" s="1342" t="s">
        <v>1312</v>
      </c>
      <c r="C145" s="1385">
        <v>2</v>
      </c>
      <c r="D145" s="1395">
        <v>1.1000000000000001</v>
      </c>
      <c r="E145" s="1387">
        <f t="shared" si="82"/>
        <v>3.0579999999999998</v>
      </c>
      <c r="F145" s="1387">
        <f t="shared" si="83"/>
        <v>3.278</v>
      </c>
      <c r="G145" s="1387">
        <f t="shared" si="84"/>
        <v>2.6400000000000023</v>
      </c>
    </row>
    <row r="146" spans="1:7" ht="16.5">
      <c r="A146" s="1383"/>
      <c r="B146" s="1342" t="s">
        <v>3435</v>
      </c>
      <c r="C146" s="1385">
        <v>6</v>
      </c>
      <c r="D146" s="1395">
        <v>0.86</v>
      </c>
      <c r="E146" s="1387">
        <f t="shared" si="82"/>
        <v>7.1723999999999997</v>
      </c>
      <c r="F146" s="1387">
        <f t="shared" si="83"/>
        <v>7.6884000000000006</v>
      </c>
      <c r="G146" s="1387">
        <f t="shared" si="84"/>
        <v>6.1920000000000108</v>
      </c>
    </row>
    <row r="147" spans="1:7" ht="28.5">
      <c r="A147" s="1391" t="s">
        <v>14</v>
      </c>
      <c r="B147" s="1392" t="s">
        <v>3409</v>
      </c>
      <c r="C147" s="1393">
        <v>18</v>
      </c>
      <c r="D147" s="1396">
        <f>D148</f>
        <v>0.22500000000000001</v>
      </c>
      <c r="E147" s="1389">
        <f>E148</f>
        <v>6.8804999999999996</v>
      </c>
      <c r="F147" s="1389">
        <f>F148</f>
        <v>7.3755000000000006</v>
      </c>
      <c r="G147" s="1389">
        <f>G148</f>
        <v>5.9400000000000119</v>
      </c>
    </row>
    <row r="148" spans="1:7">
      <c r="A148" s="1383">
        <v>1</v>
      </c>
      <c r="B148" s="1384" t="s">
        <v>3300</v>
      </c>
      <c r="C148" s="1385">
        <v>22</v>
      </c>
      <c r="D148" s="1397">
        <v>0.22500000000000001</v>
      </c>
      <c r="E148" s="1387">
        <f t="shared" ref="E148" si="85">C148*D148*1.39</f>
        <v>6.8804999999999996</v>
      </c>
      <c r="F148" s="1387">
        <f t="shared" ref="F148" si="86">C148*D148*1.49</f>
        <v>7.3755000000000006</v>
      </c>
      <c r="G148" s="1387">
        <f t="shared" ref="G148" si="87">(F148-E148)*12</f>
        <v>5.9400000000000119</v>
      </c>
    </row>
    <row r="149" spans="1:7" ht="28.5">
      <c r="A149" s="1391" t="s">
        <v>18</v>
      </c>
      <c r="B149" s="1392" t="s">
        <v>3410</v>
      </c>
      <c r="C149" s="1393">
        <f>SUM(C150:C153)</f>
        <v>290</v>
      </c>
      <c r="D149" s="1398">
        <f>SUM(D150:D153)</f>
        <v>0.2</v>
      </c>
      <c r="E149" s="1394">
        <f>SUM(E150:E153)</f>
        <v>20.155000000000001</v>
      </c>
      <c r="F149" s="1394">
        <f>SUM(F150:F153)</f>
        <v>21.605</v>
      </c>
      <c r="G149" s="1394">
        <f>SUM(G150:G153)</f>
        <v>17.399999999999991</v>
      </c>
    </row>
    <row r="150" spans="1:7">
      <c r="A150" s="1383">
        <v>1</v>
      </c>
      <c r="B150" s="1384" t="s">
        <v>3306</v>
      </c>
      <c r="C150" s="1385">
        <v>14</v>
      </c>
      <c r="D150" s="1386">
        <f>0.05</f>
        <v>0.05</v>
      </c>
      <c r="E150" s="1387">
        <f t="shared" ref="E150:E153" si="88">C150*D150*1.39</f>
        <v>0.97299999999999998</v>
      </c>
      <c r="F150" s="1387">
        <f t="shared" ref="F150:F153" si="89">C150*D150*1.49</f>
        <v>1.0430000000000001</v>
      </c>
      <c r="G150" s="1387">
        <f t="shared" ref="G150:G153" si="90">(F150-E150)*12</f>
        <v>0.84000000000000208</v>
      </c>
    </row>
    <row r="151" spans="1:7">
      <c r="A151" s="1383">
        <v>2</v>
      </c>
      <c r="B151" s="1384" t="s">
        <v>3300</v>
      </c>
      <c r="C151" s="1385">
        <v>25</v>
      </c>
      <c r="D151" s="1386">
        <f>0.05</f>
        <v>0.05</v>
      </c>
      <c r="E151" s="1387">
        <f t="shared" si="88"/>
        <v>1.7374999999999998</v>
      </c>
      <c r="F151" s="1387">
        <f t="shared" si="89"/>
        <v>1.8625</v>
      </c>
      <c r="G151" s="1387">
        <f t="shared" si="90"/>
        <v>1.5000000000000027</v>
      </c>
    </row>
    <row r="152" spans="1:7">
      <c r="A152" s="1383">
        <v>3</v>
      </c>
      <c r="B152" s="1399" t="s">
        <v>3301</v>
      </c>
      <c r="C152" s="1385">
        <v>32</v>
      </c>
      <c r="D152" s="1386">
        <f>0.05</f>
        <v>0.05</v>
      </c>
      <c r="E152" s="1387">
        <f t="shared" si="88"/>
        <v>2.2239999999999998</v>
      </c>
      <c r="F152" s="1387">
        <f t="shared" si="89"/>
        <v>2.3839999999999999</v>
      </c>
      <c r="G152" s="1387">
        <f t="shared" si="90"/>
        <v>1.9200000000000017</v>
      </c>
    </row>
    <row r="153" spans="1:7">
      <c r="A153" s="1383">
        <v>4</v>
      </c>
      <c r="B153" s="1399" t="s">
        <v>3307</v>
      </c>
      <c r="C153" s="1385">
        <v>219</v>
      </c>
      <c r="D153" s="1386">
        <f>0.05</f>
        <v>0.05</v>
      </c>
      <c r="E153" s="1387">
        <f t="shared" si="88"/>
        <v>15.220500000000001</v>
      </c>
      <c r="F153" s="1387">
        <f t="shared" si="89"/>
        <v>16.3155</v>
      </c>
      <c r="G153" s="1387">
        <f t="shared" si="90"/>
        <v>13.139999999999986</v>
      </c>
    </row>
    <row r="154" spans="1:7" ht="15.75">
      <c r="A154" s="1400"/>
      <c r="B154" s="1405" t="s">
        <v>2494</v>
      </c>
      <c r="C154" s="1417">
        <f>SUM(C155,C162,C171,C173)</f>
        <v>267</v>
      </c>
      <c r="D154" s="1402"/>
      <c r="E154" s="1403">
        <f>SUM(E155,E162,E171,E173)</f>
        <v>140.19540000000001</v>
      </c>
      <c r="F154" s="1403">
        <f>SUM(F155,F162,F171,F173)</f>
        <v>150.28140000000002</v>
      </c>
      <c r="G154" s="1403">
        <f>SUM(G155,G162,G171,G173)</f>
        <v>121.03200000000017</v>
      </c>
    </row>
    <row r="155" spans="1:7">
      <c r="A155" s="1339" t="s">
        <v>13</v>
      </c>
      <c r="B155" s="1380" t="s">
        <v>3299</v>
      </c>
      <c r="C155" s="1418">
        <f>C156+C157+C161</f>
        <v>51</v>
      </c>
      <c r="D155" s="1381"/>
      <c r="E155" s="1382">
        <f>E156+E157+E161</f>
        <v>66.302999999999997</v>
      </c>
      <c r="F155" s="1382">
        <f>F156+F157+F161</f>
        <v>71.073000000000008</v>
      </c>
      <c r="G155" s="1382">
        <f>G156+G157+G161</f>
        <v>57.24000000000008</v>
      </c>
    </row>
    <row r="156" spans="1:7">
      <c r="A156" s="1383">
        <v>1</v>
      </c>
      <c r="B156" s="1384" t="s">
        <v>3300</v>
      </c>
      <c r="C156" s="1385">
        <v>18</v>
      </c>
      <c r="D156" s="1386">
        <v>1</v>
      </c>
      <c r="E156" s="1387">
        <f>C156*D156*1.39</f>
        <v>25.02</v>
      </c>
      <c r="F156" s="1387">
        <f>C156*D156*1.49</f>
        <v>26.82</v>
      </c>
      <c r="G156" s="1387">
        <f>(F156-E156)*12</f>
        <v>21.600000000000009</v>
      </c>
    </row>
    <row r="157" spans="1:7">
      <c r="A157" s="1383">
        <v>2</v>
      </c>
      <c r="B157" s="1384" t="s">
        <v>3301</v>
      </c>
      <c r="C157" s="1385">
        <f>SUM(C158:C160)</f>
        <v>33</v>
      </c>
      <c r="D157" s="1388">
        <f>SUM(D158:D160)</f>
        <v>2.7</v>
      </c>
      <c r="E157" s="1419">
        <f>SUM(E158:E160)</f>
        <v>41.283000000000001</v>
      </c>
      <c r="F157" s="1419">
        <f>SUM(F158:F160)</f>
        <v>44.253</v>
      </c>
      <c r="G157" s="1419">
        <f>SUM(G158:G160)</f>
        <v>35.640000000000072</v>
      </c>
    </row>
    <row r="158" spans="1:7">
      <c r="A158" s="1383"/>
      <c r="B158" s="1390" t="s">
        <v>3302</v>
      </c>
      <c r="C158" s="1385">
        <v>11</v>
      </c>
      <c r="D158" s="1386">
        <v>0.9</v>
      </c>
      <c r="E158" s="1387">
        <f t="shared" ref="E158:E161" si="91">C158*D158*1.39</f>
        <v>13.760999999999999</v>
      </c>
      <c r="F158" s="1387">
        <f t="shared" ref="F158:F161" si="92">C158*D158*1.49</f>
        <v>14.751000000000001</v>
      </c>
      <c r="G158" s="1387">
        <f t="shared" ref="G158:G161" si="93">(F158-E158)*12</f>
        <v>11.880000000000024</v>
      </c>
    </row>
    <row r="159" spans="1:7">
      <c r="A159" s="1383"/>
      <c r="B159" s="1390" t="s">
        <v>3303</v>
      </c>
      <c r="C159" s="1385">
        <v>11</v>
      </c>
      <c r="D159" s="1386">
        <v>0.9</v>
      </c>
      <c r="E159" s="1387">
        <f t="shared" si="91"/>
        <v>13.760999999999999</v>
      </c>
      <c r="F159" s="1387">
        <f t="shared" si="92"/>
        <v>14.751000000000001</v>
      </c>
      <c r="G159" s="1387">
        <f t="shared" si="93"/>
        <v>11.880000000000024</v>
      </c>
    </row>
    <row r="160" spans="1:7">
      <c r="A160" s="1383"/>
      <c r="B160" s="1390" t="s">
        <v>3304</v>
      </c>
      <c r="C160" s="1385">
        <v>11</v>
      </c>
      <c r="D160" s="1386">
        <v>0.9</v>
      </c>
      <c r="E160" s="1387">
        <f t="shared" si="91"/>
        <v>13.760999999999999</v>
      </c>
      <c r="F160" s="1387">
        <f t="shared" si="92"/>
        <v>14.751000000000001</v>
      </c>
      <c r="G160" s="1387">
        <f t="shared" si="93"/>
        <v>11.880000000000024</v>
      </c>
    </row>
    <row r="161" spans="1:7">
      <c r="A161" s="1383">
        <v>3</v>
      </c>
      <c r="B161" s="1384" t="s">
        <v>3305</v>
      </c>
      <c r="C161" s="1385"/>
      <c r="D161" s="1386">
        <v>0.8</v>
      </c>
      <c r="E161" s="1387">
        <f t="shared" si="91"/>
        <v>0</v>
      </c>
      <c r="F161" s="1387">
        <f t="shared" si="92"/>
        <v>0</v>
      </c>
      <c r="G161" s="1387">
        <f t="shared" si="93"/>
        <v>0</v>
      </c>
    </row>
    <row r="162" spans="1:7">
      <c r="A162" s="1391" t="s">
        <v>65</v>
      </c>
      <c r="B162" s="1392" t="s">
        <v>3407</v>
      </c>
      <c r="C162" s="1393">
        <f>SUM(C163,C167)</f>
        <v>33</v>
      </c>
      <c r="D162" s="1393">
        <f>SUM(D163,D167)</f>
        <v>0</v>
      </c>
      <c r="E162" s="1394">
        <f>SUM(E163,E167)</f>
        <v>56.795399999999994</v>
      </c>
      <c r="F162" s="1394">
        <f>SUM(F163,F167)</f>
        <v>60.881399999999999</v>
      </c>
      <c r="G162" s="1394">
        <f>SUM(G163,G167)</f>
        <v>49.032000000000068</v>
      </c>
    </row>
    <row r="163" spans="1:7" ht="16.5">
      <c r="A163" s="1383">
        <v>1</v>
      </c>
      <c r="B163" s="1384" t="s">
        <v>3406</v>
      </c>
      <c r="C163" s="1385">
        <f>SUM(C164:C166)</f>
        <v>13</v>
      </c>
      <c r="D163" s="1395"/>
      <c r="E163" s="1385">
        <f>SUM(E164:E166)</f>
        <v>22.879399999999997</v>
      </c>
      <c r="F163" s="1385">
        <f>SUM(F164:F166)</f>
        <v>24.525400000000001</v>
      </c>
      <c r="G163" s="1385">
        <f>SUM(G164:G166)</f>
        <v>19.752000000000045</v>
      </c>
    </row>
    <row r="164" spans="1:7" ht="16.5">
      <c r="A164" s="1383"/>
      <c r="B164" s="1342" t="s">
        <v>129</v>
      </c>
      <c r="C164" s="1416">
        <v>11</v>
      </c>
      <c r="D164" s="1395">
        <v>1.34</v>
      </c>
      <c r="E164" s="1387">
        <f t="shared" ref="E164:E166" si="94">C164*D164*1.39</f>
        <v>20.488599999999998</v>
      </c>
      <c r="F164" s="1387">
        <f t="shared" ref="F164:F166" si="95">C164*D164*1.49</f>
        <v>21.962600000000002</v>
      </c>
      <c r="G164" s="1387">
        <f t="shared" ref="G164:G166" si="96">(F164-E164)*12</f>
        <v>17.688000000000045</v>
      </c>
    </row>
    <row r="165" spans="1:7" ht="16.5">
      <c r="A165" s="1383"/>
      <c r="B165" s="1342" t="s">
        <v>1312</v>
      </c>
      <c r="C165" s="1416"/>
      <c r="D165" s="1395">
        <v>1.1000000000000001</v>
      </c>
      <c r="E165" s="1387">
        <f t="shared" si="94"/>
        <v>0</v>
      </c>
      <c r="F165" s="1387">
        <f t="shared" si="95"/>
        <v>0</v>
      </c>
      <c r="G165" s="1387">
        <f t="shared" si="96"/>
        <v>0</v>
      </c>
    </row>
    <row r="166" spans="1:7" ht="16.5">
      <c r="A166" s="1383"/>
      <c r="B166" s="1342" t="s">
        <v>3435</v>
      </c>
      <c r="C166" s="1416">
        <v>2</v>
      </c>
      <c r="D166" s="1395">
        <v>0.86</v>
      </c>
      <c r="E166" s="1387">
        <f t="shared" si="94"/>
        <v>2.3907999999999996</v>
      </c>
      <c r="F166" s="1387">
        <f t="shared" si="95"/>
        <v>2.5627999999999997</v>
      </c>
      <c r="G166" s="1387">
        <f t="shared" si="96"/>
        <v>2.0640000000000018</v>
      </c>
    </row>
    <row r="167" spans="1:7">
      <c r="A167" s="1383">
        <v>2</v>
      </c>
      <c r="B167" s="1384" t="s">
        <v>3301</v>
      </c>
      <c r="C167" s="1393">
        <f>SUM(C168:C170)</f>
        <v>20</v>
      </c>
      <c r="D167" s="1393"/>
      <c r="E167" s="1393">
        <f>SUM(E168:E170)</f>
        <v>33.915999999999997</v>
      </c>
      <c r="F167" s="1393">
        <f>SUM(F168:F170)</f>
        <v>36.356000000000002</v>
      </c>
      <c r="G167" s="1393">
        <f>SUM(G168:G170)</f>
        <v>29.280000000000019</v>
      </c>
    </row>
    <row r="168" spans="1:7" ht="16.5">
      <c r="A168" s="1383"/>
      <c r="B168" s="1342" t="s">
        <v>129</v>
      </c>
      <c r="C168" s="1385">
        <v>14</v>
      </c>
      <c r="D168" s="1395">
        <v>1.34</v>
      </c>
      <c r="E168" s="1387">
        <f t="shared" ref="E168:E170" si="97">C168*D168*1.39</f>
        <v>26.0764</v>
      </c>
      <c r="F168" s="1387">
        <f t="shared" ref="F168:F170" si="98">C168*D168*1.49</f>
        <v>27.952400000000001</v>
      </c>
      <c r="G168" s="1387">
        <f t="shared" ref="G168:G170" si="99">(F168-E168)*12</f>
        <v>22.512000000000015</v>
      </c>
    </row>
    <row r="169" spans="1:7" ht="16.5">
      <c r="A169" s="1383"/>
      <c r="B169" s="1342" t="s">
        <v>1312</v>
      </c>
      <c r="C169" s="1385">
        <v>2</v>
      </c>
      <c r="D169" s="1395">
        <v>1.1000000000000001</v>
      </c>
      <c r="E169" s="1387">
        <f t="shared" si="97"/>
        <v>3.0579999999999998</v>
      </c>
      <c r="F169" s="1387">
        <f t="shared" si="98"/>
        <v>3.278</v>
      </c>
      <c r="G169" s="1387">
        <f t="shared" si="99"/>
        <v>2.6400000000000023</v>
      </c>
    </row>
    <row r="170" spans="1:7" ht="16.5">
      <c r="A170" s="1383"/>
      <c r="B170" s="1342" t="s">
        <v>3435</v>
      </c>
      <c r="C170" s="1385">
        <v>4</v>
      </c>
      <c r="D170" s="1395">
        <v>0.86</v>
      </c>
      <c r="E170" s="1387">
        <f t="shared" si="97"/>
        <v>4.7815999999999992</v>
      </c>
      <c r="F170" s="1387">
        <f t="shared" si="98"/>
        <v>5.1255999999999995</v>
      </c>
      <c r="G170" s="1387">
        <f t="shared" si="99"/>
        <v>4.1280000000000037</v>
      </c>
    </row>
    <row r="171" spans="1:7" ht="28.5">
      <c r="A171" s="1391" t="s">
        <v>14</v>
      </c>
      <c r="B171" s="1392" t="s">
        <v>3409</v>
      </c>
      <c r="C171" s="1393">
        <v>18</v>
      </c>
      <c r="D171" s="1396">
        <f>D172</f>
        <v>0.22500000000000001</v>
      </c>
      <c r="E171" s="1389">
        <f>E172</f>
        <v>5.6294999999999993</v>
      </c>
      <c r="F171" s="1389">
        <f>F172</f>
        <v>6.0344999999999995</v>
      </c>
      <c r="G171" s="1389">
        <f>G172</f>
        <v>4.860000000000003</v>
      </c>
    </row>
    <row r="172" spans="1:7">
      <c r="A172" s="1383">
        <v>1</v>
      </c>
      <c r="B172" s="1384" t="s">
        <v>3300</v>
      </c>
      <c r="C172" s="1385">
        <v>18</v>
      </c>
      <c r="D172" s="1397">
        <v>0.22500000000000001</v>
      </c>
      <c r="E172" s="1387">
        <f t="shared" ref="E172" si="100">C172*D172*1.39</f>
        <v>5.6294999999999993</v>
      </c>
      <c r="F172" s="1387">
        <f t="shared" ref="F172" si="101">C172*D172*1.49</f>
        <v>6.0344999999999995</v>
      </c>
      <c r="G172" s="1387">
        <f t="shared" ref="G172" si="102">(F172-E172)*12</f>
        <v>4.860000000000003</v>
      </c>
    </row>
    <row r="173" spans="1:7" ht="28.5">
      <c r="A173" s="1391" t="s">
        <v>18</v>
      </c>
      <c r="B173" s="1392" t="s">
        <v>3410</v>
      </c>
      <c r="C173" s="1393">
        <f>SUM(C174:C177)</f>
        <v>165</v>
      </c>
      <c r="D173" s="1398">
        <f>SUM(D174:D177)</f>
        <v>0.2</v>
      </c>
      <c r="E173" s="1394">
        <f>SUM(E174:E177)</f>
        <v>11.467499999999999</v>
      </c>
      <c r="F173" s="1394">
        <f>SUM(F174:F177)</f>
        <v>12.2925</v>
      </c>
      <c r="G173" s="1394">
        <f>SUM(G174:G177)</f>
        <v>9.9000000000000181</v>
      </c>
    </row>
    <row r="174" spans="1:7">
      <c r="A174" s="1383">
        <v>1</v>
      </c>
      <c r="B174" s="1384" t="s">
        <v>3306</v>
      </c>
      <c r="C174" s="1385">
        <v>0</v>
      </c>
      <c r="D174" s="1386">
        <f>0.05</f>
        <v>0.05</v>
      </c>
      <c r="E174" s="1387">
        <f t="shared" ref="E174:E177" si="103">C174*D174*1.39</f>
        <v>0</v>
      </c>
      <c r="F174" s="1387">
        <f t="shared" ref="F174:F177" si="104">C174*D174*1.49</f>
        <v>0</v>
      </c>
      <c r="G174" s="1387">
        <f t="shared" ref="G174:G177" si="105">(F174-E174)*12</f>
        <v>0</v>
      </c>
    </row>
    <row r="175" spans="1:7">
      <c r="A175" s="1383">
        <v>2</v>
      </c>
      <c r="B175" s="1384" t="s">
        <v>3300</v>
      </c>
      <c r="C175" s="1385">
        <v>0</v>
      </c>
      <c r="D175" s="1386">
        <f>0.05</f>
        <v>0.05</v>
      </c>
      <c r="E175" s="1387">
        <f t="shared" si="103"/>
        <v>0</v>
      </c>
      <c r="F175" s="1387">
        <f t="shared" si="104"/>
        <v>0</v>
      </c>
      <c r="G175" s="1387">
        <f t="shared" si="105"/>
        <v>0</v>
      </c>
    </row>
    <row r="176" spans="1:7">
      <c r="A176" s="1383">
        <v>3</v>
      </c>
      <c r="B176" s="1399" t="s">
        <v>3301</v>
      </c>
      <c r="C176" s="1385">
        <v>31</v>
      </c>
      <c r="D176" s="1386">
        <f>0.05</f>
        <v>0.05</v>
      </c>
      <c r="E176" s="1387">
        <f t="shared" si="103"/>
        <v>2.1545000000000001</v>
      </c>
      <c r="F176" s="1387">
        <f t="shared" si="104"/>
        <v>2.3094999999999999</v>
      </c>
      <c r="G176" s="1387">
        <f t="shared" si="105"/>
        <v>1.8599999999999977</v>
      </c>
    </row>
    <row r="177" spans="1:7">
      <c r="A177" s="1383">
        <v>4</v>
      </c>
      <c r="B177" s="1399" t="s">
        <v>3307</v>
      </c>
      <c r="C177" s="1385">
        <v>134</v>
      </c>
      <c r="D177" s="1386">
        <f>0.05</f>
        <v>0.05</v>
      </c>
      <c r="E177" s="1387">
        <f t="shared" si="103"/>
        <v>9.3129999999999988</v>
      </c>
      <c r="F177" s="1387">
        <f t="shared" si="104"/>
        <v>9.9830000000000005</v>
      </c>
      <c r="G177" s="1387">
        <f t="shared" si="105"/>
        <v>8.0400000000000205</v>
      </c>
    </row>
    <row r="178" spans="1:7" ht="15.75">
      <c r="A178" s="1400"/>
      <c r="B178" s="1405" t="s">
        <v>2497</v>
      </c>
      <c r="C178" s="1417">
        <f>SUM(C179,C186,C195,C197)</f>
        <v>267</v>
      </c>
      <c r="D178" s="1402"/>
      <c r="E178" s="1403">
        <f>SUM(E179,E186,E195,E197)</f>
        <v>140.19540000000001</v>
      </c>
      <c r="F178" s="1403">
        <f>SUM(F179,F186,F195,F197)</f>
        <v>150.28140000000002</v>
      </c>
      <c r="G178" s="1403">
        <f>SUM(G179,G186,G195,G197)</f>
        <v>121.03200000000017</v>
      </c>
    </row>
    <row r="179" spans="1:7">
      <c r="A179" s="1339" t="s">
        <v>13</v>
      </c>
      <c r="B179" s="1380" t="s">
        <v>3299</v>
      </c>
      <c r="C179" s="1418">
        <f>C180+C181+C185</f>
        <v>51</v>
      </c>
      <c r="D179" s="1381"/>
      <c r="E179" s="1382">
        <f>E180+E181+E185</f>
        <v>66.302999999999997</v>
      </c>
      <c r="F179" s="1382">
        <f>F180+F181+F185</f>
        <v>71.073000000000008</v>
      </c>
      <c r="G179" s="1382">
        <f>G180+G181+G185</f>
        <v>57.24000000000008</v>
      </c>
    </row>
    <row r="180" spans="1:7">
      <c r="A180" s="1383">
        <v>1</v>
      </c>
      <c r="B180" s="1384" t="s">
        <v>3300</v>
      </c>
      <c r="C180" s="1385">
        <v>18</v>
      </c>
      <c r="D180" s="1386">
        <v>1</v>
      </c>
      <c r="E180" s="1387">
        <f>C180*D180*1.39</f>
        <v>25.02</v>
      </c>
      <c r="F180" s="1387">
        <f>C180*D180*1.49</f>
        <v>26.82</v>
      </c>
      <c r="G180" s="1387">
        <f>(F180-E180)*12</f>
        <v>21.600000000000009</v>
      </c>
    </row>
    <row r="181" spans="1:7">
      <c r="A181" s="1383">
        <v>2</v>
      </c>
      <c r="B181" s="1384" t="s">
        <v>3301</v>
      </c>
      <c r="C181" s="1385">
        <f>SUM(C182:C184)</f>
        <v>33</v>
      </c>
      <c r="D181" s="1388">
        <f>SUM(D182:D184)</f>
        <v>2.7</v>
      </c>
      <c r="E181" s="1419">
        <f>SUM(E182:E184)</f>
        <v>41.283000000000001</v>
      </c>
      <c r="F181" s="1419">
        <f>SUM(F182:F184)</f>
        <v>44.253</v>
      </c>
      <c r="G181" s="1419">
        <f>SUM(G182:G184)</f>
        <v>35.640000000000072</v>
      </c>
    </row>
    <row r="182" spans="1:7">
      <c r="A182" s="1383"/>
      <c r="B182" s="1390" t="s">
        <v>3302</v>
      </c>
      <c r="C182" s="1385">
        <v>11</v>
      </c>
      <c r="D182" s="1386">
        <v>0.9</v>
      </c>
      <c r="E182" s="1387">
        <f t="shared" ref="E182:E185" si="106">C182*D182*1.39</f>
        <v>13.760999999999999</v>
      </c>
      <c r="F182" s="1387">
        <f t="shared" ref="F182:F185" si="107">C182*D182*1.49</f>
        <v>14.751000000000001</v>
      </c>
      <c r="G182" s="1387">
        <f t="shared" ref="G182:G185" si="108">(F182-E182)*12</f>
        <v>11.880000000000024</v>
      </c>
    </row>
    <row r="183" spans="1:7">
      <c r="A183" s="1383"/>
      <c r="B183" s="1390" t="s">
        <v>3303</v>
      </c>
      <c r="C183" s="1385">
        <v>11</v>
      </c>
      <c r="D183" s="1386">
        <v>0.9</v>
      </c>
      <c r="E183" s="1387">
        <f t="shared" si="106"/>
        <v>13.760999999999999</v>
      </c>
      <c r="F183" s="1387">
        <f t="shared" si="107"/>
        <v>14.751000000000001</v>
      </c>
      <c r="G183" s="1387">
        <f t="shared" si="108"/>
        <v>11.880000000000024</v>
      </c>
    </row>
    <row r="184" spans="1:7">
      <c r="A184" s="1383"/>
      <c r="B184" s="1390" t="s">
        <v>3304</v>
      </c>
      <c r="C184" s="1385">
        <v>11</v>
      </c>
      <c r="D184" s="1386">
        <v>0.9</v>
      </c>
      <c r="E184" s="1387">
        <f t="shared" si="106"/>
        <v>13.760999999999999</v>
      </c>
      <c r="F184" s="1387">
        <f t="shared" si="107"/>
        <v>14.751000000000001</v>
      </c>
      <c r="G184" s="1387">
        <f t="shared" si="108"/>
        <v>11.880000000000024</v>
      </c>
    </row>
    <row r="185" spans="1:7">
      <c r="A185" s="1383">
        <v>3</v>
      </c>
      <c r="B185" s="1384" t="s">
        <v>3305</v>
      </c>
      <c r="C185" s="1385"/>
      <c r="D185" s="1386">
        <v>0.8</v>
      </c>
      <c r="E185" s="1387">
        <f t="shared" si="106"/>
        <v>0</v>
      </c>
      <c r="F185" s="1387">
        <f t="shared" si="107"/>
        <v>0</v>
      </c>
      <c r="G185" s="1387">
        <f t="shared" si="108"/>
        <v>0</v>
      </c>
    </row>
    <row r="186" spans="1:7">
      <c r="A186" s="1391" t="s">
        <v>65</v>
      </c>
      <c r="B186" s="1392" t="s">
        <v>3407</v>
      </c>
      <c r="C186" s="1393">
        <f>SUM(C187,C191)</f>
        <v>33</v>
      </c>
      <c r="D186" s="1393">
        <f>SUM(D187,D191)</f>
        <v>0</v>
      </c>
      <c r="E186" s="1394">
        <f>SUM(E187,E191)</f>
        <v>56.795399999999994</v>
      </c>
      <c r="F186" s="1394">
        <f>SUM(F187,F191)</f>
        <v>60.881399999999999</v>
      </c>
      <c r="G186" s="1394">
        <f>SUM(G187,G191)</f>
        <v>49.032000000000068</v>
      </c>
    </row>
    <row r="187" spans="1:7" ht="16.5">
      <c r="A187" s="1383">
        <v>1</v>
      </c>
      <c r="B187" s="1384" t="s">
        <v>3406</v>
      </c>
      <c r="C187" s="1385">
        <f>SUM(C188:C190)</f>
        <v>13</v>
      </c>
      <c r="D187" s="1395"/>
      <c r="E187" s="1385">
        <f>SUM(E188:E190)</f>
        <v>22.879399999999997</v>
      </c>
      <c r="F187" s="1385">
        <f>SUM(F188:F190)</f>
        <v>24.525400000000001</v>
      </c>
      <c r="G187" s="1385">
        <f>SUM(G188:G190)</f>
        <v>19.752000000000045</v>
      </c>
    </row>
    <row r="188" spans="1:7" ht="16.5">
      <c r="A188" s="1383"/>
      <c r="B188" s="1342" t="s">
        <v>129</v>
      </c>
      <c r="C188" s="1416">
        <v>11</v>
      </c>
      <c r="D188" s="1395">
        <v>1.34</v>
      </c>
      <c r="E188" s="1387">
        <f t="shared" ref="E188:E190" si="109">C188*D188*1.39</f>
        <v>20.488599999999998</v>
      </c>
      <c r="F188" s="1387">
        <f t="shared" ref="F188:F190" si="110">C188*D188*1.49</f>
        <v>21.962600000000002</v>
      </c>
      <c r="G188" s="1387">
        <f t="shared" ref="G188:G190" si="111">(F188-E188)*12</f>
        <v>17.688000000000045</v>
      </c>
    </row>
    <row r="189" spans="1:7" ht="16.5">
      <c r="A189" s="1383"/>
      <c r="B189" s="1342" t="s">
        <v>1312</v>
      </c>
      <c r="C189" s="1416"/>
      <c r="D189" s="1395">
        <v>1.1000000000000001</v>
      </c>
      <c r="E189" s="1387">
        <f t="shared" si="109"/>
        <v>0</v>
      </c>
      <c r="F189" s="1387">
        <f t="shared" si="110"/>
        <v>0</v>
      </c>
      <c r="G189" s="1387">
        <f t="shared" si="111"/>
        <v>0</v>
      </c>
    </row>
    <row r="190" spans="1:7" ht="16.5">
      <c r="A190" s="1383"/>
      <c r="B190" s="1342" t="s">
        <v>3435</v>
      </c>
      <c r="C190" s="1416">
        <v>2</v>
      </c>
      <c r="D190" s="1395">
        <v>0.86</v>
      </c>
      <c r="E190" s="1387">
        <f t="shared" si="109"/>
        <v>2.3907999999999996</v>
      </c>
      <c r="F190" s="1387">
        <f t="shared" si="110"/>
        <v>2.5627999999999997</v>
      </c>
      <c r="G190" s="1387">
        <f t="shared" si="111"/>
        <v>2.0640000000000018</v>
      </c>
    </row>
    <row r="191" spans="1:7">
      <c r="A191" s="1383">
        <v>2</v>
      </c>
      <c r="B191" s="1384" t="s">
        <v>3301</v>
      </c>
      <c r="C191" s="1393">
        <f>SUM(C192:C194)</f>
        <v>20</v>
      </c>
      <c r="D191" s="1393"/>
      <c r="E191" s="1393">
        <f>SUM(E192:E194)</f>
        <v>33.915999999999997</v>
      </c>
      <c r="F191" s="1393">
        <f>SUM(F192:F194)</f>
        <v>36.356000000000002</v>
      </c>
      <c r="G191" s="1393">
        <f>SUM(G192:G194)</f>
        <v>29.280000000000019</v>
      </c>
    </row>
    <row r="192" spans="1:7" ht="16.5">
      <c r="A192" s="1383"/>
      <c r="B192" s="1342" t="s">
        <v>129</v>
      </c>
      <c r="C192" s="1385">
        <v>14</v>
      </c>
      <c r="D192" s="1395">
        <v>1.34</v>
      </c>
      <c r="E192" s="1387">
        <f t="shared" ref="E192:E194" si="112">C192*D192*1.39</f>
        <v>26.0764</v>
      </c>
      <c r="F192" s="1387">
        <f t="shared" ref="F192:F194" si="113">C192*D192*1.49</f>
        <v>27.952400000000001</v>
      </c>
      <c r="G192" s="1387">
        <f t="shared" ref="G192:G194" si="114">(F192-E192)*12</f>
        <v>22.512000000000015</v>
      </c>
    </row>
    <row r="193" spans="1:7" ht="16.5">
      <c r="A193" s="1383"/>
      <c r="B193" s="1342" t="s">
        <v>1312</v>
      </c>
      <c r="C193" s="1385">
        <v>2</v>
      </c>
      <c r="D193" s="1395">
        <v>1.1000000000000001</v>
      </c>
      <c r="E193" s="1387">
        <f t="shared" si="112"/>
        <v>3.0579999999999998</v>
      </c>
      <c r="F193" s="1387">
        <f t="shared" si="113"/>
        <v>3.278</v>
      </c>
      <c r="G193" s="1387">
        <f t="shared" si="114"/>
        <v>2.6400000000000023</v>
      </c>
    </row>
    <row r="194" spans="1:7" ht="16.5">
      <c r="A194" s="1383"/>
      <c r="B194" s="1342" t="s">
        <v>3435</v>
      </c>
      <c r="C194" s="1385">
        <v>4</v>
      </c>
      <c r="D194" s="1395">
        <v>0.86</v>
      </c>
      <c r="E194" s="1387">
        <f t="shared" si="112"/>
        <v>4.7815999999999992</v>
      </c>
      <c r="F194" s="1387">
        <f t="shared" si="113"/>
        <v>5.1255999999999995</v>
      </c>
      <c r="G194" s="1387">
        <f t="shared" si="114"/>
        <v>4.1280000000000037</v>
      </c>
    </row>
    <row r="195" spans="1:7" ht="28.5">
      <c r="A195" s="1391" t="s">
        <v>14</v>
      </c>
      <c r="B195" s="1392" t="s">
        <v>3409</v>
      </c>
      <c r="C195" s="1393">
        <v>18</v>
      </c>
      <c r="D195" s="1396">
        <f>D196</f>
        <v>0.22500000000000001</v>
      </c>
      <c r="E195" s="1389">
        <f>E196</f>
        <v>5.6294999999999993</v>
      </c>
      <c r="F195" s="1389">
        <f>F196</f>
        <v>6.0344999999999995</v>
      </c>
      <c r="G195" s="1389">
        <f>G196</f>
        <v>4.860000000000003</v>
      </c>
    </row>
    <row r="196" spans="1:7">
      <c r="A196" s="1383">
        <v>1</v>
      </c>
      <c r="B196" s="1384" t="s">
        <v>3300</v>
      </c>
      <c r="C196" s="1385">
        <v>18</v>
      </c>
      <c r="D196" s="1397">
        <v>0.22500000000000001</v>
      </c>
      <c r="E196" s="1387">
        <f t="shared" ref="E196" si="115">C196*D196*1.39</f>
        <v>5.6294999999999993</v>
      </c>
      <c r="F196" s="1387">
        <f t="shared" ref="F196" si="116">C196*D196*1.49</f>
        <v>6.0344999999999995</v>
      </c>
      <c r="G196" s="1387">
        <f t="shared" ref="G196" si="117">(F196-E196)*12</f>
        <v>4.860000000000003</v>
      </c>
    </row>
    <row r="197" spans="1:7" ht="28.5">
      <c r="A197" s="1391" t="s">
        <v>18</v>
      </c>
      <c r="B197" s="1392" t="s">
        <v>3410</v>
      </c>
      <c r="C197" s="1393">
        <f>SUM(C198:C201)</f>
        <v>165</v>
      </c>
      <c r="D197" s="1398">
        <f>SUM(D198:D201)</f>
        <v>0.2</v>
      </c>
      <c r="E197" s="1394">
        <f>SUM(E198:E201)</f>
        <v>11.467499999999999</v>
      </c>
      <c r="F197" s="1394">
        <f>SUM(F198:F201)</f>
        <v>12.2925</v>
      </c>
      <c r="G197" s="1394">
        <f>SUM(G198:G201)</f>
        <v>9.9000000000000181</v>
      </c>
    </row>
    <row r="198" spans="1:7">
      <c r="A198" s="1383">
        <v>1</v>
      </c>
      <c r="B198" s="1384" t="s">
        <v>3306</v>
      </c>
      <c r="C198" s="1385">
        <v>0</v>
      </c>
      <c r="D198" s="1386">
        <f>0.05</f>
        <v>0.05</v>
      </c>
      <c r="E198" s="1387">
        <f t="shared" ref="E198:E201" si="118">C198*D198*1.39</f>
        <v>0</v>
      </c>
      <c r="F198" s="1387">
        <f t="shared" ref="F198:F201" si="119">C198*D198*1.49</f>
        <v>0</v>
      </c>
      <c r="G198" s="1387">
        <f t="shared" ref="G198:G201" si="120">(F198-E198)*12</f>
        <v>0</v>
      </c>
    </row>
    <row r="199" spans="1:7">
      <c r="A199" s="1383">
        <v>2</v>
      </c>
      <c r="B199" s="1384" t="s">
        <v>3300</v>
      </c>
      <c r="C199" s="1385">
        <v>0</v>
      </c>
      <c r="D199" s="1386">
        <f>0.05</f>
        <v>0.05</v>
      </c>
      <c r="E199" s="1387">
        <f t="shared" si="118"/>
        <v>0</v>
      </c>
      <c r="F199" s="1387">
        <f t="shared" si="119"/>
        <v>0</v>
      </c>
      <c r="G199" s="1387">
        <f t="shared" si="120"/>
        <v>0</v>
      </c>
    </row>
    <row r="200" spans="1:7">
      <c r="A200" s="1383">
        <v>3</v>
      </c>
      <c r="B200" s="1399" t="s">
        <v>3301</v>
      </c>
      <c r="C200" s="1385">
        <v>31</v>
      </c>
      <c r="D200" s="1386">
        <f>0.05</f>
        <v>0.05</v>
      </c>
      <c r="E200" s="1387">
        <f t="shared" si="118"/>
        <v>2.1545000000000001</v>
      </c>
      <c r="F200" s="1387">
        <f t="shared" si="119"/>
        <v>2.3094999999999999</v>
      </c>
      <c r="G200" s="1387">
        <f t="shared" si="120"/>
        <v>1.8599999999999977</v>
      </c>
    </row>
    <row r="201" spans="1:7">
      <c r="A201" s="1383">
        <v>4</v>
      </c>
      <c r="B201" s="1399" t="s">
        <v>3307</v>
      </c>
      <c r="C201" s="1385">
        <v>134</v>
      </c>
      <c r="D201" s="1386">
        <f>0.05</f>
        <v>0.05</v>
      </c>
      <c r="E201" s="1387">
        <f t="shared" si="118"/>
        <v>9.3129999999999988</v>
      </c>
      <c r="F201" s="1387">
        <f t="shared" si="119"/>
        <v>9.9830000000000005</v>
      </c>
      <c r="G201" s="1387">
        <f t="shared" si="120"/>
        <v>8.0400000000000205</v>
      </c>
    </row>
    <row r="202" spans="1:7" ht="15.75">
      <c r="A202" s="1400"/>
      <c r="B202" s="1405" t="s">
        <v>2498</v>
      </c>
      <c r="C202" s="1417">
        <f>SUM(C203,C210,C219,C221)</f>
        <v>267</v>
      </c>
      <c r="D202" s="1402"/>
      <c r="E202" s="1403">
        <f>SUM(E203,E210,E219,E221)</f>
        <v>140.19540000000001</v>
      </c>
      <c r="F202" s="1403">
        <f>SUM(F203,F210,F219,F221)</f>
        <v>150.28140000000002</v>
      </c>
      <c r="G202" s="1403">
        <f>SUM(G203,G210,G219,G221)</f>
        <v>121.03200000000017</v>
      </c>
    </row>
    <row r="203" spans="1:7">
      <c r="A203" s="1339" t="s">
        <v>13</v>
      </c>
      <c r="B203" s="1380" t="s">
        <v>3299</v>
      </c>
      <c r="C203" s="1418">
        <f>C204+C205+C209</f>
        <v>51</v>
      </c>
      <c r="D203" s="1381"/>
      <c r="E203" s="1382">
        <f>E204+E205+E209</f>
        <v>66.302999999999997</v>
      </c>
      <c r="F203" s="1382">
        <f>F204+F205+F209</f>
        <v>71.073000000000008</v>
      </c>
      <c r="G203" s="1382">
        <f>G204+G205+G209</f>
        <v>57.24000000000008</v>
      </c>
    </row>
    <row r="204" spans="1:7">
      <c r="A204" s="1383">
        <v>1</v>
      </c>
      <c r="B204" s="1384" t="s">
        <v>3300</v>
      </c>
      <c r="C204" s="1385">
        <v>18</v>
      </c>
      <c r="D204" s="1386">
        <v>1</v>
      </c>
      <c r="E204" s="1387">
        <f>C204*D204*1.39</f>
        <v>25.02</v>
      </c>
      <c r="F204" s="1387">
        <f>C204*D204*1.49</f>
        <v>26.82</v>
      </c>
      <c r="G204" s="1387">
        <f>(F204-E204)*12</f>
        <v>21.600000000000009</v>
      </c>
    </row>
    <row r="205" spans="1:7">
      <c r="A205" s="1383">
        <v>2</v>
      </c>
      <c r="B205" s="1384" t="s">
        <v>3301</v>
      </c>
      <c r="C205" s="1385">
        <f>SUM(C206:C208)</f>
        <v>33</v>
      </c>
      <c r="D205" s="1388">
        <f>SUM(D206:D208)</f>
        <v>2.7</v>
      </c>
      <c r="E205" s="1419">
        <f>SUM(E206:E208)</f>
        <v>41.283000000000001</v>
      </c>
      <c r="F205" s="1419">
        <f>SUM(F206:F208)</f>
        <v>44.253</v>
      </c>
      <c r="G205" s="1419">
        <f>SUM(G206:G208)</f>
        <v>35.640000000000072</v>
      </c>
    </row>
    <row r="206" spans="1:7">
      <c r="A206" s="1383"/>
      <c r="B206" s="1390" t="s">
        <v>3302</v>
      </c>
      <c r="C206" s="1385">
        <v>11</v>
      </c>
      <c r="D206" s="1386">
        <v>0.9</v>
      </c>
      <c r="E206" s="1387">
        <f t="shared" ref="E206:E209" si="121">C206*D206*1.39</f>
        <v>13.760999999999999</v>
      </c>
      <c r="F206" s="1387">
        <f t="shared" ref="F206:F209" si="122">C206*D206*1.49</f>
        <v>14.751000000000001</v>
      </c>
      <c r="G206" s="1387">
        <f t="shared" ref="G206:G209" si="123">(F206-E206)*12</f>
        <v>11.880000000000024</v>
      </c>
    </row>
    <row r="207" spans="1:7">
      <c r="A207" s="1383"/>
      <c r="B207" s="1390" t="s">
        <v>3303</v>
      </c>
      <c r="C207" s="1385">
        <v>11</v>
      </c>
      <c r="D207" s="1386">
        <v>0.9</v>
      </c>
      <c r="E207" s="1387">
        <f t="shared" si="121"/>
        <v>13.760999999999999</v>
      </c>
      <c r="F207" s="1387">
        <f t="shared" si="122"/>
        <v>14.751000000000001</v>
      </c>
      <c r="G207" s="1387">
        <f t="shared" si="123"/>
        <v>11.880000000000024</v>
      </c>
    </row>
    <row r="208" spans="1:7">
      <c r="A208" s="1383"/>
      <c r="B208" s="1390" t="s">
        <v>3304</v>
      </c>
      <c r="C208" s="1385">
        <v>11</v>
      </c>
      <c r="D208" s="1386">
        <v>0.9</v>
      </c>
      <c r="E208" s="1387">
        <f t="shared" si="121"/>
        <v>13.760999999999999</v>
      </c>
      <c r="F208" s="1387">
        <f t="shared" si="122"/>
        <v>14.751000000000001</v>
      </c>
      <c r="G208" s="1387">
        <f t="shared" si="123"/>
        <v>11.880000000000024</v>
      </c>
    </row>
    <row r="209" spans="1:7">
      <c r="A209" s="1383">
        <v>3</v>
      </c>
      <c r="B209" s="1384" t="s">
        <v>3305</v>
      </c>
      <c r="C209" s="1385"/>
      <c r="D209" s="1386">
        <v>0.8</v>
      </c>
      <c r="E209" s="1387">
        <f t="shared" si="121"/>
        <v>0</v>
      </c>
      <c r="F209" s="1387">
        <f t="shared" si="122"/>
        <v>0</v>
      </c>
      <c r="G209" s="1387">
        <f t="shared" si="123"/>
        <v>0</v>
      </c>
    </row>
    <row r="210" spans="1:7">
      <c r="A210" s="1391" t="s">
        <v>65</v>
      </c>
      <c r="B210" s="1392" t="s">
        <v>3407</v>
      </c>
      <c r="C210" s="1393">
        <f>SUM(C211,C215)</f>
        <v>33</v>
      </c>
      <c r="D210" s="1393">
        <f>SUM(D211,D215)</f>
        <v>0</v>
      </c>
      <c r="E210" s="1394">
        <f>SUM(E211,E215)</f>
        <v>56.795399999999994</v>
      </c>
      <c r="F210" s="1394">
        <f>SUM(F211,F215)</f>
        <v>60.881399999999999</v>
      </c>
      <c r="G210" s="1394">
        <f>SUM(G211,G215)</f>
        <v>49.032000000000068</v>
      </c>
    </row>
    <row r="211" spans="1:7" ht="16.5">
      <c r="A211" s="1383">
        <v>1</v>
      </c>
      <c r="B211" s="1384" t="s">
        <v>3406</v>
      </c>
      <c r="C211" s="1385">
        <f>SUM(C212:C214)</f>
        <v>13</v>
      </c>
      <c r="D211" s="1395"/>
      <c r="E211" s="1385">
        <f>SUM(E212:E214)</f>
        <v>22.879399999999997</v>
      </c>
      <c r="F211" s="1385">
        <f>SUM(F212:F214)</f>
        <v>24.525400000000001</v>
      </c>
      <c r="G211" s="1385">
        <f>SUM(G212:G214)</f>
        <v>19.752000000000045</v>
      </c>
    </row>
    <row r="212" spans="1:7" ht="16.5">
      <c r="A212" s="1383"/>
      <c r="B212" s="1342" t="s">
        <v>129</v>
      </c>
      <c r="C212" s="1416">
        <v>11</v>
      </c>
      <c r="D212" s="1395">
        <v>1.34</v>
      </c>
      <c r="E212" s="1387">
        <f t="shared" ref="E212:E214" si="124">C212*D212*1.39</f>
        <v>20.488599999999998</v>
      </c>
      <c r="F212" s="1387">
        <f t="shared" ref="F212:F214" si="125">C212*D212*1.49</f>
        <v>21.962600000000002</v>
      </c>
      <c r="G212" s="1387">
        <f t="shared" ref="G212:G214" si="126">(F212-E212)*12</f>
        <v>17.688000000000045</v>
      </c>
    </row>
    <row r="213" spans="1:7" ht="16.5">
      <c r="A213" s="1383"/>
      <c r="B213" s="1342" t="s">
        <v>1312</v>
      </c>
      <c r="C213" s="1416"/>
      <c r="D213" s="1395">
        <v>1.1000000000000001</v>
      </c>
      <c r="E213" s="1387">
        <f t="shared" si="124"/>
        <v>0</v>
      </c>
      <c r="F213" s="1387">
        <f t="shared" si="125"/>
        <v>0</v>
      </c>
      <c r="G213" s="1387">
        <f t="shared" si="126"/>
        <v>0</v>
      </c>
    </row>
    <row r="214" spans="1:7" ht="16.5">
      <c r="A214" s="1383"/>
      <c r="B214" s="1342" t="s">
        <v>3435</v>
      </c>
      <c r="C214" s="1416">
        <v>2</v>
      </c>
      <c r="D214" s="1395">
        <v>0.86</v>
      </c>
      <c r="E214" s="1387">
        <f t="shared" si="124"/>
        <v>2.3907999999999996</v>
      </c>
      <c r="F214" s="1387">
        <f t="shared" si="125"/>
        <v>2.5627999999999997</v>
      </c>
      <c r="G214" s="1387">
        <f t="shared" si="126"/>
        <v>2.0640000000000018</v>
      </c>
    </row>
    <row r="215" spans="1:7">
      <c r="A215" s="1383">
        <v>2</v>
      </c>
      <c r="B215" s="1384" t="s">
        <v>3301</v>
      </c>
      <c r="C215" s="1393">
        <f>SUM(C216:C218)</f>
        <v>20</v>
      </c>
      <c r="D215" s="1393"/>
      <c r="E215" s="1393">
        <f>SUM(E216:E218)</f>
        <v>33.915999999999997</v>
      </c>
      <c r="F215" s="1393">
        <f>SUM(F216:F218)</f>
        <v>36.356000000000002</v>
      </c>
      <c r="G215" s="1393">
        <f>SUM(G216:G218)</f>
        <v>29.280000000000019</v>
      </c>
    </row>
    <row r="216" spans="1:7" ht="16.5">
      <c r="A216" s="1383"/>
      <c r="B216" s="1342" t="s">
        <v>129</v>
      </c>
      <c r="C216" s="1385">
        <v>14</v>
      </c>
      <c r="D216" s="1395">
        <v>1.34</v>
      </c>
      <c r="E216" s="1387">
        <f t="shared" ref="E216:E218" si="127">C216*D216*1.39</f>
        <v>26.0764</v>
      </c>
      <c r="F216" s="1387">
        <f t="shared" ref="F216:F218" si="128">C216*D216*1.49</f>
        <v>27.952400000000001</v>
      </c>
      <c r="G216" s="1387">
        <f t="shared" ref="G216:G218" si="129">(F216-E216)*12</f>
        <v>22.512000000000015</v>
      </c>
    </row>
    <row r="217" spans="1:7" ht="16.5">
      <c r="A217" s="1383"/>
      <c r="B217" s="1342" t="s">
        <v>1312</v>
      </c>
      <c r="C217" s="1385">
        <v>2</v>
      </c>
      <c r="D217" s="1395">
        <v>1.1000000000000001</v>
      </c>
      <c r="E217" s="1387">
        <f t="shared" si="127"/>
        <v>3.0579999999999998</v>
      </c>
      <c r="F217" s="1387">
        <f t="shared" si="128"/>
        <v>3.278</v>
      </c>
      <c r="G217" s="1387">
        <f t="shared" si="129"/>
        <v>2.6400000000000023</v>
      </c>
    </row>
    <row r="218" spans="1:7" ht="16.5">
      <c r="A218" s="1383"/>
      <c r="B218" s="1342" t="s">
        <v>3435</v>
      </c>
      <c r="C218" s="1385">
        <v>4</v>
      </c>
      <c r="D218" s="1395">
        <v>0.86</v>
      </c>
      <c r="E218" s="1387">
        <f t="shared" si="127"/>
        <v>4.7815999999999992</v>
      </c>
      <c r="F218" s="1387">
        <f t="shared" si="128"/>
        <v>5.1255999999999995</v>
      </c>
      <c r="G218" s="1387">
        <f t="shared" si="129"/>
        <v>4.1280000000000037</v>
      </c>
    </row>
    <row r="219" spans="1:7" ht="28.5">
      <c r="A219" s="1391" t="s">
        <v>14</v>
      </c>
      <c r="B219" s="1392" t="s">
        <v>3409</v>
      </c>
      <c r="C219" s="1393">
        <v>18</v>
      </c>
      <c r="D219" s="1396">
        <f>D220</f>
        <v>0.22500000000000001</v>
      </c>
      <c r="E219" s="1389">
        <f>E220</f>
        <v>5.6294999999999993</v>
      </c>
      <c r="F219" s="1389">
        <f>F220</f>
        <v>6.0344999999999995</v>
      </c>
      <c r="G219" s="1389">
        <f>G220</f>
        <v>4.860000000000003</v>
      </c>
    </row>
    <row r="220" spans="1:7">
      <c r="A220" s="1383">
        <v>1</v>
      </c>
      <c r="B220" s="1384" t="s">
        <v>3300</v>
      </c>
      <c r="C220" s="1385">
        <v>18</v>
      </c>
      <c r="D220" s="1397">
        <v>0.22500000000000001</v>
      </c>
      <c r="E220" s="1387">
        <f t="shared" ref="E220" si="130">C220*D220*1.39</f>
        <v>5.6294999999999993</v>
      </c>
      <c r="F220" s="1387">
        <f t="shared" ref="F220" si="131">C220*D220*1.49</f>
        <v>6.0344999999999995</v>
      </c>
      <c r="G220" s="1387">
        <f t="shared" ref="G220" si="132">(F220-E220)*12</f>
        <v>4.860000000000003</v>
      </c>
    </row>
    <row r="221" spans="1:7" ht="28.5">
      <c r="A221" s="1391" t="s">
        <v>18</v>
      </c>
      <c r="B221" s="1392" t="s">
        <v>3410</v>
      </c>
      <c r="C221" s="1393">
        <f>SUM(C222:C225)</f>
        <v>165</v>
      </c>
      <c r="D221" s="1398">
        <f>SUM(D222:D225)</f>
        <v>0.2</v>
      </c>
      <c r="E221" s="1394">
        <f>SUM(E222:E225)</f>
        <v>11.467499999999999</v>
      </c>
      <c r="F221" s="1394">
        <f>SUM(F222:F225)</f>
        <v>12.2925</v>
      </c>
      <c r="G221" s="1394">
        <f>SUM(G222:G225)</f>
        <v>9.9000000000000181</v>
      </c>
    </row>
    <row r="222" spans="1:7">
      <c r="A222" s="1383">
        <v>1</v>
      </c>
      <c r="B222" s="1384" t="s">
        <v>3306</v>
      </c>
      <c r="C222" s="1385">
        <v>0</v>
      </c>
      <c r="D222" s="1386">
        <f>0.05</f>
        <v>0.05</v>
      </c>
      <c r="E222" s="1387">
        <f t="shared" ref="E222:E225" si="133">C222*D222*1.39</f>
        <v>0</v>
      </c>
      <c r="F222" s="1387">
        <f t="shared" ref="F222:F225" si="134">C222*D222*1.49</f>
        <v>0</v>
      </c>
      <c r="G222" s="1387">
        <f t="shared" ref="G222:G225" si="135">(F222-E222)*12</f>
        <v>0</v>
      </c>
    </row>
    <row r="223" spans="1:7">
      <c r="A223" s="1383">
        <v>2</v>
      </c>
      <c r="B223" s="1384" t="s">
        <v>3300</v>
      </c>
      <c r="C223" s="1385">
        <v>0</v>
      </c>
      <c r="D223" s="1386">
        <f>0.05</f>
        <v>0.05</v>
      </c>
      <c r="E223" s="1387">
        <f t="shared" si="133"/>
        <v>0</v>
      </c>
      <c r="F223" s="1387">
        <f t="shared" si="134"/>
        <v>0</v>
      </c>
      <c r="G223" s="1387">
        <f t="shared" si="135"/>
        <v>0</v>
      </c>
    </row>
    <row r="224" spans="1:7">
      <c r="A224" s="1383">
        <v>3</v>
      </c>
      <c r="B224" s="1399" t="s">
        <v>3301</v>
      </c>
      <c r="C224" s="1385">
        <v>31</v>
      </c>
      <c r="D224" s="1386">
        <f>0.05</f>
        <v>0.05</v>
      </c>
      <c r="E224" s="1387">
        <f t="shared" si="133"/>
        <v>2.1545000000000001</v>
      </c>
      <c r="F224" s="1387">
        <f t="shared" si="134"/>
        <v>2.3094999999999999</v>
      </c>
      <c r="G224" s="1387">
        <f t="shared" si="135"/>
        <v>1.8599999999999977</v>
      </c>
    </row>
    <row r="225" spans="1:7">
      <c r="A225" s="1383">
        <v>4</v>
      </c>
      <c r="B225" s="1399" t="s">
        <v>3307</v>
      </c>
      <c r="C225" s="1385">
        <v>134</v>
      </c>
      <c r="D225" s="1386">
        <f>0.05</f>
        <v>0.05</v>
      </c>
      <c r="E225" s="1387">
        <f t="shared" si="133"/>
        <v>9.3129999999999988</v>
      </c>
      <c r="F225" s="1387">
        <f t="shared" si="134"/>
        <v>9.9830000000000005</v>
      </c>
      <c r="G225" s="1387">
        <f t="shared" si="135"/>
        <v>8.0400000000000205</v>
      </c>
    </row>
    <row r="226" spans="1:7" ht="15.75">
      <c r="A226" s="1400"/>
      <c r="B226" s="1405" t="s">
        <v>2797</v>
      </c>
      <c r="C226" s="1417">
        <f>SUM(C227,C234,C243,C246)</f>
        <v>52</v>
      </c>
      <c r="D226" s="1402"/>
      <c r="E226" s="1403">
        <f>SUM(E227,E234,E243,E246)</f>
        <v>30.878850000000003</v>
      </c>
      <c r="F226" s="1403">
        <f>SUM(F227,F234,F243,F246)</f>
        <v>33.100350000000006</v>
      </c>
      <c r="G226" s="1403">
        <f>SUM(G227,G234,G243,G246)</f>
        <v>26.658000000000044</v>
      </c>
    </row>
    <row r="227" spans="1:7">
      <c r="A227" s="1339" t="s">
        <v>13</v>
      </c>
      <c r="B227" s="1380" t="s">
        <v>3299</v>
      </c>
      <c r="C227" s="1418">
        <f>C228+C229+C233</f>
        <v>24</v>
      </c>
      <c r="D227" s="1381"/>
      <c r="E227" s="1382">
        <f>E228+E229+E233</f>
        <v>26.827000000000002</v>
      </c>
      <c r="F227" s="1382">
        <f>F228+F229+F233</f>
        <v>28.757000000000005</v>
      </c>
      <c r="G227" s="1382">
        <f>G228+G229+G233</f>
        <v>23.160000000000043</v>
      </c>
    </row>
    <row r="228" spans="1:7">
      <c r="A228" s="1383">
        <v>1</v>
      </c>
      <c r="B228" s="1384" t="s">
        <v>3300</v>
      </c>
      <c r="C228" s="1385"/>
      <c r="D228" s="1386">
        <v>1</v>
      </c>
      <c r="E228" s="1387">
        <f>C228*D228*1.39</f>
        <v>0</v>
      </c>
      <c r="F228" s="1387">
        <f>C228*D228*1.49</f>
        <v>0</v>
      </c>
      <c r="G228" s="1387">
        <f>(F228-E228)*12</f>
        <v>0</v>
      </c>
    </row>
    <row r="229" spans="1:7">
      <c r="A229" s="1383">
        <v>2</v>
      </c>
      <c r="B229" s="1384" t="s">
        <v>3301</v>
      </c>
      <c r="C229" s="1385">
        <f>SUM(C230:C232)</f>
        <v>1</v>
      </c>
      <c r="D229" s="1388">
        <f>SUM(D230:D232)</f>
        <v>2.7</v>
      </c>
      <c r="E229" s="1419">
        <f>SUM(E230:E232)</f>
        <v>1.2509999999999999</v>
      </c>
      <c r="F229" s="1419">
        <f>SUM(F230:F232)</f>
        <v>1.341</v>
      </c>
      <c r="G229" s="1419">
        <f>SUM(G230:G232)</f>
        <v>1.080000000000001</v>
      </c>
    </row>
    <row r="230" spans="1:7">
      <c r="A230" s="1383"/>
      <c r="B230" s="1390" t="s">
        <v>3302</v>
      </c>
      <c r="C230" s="1385">
        <v>1</v>
      </c>
      <c r="D230" s="1386">
        <v>0.9</v>
      </c>
      <c r="E230" s="1387">
        <f t="shared" ref="E230:E233" si="136">C230*D230*1.39</f>
        <v>1.2509999999999999</v>
      </c>
      <c r="F230" s="1387">
        <f t="shared" ref="F230:F233" si="137">C230*D230*1.49</f>
        <v>1.341</v>
      </c>
      <c r="G230" s="1387">
        <f t="shared" ref="G230:G233" si="138">(F230-E230)*12</f>
        <v>1.080000000000001</v>
      </c>
    </row>
    <row r="231" spans="1:7">
      <c r="A231" s="1383"/>
      <c r="B231" s="1390" t="s">
        <v>3303</v>
      </c>
      <c r="C231" s="1385"/>
      <c r="D231" s="1386">
        <v>0.9</v>
      </c>
      <c r="E231" s="1387">
        <f t="shared" si="136"/>
        <v>0</v>
      </c>
      <c r="F231" s="1387">
        <f t="shared" si="137"/>
        <v>0</v>
      </c>
      <c r="G231" s="1387">
        <f t="shared" si="138"/>
        <v>0</v>
      </c>
    </row>
    <row r="232" spans="1:7">
      <c r="A232" s="1383"/>
      <c r="B232" s="1390" t="s">
        <v>3304</v>
      </c>
      <c r="C232" s="1385"/>
      <c r="D232" s="1386">
        <v>0.9</v>
      </c>
      <c r="E232" s="1387">
        <f t="shared" si="136"/>
        <v>0</v>
      </c>
      <c r="F232" s="1387">
        <f t="shared" si="137"/>
        <v>0</v>
      </c>
      <c r="G232" s="1387">
        <f t="shared" si="138"/>
        <v>0</v>
      </c>
    </row>
    <row r="233" spans="1:7">
      <c r="A233" s="1383">
        <v>3</v>
      </c>
      <c r="B233" s="1384" t="s">
        <v>3305</v>
      </c>
      <c r="C233" s="1385">
        <v>23</v>
      </c>
      <c r="D233" s="1386">
        <v>0.8</v>
      </c>
      <c r="E233" s="1387">
        <f t="shared" si="136"/>
        <v>25.576000000000001</v>
      </c>
      <c r="F233" s="1387">
        <f t="shared" si="137"/>
        <v>27.416000000000004</v>
      </c>
      <c r="G233" s="1387">
        <f t="shared" si="138"/>
        <v>22.080000000000041</v>
      </c>
    </row>
    <row r="234" spans="1:7">
      <c r="A234" s="1391" t="s">
        <v>65</v>
      </c>
      <c r="B234" s="1392" t="s">
        <v>3407</v>
      </c>
      <c r="C234" s="1393">
        <f>SUM(C235,C239)</f>
        <v>1</v>
      </c>
      <c r="D234" s="1393">
        <f>SUM(D235,D239)</f>
        <v>0</v>
      </c>
      <c r="E234" s="1394">
        <f>SUM(E235,E239)</f>
        <v>1.8626</v>
      </c>
      <c r="F234" s="1394">
        <f>SUM(F235,F239)</f>
        <v>1.9966000000000002</v>
      </c>
      <c r="G234" s="1394">
        <f>SUM(G235,G239)</f>
        <v>1.6080000000000014</v>
      </c>
    </row>
    <row r="235" spans="1:7" ht="16.5">
      <c r="A235" s="1383">
        <v>1</v>
      </c>
      <c r="B235" s="1384" t="s">
        <v>3406</v>
      </c>
      <c r="C235" s="1385">
        <f>SUM(C236:C238)</f>
        <v>1</v>
      </c>
      <c r="D235" s="1395"/>
      <c r="E235" s="1385">
        <f>SUM(E236:E238)</f>
        <v>1.8626</v>
      </c>
      <c r="F235" s="1385">
        <f>SUM(F236:F238)</f>
        <v>1.9966000000000002</v>
      </c>
      <c r="G235" s="1385">
        <f>SUM(G236:G238)</f>
        <v>1.6080000000000014</v>
      </c>
    </row>
    <row r="236" spans="1:7" ht="16.5">
      <c r="A236" s="1383"/>
      <c r="B236" s="1342" t="s">
        <v>129</v>
      </c>
      <c r="C236" s="1416">
        <v>1</v>
      </c>
      <c r="D236" s="1395">
        <v>1.34</v>
      </c>
      <c r="E236" s="1387">
        <f t="shared" ref="E236:E238" si="139">C236*D236*1.39</f>
        <v>1.8626</v>
      </c>
      <c r="F236" s="1387">
        <f t="shared" ref="F236:F238" si="140">C236*D236*1.49</f>
        <v>1.9966000000000002</v>
      </c>
      <c r="G236" s="1387">
        <f t="shared" ref="G236:G238" si="141">(F236-E236)*12</f>
        <v>1.6080000000000014</v>
      </c>
    </row>
    <row r="237" spans="1:7" ht="16.5">
      <c r="A237" s="1383"/>
      <c r="B237" s="1342" t="s">
        <v>1312</v>
      </c>
      <c r="C237" s="1416"/>
      <c r="D237" s="1395">
        <v>1.1000000000000001</v>
      </c>
      <c r="E237" s="1387">
        <f t="shared" si="139"/>
        <v>0</v>
      </c>
      <c r="F237" s="1387">
        <f t="shared" si="140"/>
        <v>0</v>
      </c>
      <c r="G237" s="1387">
        <f t="shared" si="141"/>
        <v>0</v>
      </c>
    </row>
    <row r="238" spans="1:7" ht="16.5">
      <c r="A238" s="1383"/>
      <c r="B238" s="1342" t="s">
        <v>3435</v>
      </c>
      <c r="C238" s="1416"/>
      <c r="D238" s="1395">
        <v>0.86</v>
      </c>
      <c r="E238" s="1387">
        <f t="shared" si="139"/>
        <v>0</v>
      </c>
      <c r="F238" s="1387">
        <f t="shared" si="140"/>
        <v>0</v>
      </c>
      <c r="G238" s="1387">
        <f t="shared" si="141"/>
        <v>0</v>
      </c>
    </row>
    <row r="239" spans="1:7">
      <c r="A239" s="1383">
        <v>2</v>
      </c>
      <c r="B239" s="1384" t="s">
        <v>3301</v>
      </c>
      <c r="C239" s="1393">
        <f>SUM(C240:C242)</f>
        <v>0</v>
      </c>
      <c r="D239" s="1393"/>
      <c r="E239" s="1393">
        <f>SUM(E240:E242)</f>
        <v>0</v>
      </c>
      <c r="F239" s="1393">
        <f>SUM(F240:F242)</f>
        <v>0</v>
      </c>
      <c r="G239" s="1393">
        <f>SUM(G240:G242)</f>
        <v>0</v>
      </c>
    </row>
    <row r="240" spans="1:7" ht="16.5">
      <c r="A240" s="1383"/>
      <c r="B240" s="1342" t="s">
        <v>129</v>
      </c>
      <c r="C240" s="1385"/>
      <c r="D240" s="1395">
        <v>1.34</v>
      </c>
      <c r="E240" s="1387">
        <f t="shared" ref="E240:E242" si="142">C240*D240*1.39</f>
        <v>0</v>
      </c>
      <c r="F240" s="1387">
        <f t="shared" ref="F240:F242" si="143">C240*D240*1.49</f>
        <v>0</v>
      </c>
      <c r="G240" s="1387">
        <f t="shared" ref="G240:G242" si="144">(F240-E240)*12</f>
        <v>0</v>
      </c>
    </row>
    <row r="241" spans="1:7" ht="16.5">
      <c r="A241" s="1383"/>
      <c r="B241" s="1342" t="s">
        <v>1312</v>
      </c>
      <c r="C241" s="1385"/>
      <c r="D241" s="1395">
        <v>1.1000000000000001</v>
      </c>
      <c r="E241" s="1387">
        <f t="shared" si="142"/>
        <v>0</v>
      </c>
      <c r="F241" s="1387">
        <f t="shared" si="143"/>
        <v>0</v>
      </c>
      <c r="G241" s="1387">
        <f t="shared" si="144"/>
        <v>0</v>
      </c>
    </row>
    <row r="242" spans="1:7" ht="16.5">
      <c r="A242" s="1383"/>
      <c r="B242" s="1342" t="s">
        <v>3435</v>
      </c>
      <c r="C242" s="1385"/>
      <c r="D242" s="1395">
        <v>0.86</v>
      </c>
      <c r="E242" s="1387">
        <f t="shared" si="142"/>
        <v>0</v>
      </c>
      <c r="F242" s="1387">
        <f t="shared" si="143"/>
        <v>0</v>
      </c>
      <c r="G242" s="1387">
        <f t="shared" si="144"/>
        <v>0</v>
      </c>
    </row>
    <row r="243" spans="1:7" ht="28.5">
      <c r="A243" s="1391" t="s">
        <v>14</v>
      </c>
      <c r="B243" s="1392" t="s">
        <v>3409</v>
      </c>
      <c r="C243" s="1393"/>
      <c r="D243" s="1396">
        <f>D244</f>
        <v>0.22500000000000001</v>
      </c>
      <c r="E243" s="1389">
        <f>E244</f>
        <v>0.31274999999999997</v>
      </c>
      <c r="F243" s="1389">
        <f>F244</f>
        <v>0.33524999999999999</v>
      </c>
      <c r="G243" s="1389">
        <f>G244</f>
        <v>0.27000000000000024</v>
      </c>
    </row>
    <row r="244" spans="1:7">
      <c r="A244" s="1383">
        <v>1</v>
      </c>
      <c r="B244" s="1384" t="s">
        <v>3300</v>
      </c>
      <c r="C244" s="1385">
        <v>1</v>
      </c>
      <c r="D244" s="1397">
        <v>0.22500000000000001</v>
      </c>
      <c r="E244" s="1387">
        <f t="shared" ref="E244:E245" si="145">C244*D244*1.39</f>
        <v>0.31274999999999997</v>
      </c>
      <c r="F244" s="1387">
        <f t="shared" ref="F244:F245" si="146">C244*D244*1.49</f>
        <v>0.33524999999999999</v>
      </c>
      <c r="G244" s="1387">
        <f t="shared" ref="G244:G245" si="147">(F244-E244)*12</f>
        <v>0.27000000000000024</v>
      </c>
    </row>
    <row r="245" spans="1:7">
      <c r="A245" s="1383">
        <v>2</v>
      </c>
      <c r="B245" s="1733" t="s">
        <v>3454</v>
      </c>
      <c r="C245" s="1385">
        <v>23</v>
      </c>
      <c r="D245" s="1397">
        <v>4.4999999999999998E-2</v>
      </c>
      <c r="E245" s="1387">
        <f t="shared" si="145"/>
        <v>1.4386499999999998</v>
      </c>
      <c r="F245" s="1387">
        <f t="shared" si="146"/>
        <v>1.5421499999999999</v>
      </c>
      <c r="G245" s="1387">
        <f t="shared" si="147"/>
        <v>1.2420000000000018</v>
      </c>
    </row>
    <row r="246" spans="1:7" ht="28.5">
      <c r="A246" s="1391" t="s">
        <v>18</v>
      </c>
      <c r="B246" s="1392" t="s">
        <v>3410</v>
      </c>
      <c r="C246" s="1393">
        <f>SUM(C247:C250)</f>
        <v>27</v>
      </c>
      <c r="D246" s="1398">
        <f>SUM(D247:D250)</f>
        <v>0.2</v>
      </c>
      <c r="E246" s="1394">
        <f>SUM(E247:E250)</f>
        <v>1.8765000000000001</v>
      </c>
      <c r="F246" s="1394">
        <f>SUM(F247:F250)</f>
        <v>2.0115000000000003</v>
      </c>
      <c r="G246" s="1394">
        <f>SUM(G247:G250)</f>
        <v>1.6200000000000028</v>
      </c>
    </row>
    <row r="247" spans="1:7">
      <c r="A247" s="1383">
        <v>1</v>
      </c>
      <c r="B247" s="1384" t="s">
        <v>3306</v>
      </c>
      <c r="C247" s="1385">
        <v>1</v>
      </c>
      <c r="D247" s="1386">
        <f>0.05</f>
        <v>0.05</v>
      </c>
      <c r="E247" s="1387">
        <f t="shared" ref="E247:E250" si="148">C247*D247*1.39</f>
        <v>6.9499999999999992E-2</v>
      </c>
      <c r="F247" s="1387">
        <f t="shared" ref="F247:F250" si="149">C247*D247*1.49</f>
        <v>7.4499999999999997E-2</v>
      </c>
      <c r="G247" s="1387">
        <f t="shared" ref="G247:G250" si="150">(F247-E247)*12</f>
        <v>6.0000000000000053E-2</v>
      </c>
    </row>
    <row r="248" spans="1:7">
      <c r="A248" s="1383">
        <v>2</v>
      </c>
      <c r="B248" s="1384" t="s">
        <v>3300</v>
      </c>
      <c r="C248" s="1385">
        <v>2</v>
      </c>
      <c r="D248" s="1386">
        <f>0.05</f>
        <v>0.05</v>
      </c>
      <c r="E248" s="1387">
        <f t="shared" si="148"/>
        <v>0.13899999999999998</v>
      </c>
      <c r="F248" s="1387">
        <f t="shared" si="149"/>
        <v>0.14899999999999999</v>
      </c>
      <c r="G248" s="1387">
        <f t="shared" si="150"/>
        <v>0.12000000000000011</v>
      </c>
    </row>
    <row r="249" spans="1:7">
      <c r="A249" s="1383">
        <v>3</v>
      </c>
      <c r="B249" s="1399" t="s">
        <v>3301</v>
      </c>
      <c r="C249" s="1385">
        <v>1</v>
      </c>
      <c r="D249" s="1386">
        <f>0.05</f>
        <v>0.05</v>
      </c>
      <c r="E249" s="1387">
        <f t="shared" si="148"/>
        <v>6.9499999999999992E-2</v>
      </c>
      <c r="F249" s="1387">
        <f t="shared" si="149"/>
        <v>7.4499999999999997E-2</v>
      </c>
      <c r="G249" s="1387">
        <f t="shared" si="150"/>
        <v>6.0000000000000053E-2</v>
      </c>
    </row>
    <row r="250" spans="1:7">
      <c r="A250" s="1383">
        <v>4</v>
      </c>
      <c r="B250" s="1399" t="s">
        <v>3307</v>
      </c>
      <c r="C250" s="1385">
        <v>23</v>
      </c>
      <c r="D250" s="1386">
        <f>0.05</f>
        <v>0.05</v>
      </c>
      <c r="E250" s="1387">
        <f t="shared" si="148"/>
        <v>1.5985</v>
      </c>
      <c r="F250" s="1387">
        <f t="shared" si="149"/>
        <v>1.7135000000000002</v>
      </c>
      <c r="G250" s="1387">
        <f t="shared" si="150"/>
        <v>1.3800000000000026</v>
      </c>
    </row>
  </sheetData>
  <mergeCells count="4">
    <mergeCell ref="A3:G3"/>
    <mergeCell ref="A4:G4"/>
    <mergeCell ref="A32:B32"/>
    <mergeCell ref="I8:J8"/>
  </mergeCells>
  <pageMargins left="0.2" right="0.19" top="0.32" bottom="0.34" header="0.3" footer="0.3"/>
  <pageSetup paperSize="9" scale="65" orientation="landscape"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AA949-8249-4A8E-BBC0-091B7561646B}">
  <sheetPr>
    <tabColor theme="9" tint="-0.249977111117893"/>
  </sheetPr>
  <dimension ref="A1:I519"/>
  <sheetViews>
    <sheetView showZeros="0" topLeftCell="A446" workbookViewId="0">
      <selection activeCell="C18" sqref="C18"/>
    </sheetView>
  </sheetViews>
  <sheetFormatPr defaultRowHeight="15.75"/>
  <cols>
    <col min="1" max="1" width="5" style="1273" customWidth="1"/>
    <col min="2" max="2" width="62.7109375" style="1261" customWidth="1"/>
    <col min="3" max="3" width="10.85546875" style="1261" customWidth="1"/>
    <col min="4" max="4" width="14.28515625" style="1261" customWidth="1"/>
    <col min="5" max="5" width="15.42578125" style="1261" customWidth="1"/>
    <col min="6" max="6" width="15.7109375" style="1260" bestFit="1" customWidth="1"/>
    <col min="7" max="7" width="15.140625" style="1260" customWidth="1"/>
    <col min="8" max="8" width="14.140625" style="1260" customWidth="1"/>
    <col min="9" max="9" width="9.140625" style="1260"/>
    <col min="10" max="251" width="9.140625" style="1261"/>
    <col min="252" max="252" width="5" style="1261" customWidth="1"/>
    <col min="253" max="253" width="59.42578125" style="1261" customWidth="1"/>
    <col min="254" max="254" width="9.140625" style="1261"/>
    <col min="255" max="255" width="12.5703125" style="1261" customWidth="1"/>
    <col min="256" max="256" width="13.85546875" style="1261" customWidth="1"/>
    <col min="257" max="257" width="16.42578125" style="1261" customWidth="1"/>
    <col min="258" max="258" width="14.42578125" style="1261" customWidth="1"/>
    <col min="259" max="261" width="9.140625" style="1261"/>
    <col min="262" max="262" width="15.7109375" style="1261" bestFit="1" customWidth="1"/>
    <col min="263" max="263" width="15.140625" style="1261" customWidth="1"/>
    <col min="264" max="507" width="9.140625" style="1261"/>
    <col min="508" max="508" width="5" style="1261" customWidth="1"/>
    <col min="509" max="509" width="59.42578125" style="1261" customWidth="1"/>
    <col min="510" max="510" width="9.140625" style="1261"/>
    <col min="511" max="511" width="12.5703125" style="1261" customWidth="1"/>
    <col min="512" max="512" width="13.85546875" style="1261" customWidth="1"/>
    <col min="513" max="513" width="16.42578125" style="1261" customWidth="1"/>
    <col min="514" max="514" width="14.42578125" style="1261" customWidth="1"/>
    <col min="515" max="517" width="9.140625" style="1261"/>
    <col min="518" max="518" width="15.7109375" style="1261" bestFit="1" customWidth="1"/>
    <col min="519" max="519" width="15.140625" style="1261" customWidth="1"/>
    <col min="520" max="763" width="9.140625" style="1261"/>
    <col min="764" max="764" width="5" style="1261" customWidth="1"/>
    <col min="765" max="765" width="59.42578125" style="1261" customWidth="1"/>
    <col min="766" max="766" width="9.140625" style="1261"/>
    <col min="767" max="767" width="12.5703125" style="1261" customWidth="1"/>
    <col min="768" max="768" width="13.85546875" style="1261" customWidth="1"/>
    <col min="769" max="769" width="16.42578125" style="1261" customWidth="1"/>
    <col min="770" max="770" width="14.42578125" style="1261" customWidth="1"/>
    <col min="771" max="773" width="9.140625" style="1261"/>
    <col min="774" max="774" width="15.7109375" style="1261" bestFit="1" customWidth="1"/>
    <col min="775" max="775" width="15.140625" style="1261" customWidth="1"/>
    <col min="776" max="1019" width="9.140625" style="1261"/>
    <col min="1020" max="1020" width="5" style="1261" customWidth="1"/>
    <col min="1021" max="1021" width="59.42578125" style="1261" customWidth="1"/>
    <col min="1022" max="1022" width="9.140625" style="1261"/>
    <col min="1023" max="1023" width="12.5703125" style="1261" customWidth="1"/>
    <col min="1024" max="1024" width="13.85546875" style="1261" customWidth="1"/>
    <col min="1025" max="1025" width="16.42578125" style="1261" customWidth="1"/>
    <col min="1026" max="1026" width="14.42578125" style="1261" customWidth="1"/>
    <col min="1027" max="1029" width="9.140625" style="1261"/>
    <col min="1030" max="1030" width="15.7109375" style="1261" bestFit="1" customWidth="1"/>
    <col min="1031" max="1031" width="15.140625" style="1261" customWidth="1"/>
    <col min="1032" max="1275" width="9.140625" style="1261"/>
    <col min="1276" max="1276" width="5" style="1261" customWidth="1"/>
    <col min="1277" max="1277" width="59.42578125" style="1261" customWidth="1"/>
    <col min="1278" max="1278" width="9.140625" style="1261"/>
    <col min="1279" max="1279" width="12.5703125" style="1261" customWidth="1"/>
    <col min="1280" max="1280" width="13.85546875" style="1261" customWidth="1"/>
    <col min="1281" max="1281" width="16.42578125" style="1261" customWidth="1"/>
    <col min="1282" max="1282" width="14.42578125" style="1261" customWidth="1"/>
    <col min="1283" max="1285" width="9.140625" style="1261"/>
    <col min="1286" max="1286" width="15.7109375" style="1261" bestFit="1" customWidth="1"/>
    <col min="1287" max="1287" width="15.140625" style="1261" customWidth="1"/>
    <col min="1288" max="1531" width="9.140625" style="1261"/>
    <col min="1532" max="1532" width="5" style="1261" customWidth="1"/>
    <col min="1533" max="1533" width="59.42578125" style="1261" customWidth="1"/>
    <col min="1534" max="1534" width="9.140625" style="1261"/>
    <col min="1535" max="1535" width="12.5703125" style="1261" customWidth="1"/>
    <col min="1536" max="1536" width="13.85546875" style="1261" customWidth="1"/>
    <col min="1537" max="1537" width="16.42578125" style="1261" customWidth="1"/>
    <col min="1538" max="1538" width="14.42578125" style="1261" customWidth="1"/>
    <col min="1539" max="1541" width="9.140625" style="1261"/>
    <col min="1542" max="1542" width="15.7109375" style="1261" bestFit="1" customWidth="1"/>
    <col min="1543" max="1543" width="15.140625" style="1261" customWidth="1"/>
    <col min="1544" max="1787" width="9.140625" style="1261"/>
    <col min="1788" max="1788" width="5" style="1261" customWidth="1"/>
    <col min="1789" max="1789" width="59.42578125" style="1261" customWidth="1"/>
    <col min="1790" max="1790" width="9.140625" style="1261"/>
    <col min="1791" max="1791" width="12.5703125" style="1261" customWidth="1"/>
    <col min="1792" max="1792" width="13.85546875" style="1261" customWidth="1"/>
    <col min="1793" max="1793" width="16.42578125" style="1261" customWidth="1"/>
    <col min="1794" max="1794" width="14.42578125" style="1261" customWidth="1"/>
    <col min="1795" max="1797" width="9.140625" style="1261"/>
    <col min="1798" max="1798" width="15.7109375" style="1261" bestFit="1" customWidth="1"/>
    <col min="1799" max="1799" width="15.140625" style="1261" customWidth="1"/>
    <col min="1800" max="2043" width="9.140625" style="1261"/>
    <col min="2044" max="2044" width="5" style="1261" customWidth="1"/>
    <col min="2045" max="2045" width="59.42578125" style="1261" customWidth="1"/>
    <col min="2046" max="2046" width="9.140625" style="1261"/>
    <col min="2047" max="2047" width="12.5703125" style="1261" customWidth="1"/>
    <col min="2048" max="2048" width="13.85546875" style="1261" customWidth="1"/>
    <col min="2049" max="2049" width="16.42578125" style="1261" customWidth="1"/>
    <col min="2050" max="2050" width="14.42578125" style="1261" customWidth="1"/>
    <col min="2051" max="2053" width="9.140625" style="1261"/>
    <col min="2054" max="2054" width="15.7109375" style="1261" bestFit="1" customWidth="1"/>
    <col min="2055" max="2055" width="15.140625" style="1261" customWidth="1"/>
    <col min="2056" max="2299" width="9.140625" style="1261"/>
    <col min="2300" max="2300" width="5" style="1261" customWidth="1"/>
    <col min="2301" max="2301" width="59.42578125" style="1261" customWidth="1"/>
    <col min="2302" max="2302" width="9.140625" style="1261"/>
    <col min="2303" max="2303" width="12.5703125" style="1261" customWidth="1"/>
    <col min="2304" max="2304" width="13.85546875" style="1261" customWidth="1"/>
    <col min="2305" max="2305" width="16.42578125" style="1261" customWidth="1"/>
    <col min="2306" max="2306" width="14.42578125" style="1261" customWidth="1"/>
    <col min="2307" max="2309" width="9.140625" style="1261"/>
    <col min="2310" max="2310" width="15.7109375" style="1261" bestFit="1" customWidth="1"/>
    <col min="2311" max="2311" width="15.140625" style="1261" customWidth="1"/>
    <col min="2312" max="2555" width="9.140625" style="1261"/>
    <col min="2556" max="2556" width="5" style="1261" customWidth="1"/>
    <col min="2557" max="2557" width="59.42578125" style="1261" customWidth="1"/>
    <col min="2558" max="2558" width="9.140625" style="1261"/>
    <col min="2559" max="2559" width="12.5703125" style="1261" customWidth="1"/>
    <col min="2560" max="2560" width="13.85546875" style="1261" customWidth="1"/>
    <col min="2561" max="2561" width="16.42578125" style="1261" customWidth="1"/>
    <col min="2562" max="2562" width="14.42578125" style="1261" customWidth="1"/>
    <col min="2563" max="2565" width="9.140625" style="1261"/>
    <col min="2566" max="2566" width="15.7109375" style="1261" bestFit="1" customWidth="1"/>
    <col min="2567" max="2567" width="15.140625" style="1261" customWidth="1"/>
    <col min="2568" max="2811" width="9.140625" style="1261"/>
    <col min="2812" max="2812" width="5" style="1261" customWidth="1"/>
    <col min="2813" max="2813" width="59.42578125" style="1261" customWidth="1"/>
    <col min="2814" max="2814" width="9.140625" style="1261"/>
    <col min="2815" max="2815" width="12.5703125" style="1261" customWidth="1"/>
    <col min="2816" max="2816" width="13.85546875" style="1261" customWidth="1"/>
    <col min="2817" max="2817" width="16.42578125" style="1261" customWidth="1"/>
    <col min="2818" max="2818" width="14.42578125" style="1261" customWidth="1"/>
    <col min="2819" max="2821" width="9.140625" style="1261"/>
    <col min="2822" max="2822" width="15.7109375" style="1261" bestFit="1" customWidth="1"/>
    <col min="2823" max="2823" width="15.140625" style="1261" customWidth="1"/>
    <col min="2824" max="3067" width="9.140625" style="1261"/>
    <col min="3068" max="3068" width="5" style="1261" customWidth="1"/>
    <col min="3069" max="3069" width="59.42578125" style="1261" customWidth="1"/>
    <col min="3070" max="3070" width="9.140625" style="1261"/>
    <col min="3071" max="3071" width="12.5703125" style="1261" customWidth="1"/>
    <col min="3072" max="3072" width="13.85546875" style="1261" customWidth="1"/>
    <col min="3073" max="3073" width="16.42578125" style="1261" customWidth="1"/>
    <col min="3074" max="3074" width="14.42578125" style="1261" customWidth="1"/>
    <col min="3075" max="3077" width="9.140625" style="1261"/>
    <col min="3078" max="3078" width="15.7109375" style="1261" bestFit="1" customWidth="1"/>
    <col min="3079" max="3079" width="15.140625" style="1261" customWidth="1"/>
    <col min="3080" max="3323" width="9.140625" style="1261"/>
    <col min="3324" max="3324" width="5" style="1261" customWidth="1"/>
    <col min="3325" max="3325" width="59.42578125" style="1261" customWidth="1"/>
    <col min="3326" max="3326" width="9.140625" style="1261"/>
    <col min="3327" max="3327" width="12.5703125" style="1261" customWidth="1"/>
    <col min="3328" max="3328" width="13.85546875" style="1261" customWidth="1"/>
    <col min="3329" max="3329" width="16.42578125" style="1261" customWidth="1"/>
    <col min="3330" max="3330" width="14.42578125" style="1261" customWidth="1"/>
    <col min="3331" max="3333" width="9.140625" style="1261"/>
    <col min="3334" max="3334" width="15.7109375" style="1261" bestFit="1" customWidth="1"/>
    <col min="3335" max="3335" width="15.140625" style="1261" customWidth="1"/>
    <col min="3336" max="3579" width="9.140625" style="1261"/>
    <col min="3580" max="3580" width="5" style="1261" customWidth="1"/>
    <col min="3581" max="3581" width="59.42578125" style="1261" customWidth="1"/>
    <col min="3582" max="3582" width="9.140625" style="1261"/>
    <col min="3583" max="3583" width="12.5703125" style="1261" customWidth="1"/>
    <col min="3584" max="3584" width="13.85546875" style="1261" customWidth="1"/>
    <col min="3585" max="3585" width="16.42578125" style="1261" customWidth="1"/>
    <col min="3586" max="3586" width="14.42578125" style="1261" customWidth="1"/>
    <col min="3587" max="3589" width="9.140625" style="1261"/>
    <col min="3590" max="3590" width="15.7109375" style="1261" bestFit="1" customWidth="1"/>
    <col min="3591" max="3591" width="15.140625" style="1261" customWidth="1"/>
    <col min="3592" max="3835" width="9.140625" style="1261"/>
    <col min="3836" max="3836" width="5" style="1261" customWidth="1"/>
    <col min="3837" max="3837" width="59.42578125" style="1261" customWidth="1"/>
    <col min="3838" max="3838" width="9.140625" style="1261"/>
    <col min="3839" max="3839" width="12.5703125" style="1261" customWidth="1"/>
    <col min="3840" max="3840" width="13.85546875" style="1261" customWidth="1"/>
    <col min="3841" max="3841" width="16.42578125" style="1261" customWidth="1"/>
    <col min="3842" max="3842" width="14.42578125" style="1261" customWidth="1"/>
    <col min="3843" max="3845" width="9.140625" style="1261"/>
    <col min="3846" max="3846" width="15.7109375" style="1261" bestFit="1" customWidth="1"/>
    <col min="3847" max="3847" width="15.140625" style="1261" customWidth="1"/>
    <col min="3848" max="4091" width="9.140625" style="1261"/>
    <col min="4092" max="4092" width="5" style="1261" customWidth="1"/>
    <col min="4093" max="4093" width="59.42578125" style="1261" customWidth="1"/>
    <col min="4094" max="4094" width="9.140625" style="1261"/>
    <col min="4095" max="4095" width="12.5703125" style="1261" customWidth="1"/>
    <col min="4096" max="4096" width="13.85546875" style="1261" customWidth="1"/>
    <col min="4097" max="4097" width="16.42578125" style="1261" customWidth="1"/>
    <col min="4098" max="4098" width="14.42578125" style="1261" customWidth="1"/>
    <col min="4099" max="4101" width="9.140625" style="1261"/>
    <col min="4102" max="4102" width="15.7109375" style="1261" bestFit="1" customWidth="1"/>
    <col min="4103" max="4103" width="15.140625" style="1261" customWidth="1"/>
    <col min="4104" max="4347" width="9.140625" style="1261"/>
    <col min="4348" max="4348" width="5" style="1261" customWidth="1"/>
    <col min="4349" max="4349" width="59.42578125" style="1261" customWidth="1"/>
    <col min="4350" max="4350" width="9.140625" style="1261"/>
    <col min="4351" max="4351" width="12.5703125" style="1261" customWidth="1"/>
    <col min="4352" max="4352" width="13.85546875" style="1261" customWidth="1"/>
    <col min="4353" max="4353" width="16.42578125" style="1261" customWidth="1"/>
    <col min="4354" max="4354" width="14.42578125" style="1261" customWidth="1"/>
    <col min="4355" max="4357" width="9.140625" style="1261"/>
    <col min="4358" max="4358" width="15.7109375" style="1261" bestFit="1" customWidth="1"/>
    <col min="4359" max="4359" width="15.140625" style="1261" customWidth="1"/>
    <col min="4360" max="4603" width="9.140625" style="1261"/>
    <col min="4604" max="4604" width="5" style="1261" customWidth="1"/>
    <col min="4605" max="4605" width="59.42578125" style="1261" customWidth="1"/>
    <col min="4606" max="4606" width="9.140625" style="1261"/>
    <col min="4607" max="4607" width="12.5703125" style="1261" customWidth="1"/>
    <col min="4608" max="4608" width="13.85546875" style="1261" customWidth="1"/>
    <col min="4609" max="4609" width="16.42578125" style="1261" customWidth="1"/>
    <col min="4610" max="4610" width="14.42578125" style="1261" customWidth="1"/>
    <col min="4611" max="4613" width="9.140625" style="1261"/>
    <col min="4614" max="4614" width="15.7109375" style="1261" bestFit="1" customWidth="1"/>
    <col min="4615" max="4615" width="15.140625" style="1261" customWidth="1"/>
    <col min="4616" max="4859" width="9.140625" style="1261"/>
    <col min="4860" max="4860" width="5" style="1261" customWidth="1"/>
    <col min="4861" max="4861" width="59.42578125" style="1261" customWidth="1"/>
    <col min="4862" max="4862" width="9.140625" style="1261"/>
    <col min="4863" max="4863" width="12.5703125" style="1261" customWidth="1"/>
    <col min="4864" max="4864" width="13.85546875" style="1261" customWidth="1"/>
    <col min="4865" max="4865" width="16.42578125" style="1261" customWidth="1"/>
    <col min="4866" max="4866" width="14.42578125" style="1261" customWidth="1"/>
    <col min="4867" max="4869" width="9.140625" style="1261"/>
    <col min="4870" max="4870" width="15.7109375" style="1261" bestFit="1" customWidth="1"/>
    <col min="4871" max="4871" width="15.140625" style="1261" customWidth="1"/>
    <col min="4872" max="5115" width="9.140625" style="1261"/>
    <col min="5116" max="5116" width="5" style="1261" customWidth="1"/>
    <col min="5117" max="5117" width="59.42578125" style="1261" customWidth="1"/>
    <col min="5118" max="5118" width="9.140625" style="1261"/>
    <col min="5119" max="5119" width="12.5703125" style="1261" customWidth="1"/>
    <col min="5120" max="5120" width="13.85546875" style="1261" customWidth="1"/>
    <col min="5121" max="5121" width="16.42578125" style="1261" customWidth="1"/>
    <col min="5122" max="5122" width="14.42578125" style="1261" customWidth="1"/>
    <col min="5123" max="5125" width="9.140625" style="1261"/>
    <col min="5126" max="5126" width="15.7109375" style="1261" bestFit="1" customWidth="1"/>
    <col min="5127" max="5127" width="15.140625" style="1261" customWidth="1"/>
    <col min="5128" max="5371" width="9.140625" style="1261"/>
    <col min="5372" max="5372" width="5" style="1261" customWidth="1"/>
    <col min="5373" max="5373" width="59.42578125" style="1261" customWidth="1"/>
    <col min="5374" max="5374" width="9.140625" style="1261"/>
    <col min="5375" max="5375" width="12.5703125" style="1261" customWidth="1"/>
    <col min="5376" max="5376" width="13.85546875" style="1261" customWidth="1"/>
    <col min="5377" max="5377" width="16.42578125" style="1261" customWidth="1"/>
    <col min="5378" max="5378" width="14.42578125" style="1261" customWidth="1"/>
    <col min="5379" max="5381" width="9.140625" style="1261"/>
    <col min="5382" max="5382" width="15.7109375" style="1261" bestFit="1" customWidth="1"/>
    <col min="5383" max="5383" width="15.140625" style="1261" customWidth="1"/>
    <col min="5384" max="5627" width="9.140625" style="1261"/>
    <col min="5628" max="5628" width="5" style="1261" customWidth="1"/>
    <col min="5629" max="5629" width="59.42578125" style="1261" customWidth="1"/>
    <col min="5630" max="5630" width="9.140625" style="1261"/>
    <col min="5631" max="5631" width="12.5703125" style="1261" customWidth="1"/>
    <col min="5632" max="5632" width="13.85546875" style="1261" customWidth="1"/>
    <col min="5633" max="5633" width="16.42578125" style="1261" customWidth="1"/>
    <col min="5634" max="5634" width="14.42578125" style="1261" customWidth="1"/>
    <col min="5635" max="5637" width="9.140625" style="1261"/>
    <col min="5638" max="5638" width="15.7109375" style="1261" bestFit="1" customWidth="1"/>
    <col min="5639" max="5639" width="15.140625" style="1261" customWidth="1"/>
    <col min="5640" max="5883" width="9.140625" style="1261"/>
    <col min="5884" max="5884" width="5" style="1261" customWidth="1"/>
    <col min="5885" max="5885" width="59.42578125" style="1261" customWidth="1"/>
    <col min="5886" max="5886" width="9.140625" style="1261"/>
    <col min="5887" max="5887" width="12.5703125" style="1261" customWidth="1"/>
    <col min="5888" max="5888" width="13.85546875" style="1261" customWidth="1"/>
    <col min="5889" max="5889" width="16.42578125" style="1261" customWidth="1"/>
    <col min="5890" max="5890" width="14.42578125" style="1261" customWidth="1"/>
    <col min="5891" max="5893" width="9.140625" style="1261"/>
    <col min="5894" max="5894" width="15.7109375" style="1261" bestFit="1" customWidth="1"/>
    <col min="5895" max="5895" width="15.140625" style="1261" customWidth="1"/>
    <col min="5896" max="6139" width="9.140625" style="1261"/>
    <col min="6140" max="6140" width="5" style="1261" customWidth="1"/>
    <col min="6141" max="6141" width="59.42578125" style="1261" customWidth="1"/>
    <col min="6142" max="6142" width="9.140625" style="1261"/>
    <col min="6143" max="6143" width="12.5703125" style="1261" customWidth="1"/>
    <col min="6144" max="6144" width="13.85546875" style="1261" customWidth="1"/>
    <col min="6145" max="6145" width="16.42578125" style="1261" customWidth="1"/>
    <col min="6146" max="6146" width="14.42578125" style="1261" customWidth="1"/>
    <col min="6147" max="6149" width="9.140625" style="1261"/>
    <col min="6150" max="6150" width="15.7109375" style="1261" bestFit="1" customWidth="1"/>
    <col min="6151" max="6151" width="15.140625" style="1261" customWidth="1"/>
    <col min="6152" max="6395" width="9.140625" style="1261"/>
    <col min="6396" max="6396" width="5" style="1261" customWidth="1"/>
    <col min="6397" max="6397" width="59.42578125" style="1261" customWidth="1"/>
    <col min="6398" max="6398" width="9.140625" style="1261"/>
    <col min="6399" max="6399" width="12.5703125" style="1261" customWidth="1"/>
    <col min="6400" max="6400" width="13.85546875" style="1261" customWidth="1"/>
    <col min="6401" max="6401" width="16.42578125" style="1261" customWidth="1"/>
    <col min="6402" max="6402" width="14.42578125" style="1261" customWidth="1"/>
    <col min="6403" max="6405" width="9.140625" style="1261"/>
    <col min="6406" max="6406" width="15.7109375" style="1261" bestFit="1" customWidth="1"/>
    <col min="6407" max="6407" width="15.140625" style="1261" customWidth="1"/>
    <col min="6408" max="6651" width="9.140625" style="1261"/>
    <col min="6652" max="6652" width="5" style="1261" customWidth="1"/>
    <col min="6653" max="6653" width="59.42578125" style="1261" customWidth="1"/>
    <col min="6654" max="6654" width="9.140625" style="1261"/>
    <col min="6655" max="6655" width="12.5703125" style="1261" customWidth="1"/>
    <col min="6656" max="6656" width="13.85546875" style="1261" customWidth="1"/>
    <col min="6657" max="6657" width="16.42578125" style="1261" customWidth="1"/>
    <col min="6658" max="6658" width="14.42578125" style="1261" customWidth="1"/>
    <col min="6659" max="6661" width="9.140625" style="1261"/>
    <col min="6662" max="6662" width="15.7109375" style="1261" bestFit="1" customWidth="1"/>
    <col min="6663" max="6663" width="15.140625" style="1261" customWidth="1"/>
    <col min="6664" max="6907" width="9.140625" style="1261"/>
    <col min="6908" max="6908" width="5" style="1261" customWidth="1"/>
    <col min="6909" max="6909" width="59.42578125" style="1261" customWidth="1"/>
    <col min="6910" max="6910" width="9.140625" style="1261"/>
    <col min="6911" max="6911" width="12.5703125" style="1261" customWidth="1"/>
    <col min="6912" max="6912" width="13.85546875" style="1261" customWidth="1"/>
    <col min="6913" max="6913" width="16.42578125" style="1261" customWidth="1"/>
    <col min="6914" max="6914" width="14.42578125" style="1261" customWidth="1"/>
    <col min="6915" max="6917" width="9.140625" style="1261"/>
    <col min="6918" max="6918" width="15.7109375" style="1261" bestFit="1" customWidth="1"/>
    <col min="6919" max="6919" width="15.140625" style="1261" customWidth="1"/>
    <col min="6920" max="7163" width="9.140625" style="1261"/>
    <col min="7164" max="7164" width="5" style="1261" customWidth="1"/>
    <col min="7165" max="7165" width="59.42578125" style="1261" customWidth="1"/>
    <col min="7166" max="7166" width="9.140625" style="1261"/>
    <col min="7167" max="7167" width="12.5703125" style="1261" customWidth="1"/>
    <col min="7168" max="7168" width="13.85546875" style="1261" customWidth="1"/>
    <col min="7169" max="7169" width="16.42578125" style="1261" customWidth="1"/>
    <col min="7170" max="7170" width="14.42578125" style="1261" customWidth="1"/>
    <col min="7171" max="7173" width="9.140625" style="1261"/>
    <col min="7174" max="7174" width="15.7109375" style="1261" bestFit="1" customWidth="1"/>
    <col min="7175" max="7175" width="15.140625" style="1261" customWidth="1"/>
    <col min="7176" max="7419" width="9.140625" style="1261"/>
    <col min="7420" max="7420" width="5" style="1261" customWidth="1"/>
    <col min="7421" max="7421" width="59.42578125" style="1261" customWidth="1"/>
    <col min="7422" max="7422" width="9.140625" style="1261"/>
    <col min="7423" max="7423" width="12.5703125" style="1261" customWidth="1"/>
    <col min="7424" max="7424" width="13.85546875" style="1261" customWidth="1"/>
    <col min="7425" max="7425" width="16.42578125" style="1261" customWidth="1"/>
    <col min="7426" max="7426" width="14.42578125" style="1261" customWidth="1"/>
    <col min="7427" max="7429" width="9.140625" style="1261"/>
    <col min="7430" max="7430" width="15.7109375" style="1261" bestFit="1" customWidth="1"/>
    <col min="7431" max="7431" width="15.140625" style="1261" customWidth="1"/>
    <col min="7432" max="7675" width="9.140625" style="1261"/>
    <col min="7676" max="7676" width="5" style="1261" customWidth="1"/>
    <col min="7677" max="7677" width="59.42578125" style="1261" customWidth="1"/>
    <col min="7678" max="7678" width="9.140625" style="1261"/>
    <col min="7679" max="7679" width="12.5703125" style="1261" customWidth="1"/>
    <col min="7680" max="7680" width="13.85546875" style="1261" customWidth="1"/>
    <col min="7681" max="7681" width="16.42578125" style="1261" customWidth="1"/>
    <col min="7682" max="7682" width="14.42578125" style="1261" customWidth="1"/>
    <col min="7683" max="7685" width="9.140625" style="1261"/>
    <col min="7686" max="7686" width="15.7109375" style="1261" bestFit="1" customWidth="1"/>
    <col min="7687" max="7687" width="15.140625" style="1261" customWidth="1"/>
    <col min="7688" max="7931" width="9.140625" style="1261"/>
    <col min="7932" max="7932" width="5" style="1261" customWidth="1"/>
    <col min="7933" max="7933" width="59.42578125" style="1261" customWidth="1"/>
    <col min="7934" max="7934" width="9.140625" style="1261"/>
    <col min="7935" max="7935" width="12.5703125" style="1261" customWidth="1"/>
    <col min="7936" max="7936" width="13.85546875" style="1261" customWidth="1"/>
    <col min="7937" max="7937" width="16.42578125" style="1261" customWidth="1"/>
    <col min="7938" max="7938" width="14.42578125" style="1261" customWidth="1"/>
    <col min="7939" max="7941" width="9.140625" style="1261"/>
    <col min="7942" max="7942" width="15.7109375" style="1261" bestFit="1" customWidth="1"/>
    <col min="7943" max="7943" width="15.140625" style="1261" customWidth="1"/>
    <col min="7944" max="8187" width="9.140625" style="1261"/>
    <col min="8188" max="8188" width="5" style="1261" customWidth="1"/>
    <col min="8189" max="8189" width="59.42578125" style="1261" customWidth="1"/>
    <col min="8190" max="8190" width="9.140625" style="1261"/>
    <col min="8191" max="8191" width="12.5703125" style="1261" customWidth="1"/>
    <col min="8192" max="8192" width="13.85546875" style="1261" customWidth="1"/>
    <col min="8193" max="8193" width="16.42578125" style="1261" customWidth="1"/>
    <col min="8194" max="8194" width="14.42578125" style="1261" customWidth="1"/>
    <col min="8195" max="8197" width="9.140625" style="1261"/>
    <col min="8198" max="8198" width="15.7109375" style="1261" bestFit="1" customWidth="1"/>
    <col min="8199" max="8199" width="15.140625" style="1261" customWidth="1"/>
    <col min="8200" max="8443" width="9.140625" style="1261"/>
    <col min="8444" max="8444" width="5" style="1261" customWidth="1"/>
    <col min="8445" max="8445" width="59.42578125" style="1261" customWidth="1"/>
    <col min="8446" max="8446" width="9.140625" style="1261"/>
    <col min="8447" max="8447" width="12.5703125" style="1261" customWidth="1"/>
    <col min="8448" max="8448" width="13.85546875" style="1261" customWidth="1"/>
    <col min="8449" max="8449" width="16.42578125" style="1261" customWidth="1"/>
    <col min="8450" max="8450" width="14.42578125" style="1261" customWidth="1"/>
    <col min="8451" max="8453" width="9.140625" style="1261"/>
    <col min="8454" max="8454" width="15.7109375" style="1261" bestFit="1" customWidth="1"/>
    <col min="8455" max="8455" width="15.140625" style="1261" customWidth="1"/>
    <col min="8456" max="8699" width="9.140625" style="1261"/>
    <col min="8700" max="8700" width="5" style="1261" customWidth="1"/>
    <col min="8701" max="8701" width="59.42578125" style="1261" customWidth="1"/>
    <col min="8702" max="8702" width="9.140625" style="1261"/>
    <col min="8703" max="8703" width="12.5703125" style="1261" customWidth="1"/>
    <col min="8704" max="8704" width="13.85546875" style="1261" customWidth="1"/>
    <col min="8705" max="8705" width="16.42578125" style="1261" customWidth="1"/>
    <col min="8706" max="8706" width="14.42578125" style="1261" customWidth="1"/>
    <col min="8707" max="8709" width="9.140625" style="1261"/>
    <col min="8710" max="8710" width="15.7109375" style="1261" bestFit="1" customWidth="1"/>
    <col min="8711" max="8711" width="15.140625" style="1261" customWidth="1"/>
    <col min="8712" max="8955" width="9.140625" style="1261"/>
    <col min="8956" max="8956" width="5" style="1261" customWidth="1"/>
    <col min="8957" max="8957" width="59.42578125" style="1261" customWidth="1"/>
    <col min="8958" max="8958" width="9.140625" style="1261"/>
    <col min="8959" max="8959" width="12.5703125" style="1261" customWidth="1"/>
    <col min="8960" max="8960" width="13.85546875" style="1261" customWidth="1"/>
    <col min="8961" max="8961" width="16.42578125" style="1261" customWidth="1"/>
    <col min="8962" max="8962" width="14.42578125" style="1261" customWidth="1"/>
    <col min="8963" max="8965" width="9.140625" style="1261"/>
    <col min="8966" max="8966" width="15.7109375" style="1261" bestFit="1" customWidth="1"/>
    <col min="8967" max="8967" width="15.140625" style="1261" customWidth="1"/>
    <col min="8968" max="9211" width="9.140625" style="1261"/>
    <col min="9212" max="9212" width="5" style="1261" customWidth="1"/>
    <col min="9213" max="9213" width="59.42578125" style="1261" customWidth="1"/>
    <col min="9214" max="9214" width="9.140625" style="1261"/>
    <col min="9215" max="9215" width="12.5703125" style="1261" customWidth="1"/>
    <col min="9216" max="9216" width="13.85546875" style="1261" customWidth="1"/>
    <col min="9217" max="9217" width="16.42578125" style="1261" customWidth="1"/>
    <col min="9218" max="9218" width="14.42578125" style="1261" customWidth="1"/>
    <col min="9219" max="9221" width="9.140625" style="1261"/>
    <col min="9222" max="9222" width="15.7109375" style="1261" bestFit="1" customWidth="1"/>
    <col min="9223" max="9223" width="15.140625" style="1261" customWidth="1"/>
    <col min="9224" max="9467" width="9.140625" style="1261"/>
    <col min="9468" max="9468" width="5" style="1261" customWidth="1"/>
    <col min="9469" max="9469" width="59.42578125" style="1261" customWidth="1"/>
    <col min="9470" max="9470" width="9.140625" style="1261"/>
    <col min="9471" max="9471" width="12.5703125" style="1261" customWidth="1"/>
    <col min="9472" max="9472" width="13.85546875" style="1261" customWidth="1"/>
    <col min="9473" max="9473" width="16.42578125" style="1261" customWidth="1"/>
    <col min="9474" max="9474" width="14.42578125" style="1261" customWidth="1"/>
    <col min="9475" max="9477" width="9.140625" style="1261"/>
    <col min="9478" max="9478" width="15.7109375" style="1261" bestFit="1" customWidth="1"/>
    <col min="9479" max="9479" width="15.140625" style="1261" customWidth="1"/>
    <col min="9480" max="9723" width="9.140625" style="1261"/>
    <col min="9724" max="9724" width="5" style="1261" customWidth="1"/>
    <col min="9725" max="9725" width="59.42578125" style="1261" customWidth="1"/>
    <col min="9726" max="9726" width="9.140625" style="1261"/>
    <col min="9727" max="9727" width="12.5703125" style="1261" customWidth="1"/>
    <col min="9728" max="9728" width="13.85546875" style="1261" customWidth="1"/>
    <col min="9729" max="9729" width="16.42578125" style="1261" customWidth="1"/>
    <col min="9730" max="9730" width="14.42578125" style="1261" customWidth="1"/>
    <col min="9731" max="9733" width="9.140625" style="1261"/>
    <col min="9734" max="9734" width="15.7109375" style="1261" bestFit="1" customWidth="1"/>
    <col min="9735" max="9735" width="15.140625" style="1261" customWidth="1"/>
    <col min="9736" max="9979" width="9.140625" style="1261"/>
    <col min="9980" max="9980" width="5" style="1261" customWidth="1"/>
    <col min="9981" max="9981" width="59.42578125" style="1261" customWidth="1"/>
    <col min="9982" max="9982" width="9.140625" style="1261"/>
    <col min="9983" max="9983" width="12.5703125" style="1261" customWidth="1"/>
    <col min="9984" max="9984" width="13.85546875" style="1261" customWidth="1"/>
    <col min="9985" max="9985" width="16.42578125" style="1261" customWidth="1"/>
    <col min="9986" max="9986" width="14.42578125" style="1261" customWidth="1"/>
    <col min="9987" max="9989" width="9.140625" style="1261"/>
    <col min="9990" max="9990" width="15.7109375" style="1261" bestFit="1" customWidth="1"/>
    <col min="9991" max="9991" width="15.140625" style="1261" customWidth="1"/>
    <col min="9992" max="10235" width="9.140625" style="1261"/>
    <col min="10236" max="10236" width="5" style="1261" customWidth="1"/>
    <col min="10237" max="10237" width="59.42578125" style="1261" customWidth="1"/>
    <col min="10238" max="10238" width="9.140625" style="1261"/>
    <col min="10239" max="10239" width="12.5703125" style="1261" customWidth="1"/>
    <col min="10240" max="10240" width="13.85546875" style="1261" customWidth="1"/>
    <col min="10241" max="10241" width="16.42578125" style="1261" customWidth="1"/>
    <col min="10242" max="10242" width="14.42578125" style="1261" customWidth="1"/>
    <col min="10243" max="10245" width="9.140625" style="1261"/>
    <col min="10246" max="10246" width="15.7109375" style="1261" bestFit="1" customWidth="1"/>
    <col min="10247" max="10247" width="15.140625" style="1261" customWidth="1"/>
    <col min="10248" max="10491" width="9.140625" style="1261"/>
    <col min="10492" max="10492" width="5" style="1261" customWidth="1"/>
    <col min="10493" max="10493" width="59.42578125" style="1261" customWidth="1"/>
    <col min="10494" max="10494" width="9.140625" style="1261"/>
    <col min="10495" max="10495" width="12.5703125" style="1261" customWidth="1"/>
    <col min="10496" max="10496" width="13.85546875" style="1261" customWidth="1"/>
    <col min="10497" max="10497" width="16.42578125" style="1261" customWidth="1"/>
    <col min="10498" max="10498" width="14.42578125" style="1261" customWidth="1"/>
    <col min="10499" max="10501" width="9.140625" style="1261"/>
    <col min="10502" max="10502" width="15.7109375" style="1261" bestFit="1" customWidth="1"/>
    <col min="10503" max="10503" width="15.140625" style="1261" customWidth="1"/>
    <col min="10504" max="10747" width="9.140625" style="1261"/>
    <col min="10748" max="10748" width="5" style="1261" customWidth="1"/>
    <col min="10749" max="10749" width="59.42578125" style="1261" customWidth="1"/>
    <col min="10750" max="10750" width="9.140625" style="1261"/>
    <col min="10751" max="10751" width="12.5703125" style="1261" customWidth="1"/>
    <col min="10752" max="10752" width="13.85546875" style="1261" customWidth="1"/>
    <col min="10753" max="10753" width="16.42578125" style="1261" customWidth="1"/>
    <col min="10754" max="10754" width="14.42578125" style="1261" customWidth="1"/>
    <col min="10755" max="10757" width="9.140625" style="1261"/>
    <col min="10758" max="10758" width="15.7109375" style="1261" bestFit="1" customWidth="1"/>
    <col min="10759" max="10759" width="15.140625" style="1261" customWidth="1"/>
    <col min="10760" max="11003" width="9.140625" style="1261"/>
    <col min="11004" max="11004" width="5" style="1261" customWidth="1"/>
    <col min="11005" max="11005" width="59.42578125" style="1261" customWidth="1"/>
    <col min="11006" max="11006" width="9.140625" style="1261"/>
    <col min="11007" max="11007" width="12.5703125" style="1261" customWidth="1"/>
    <col min="11008" max="11008" width="13.85546875" style="1261" customWidth="1"/>
    <col min="11009" max="11009" width="16.42578125" style="1261" customWidth="1"/>
    <col min="11010" max="11010" width="14.42578125" style="1261" customWidth="1"/>
    <col min="11011" max="11013" width="9.140625" style="1261"/>
    <col min="11014" max="11014" width="15.7109375" style="1261" bestFit="1" customWidth="1"/>
    <col min="11015" max="11015" width="15.140625" style="1261" customWidth="1"/>
    <col min="11016" max="11259" width="9.140625" style="1261"/>
    <col min="11260" max="11260" width="5" style="1261" customWidth="1"/>
    <col min="11261" max="11261" width="59.42578125" style="1261" customWidth="1"/>
    <col min="11262" max="11262" width="9.140625" style="1261"/>
    <col min="11263" max="11263" width="12.5703125" style="1261" customWidth="1"/>
    <col min="11264" max="11264" width="13.85546875" style="1261" customWidth="1"/>
    <col min="11265" max="11265" width="16.42578125" style="1261" customWidth="1"/>
    <col min="11266" max="11266" width="14.42578125" style="1261" customWidth="1"/>
    <col min="11267" max="11269" width="9.140625" style="1261"/>
    <col min="11270" max="11270" width="15.7109375" style="1261" bestFit="1" customWidth="1"/>
    <col min="11271" max="11271" width="15.140625" style="1261" customWidth="1"/>
    <col min="11272" max="11515" width="9.140625" style="1261"/>
    <col min="11516" max="11516" width="5" style="1261" customWidth="1"/>
    <col min="11517" max="11517" width="59.42578125" style="1261" customWidth="1"/>
    <col min="11518" max="11518" width="9.140625" style="1261"/>
    <col min="11519" max="11519" width="12.5703125" style="1261" customWidth="1"/>
    <col min="11520" max="11520" width="13.85546875" style="1261" customWidth="1"/>
    <col min="11521" max="11521" width="16.42578125" style="1261" customWidth="1"/>
    <col min="11522" max="11522" width="14.42578125" style="1261" customWidth="1"/>
    <col min="11523" max="11525" width="9.140625" style="1261"/>
    <col min="11526" max="11526" width="15.7109375" style="1261" bestFit="1" customWidth="1"/>
    <col min="11527" max="11527" width="15.140625" style="1261" customWidth="1"/>
    <col min="11528" max="11771" width="9.140625" style="1261"/>
    <col min="11772" max="11772" width="5" style="1261" customWidth="1"/>
    <col min="11773" max="11773" width="59.42578125" style="1261" customWidth="1"/>
    <col min="11774" max="11774" width="9.140625" style="1261"/>
    <col min="11775" max="11775" width="12.5703125" style="1261" customWidth="1"/>
    <col min="11776" max="11776" width="13.85546875" style="1261" customWidth="1"/>
    <col min="11777" max="11777" width="16.42578125" style="1261" customWidth="1"/>
    <col min="11778" max="11778" width="14.42578125" style="1261" customWidth="1"/>
    <col min="11779" max="11781" width="9.140625" style="1261"/>
    <col min="11782" max="11782" width="15.7109375" style="1261" bestFit="1" customWidth="1"/>
    <col min="11783" max="11783" width="15.140625" style="1261" customWidth="1"/>
    <col min="11784" max="12027" width="9.140625" style="1261"/>
    <col min="12028" max="12028" width="5" style="1261" customWidth="1"/>
    <col min="12029" max="12029" width="59.42578125" style="1261" customWidth="1"/>
    <col min="12030" max="12030" width="9.140625" style="1261"/>
    <col min="12031" max="12031" width="12.5703125" style="1261" customWidth="1"/>
    <col min="12032" max="12032" width="13.85546875" style="1261" customWidth="1"/>
    <col min="12033" max="12033" width="16.42578125" style="1261" customWidth="1"/>
    <col min="12034" max="12034" width="14.42578125" style="1261" customWidth="1"/>
    <col min="12035" max="12037" width="9.140625" style="1261"/>
    <col min="12038" max="12038" width="15.7109375" style="1261" bestFit="1" customWidth="1"/>
    <col min="12039" max="12039" width="15.140625" style="1261" customWidth="1"/>
    <col min="12040" max="12283" width="9.140625" style="1261"/>
    <col min="12284" max="12284" width="5" style="1261" customWidth="1"/>
    <col min="12285" max="12285" width="59.42578125" style="1261" customWidth="1"/>
    <col min="12286" max="12286" width="9.140625" style="1261"/>
    <col min="12287" max="12287" width="12.5703125" style="1261" customWidth="1"/>
    <col min="12288" max="12288" width="13.85546875" style="1261" customWidth="1"/>
    <col min="12289" max="12289" width="16.42578125" style="1261" customWidth="1"/>
    <col min="12290" max="12290" width="14.42578125" style="1261" customWidth="1"/>
    <col min="12291" max="12293" width="9.140625" style="1261"/>
    <col min="12294" max="12294" width="15.7109375" style="1261" bestFit="1" customWidth="1"/>
    <col min="12295" max="12295" width="15.140625" style="1261" customWidth="1"/>
    <col min="12296" max="12539" width="9.140625" style="1261"/>
    <col min="12540" max="12540" width="5" style="1261" customWidth="1"/>
    <col min="12541" max="12541" width="59.42578125" style="1261" customWidth="1"/>
    <col min="12542" max="12542" width="9.140625" style="1261"/>
    <col min="12543" max="12543" width="12.5703125" style="1261" customWidth="1"/>
    <col min="12544" max="12544" width="13.85546875" style="1261" customWidth="1"/>
    <col min="12545" max="12545" width="16.42578125" style="1261" customWidth="1"/>
    <col min="12546" max="12546" width="14.42578125" style="1261" customWidth="1"/>
    <col min="12547" max="12549" width="9.140625" style="1261"/>
    <col min="12550" max="12550" width="15.7109375" style="1261" bestFit="1" customWidth="1"/>
    <col min="12551" max="12551" width="15.140625" style="1261" customWidth="1"/>
    <col min="12552" max="12795" width="9.140625" style="1261"/>
    <col min="12796" max="12796" width="5" style="1261" customWidth="1"/>
    <col min="12797" max="12797" width="59.42578125" style="1261" customWidth="1"/>
    <col min="12798" max="12798" width="9.140625" style="1261"/>
    <col min="12799" max="12799" width="12.5703125" style="1261" customWidth="1"/>
    <col min="12800" max="12800" width="13.85546875" style="1261" customWidth="1"/>
    <col min="12801" max="12801" width="16.42578125" style="1261" customWidth="1"/>
    <col min="12802" max="12802" width="14.42578125" style="1261" customWidth="1"/>
    <col min="12803" max="12805" width="9.140625" style="1261"/>
    <col min="12806" max="12806" width="15.7109375" style="1261" bestFit="1" customWidth="1"/>
    <col min="12807" max="12807" width="15.140625" style="1261" customWidth="1"/>
    <col min="12808" max="13051" width="9.140625" style="1261"/>
    <col min="13052" max="13052" width="5" style="1261" customWidth="1"/>
    <col min="13053" max="13053" width="59.42578125" style="1261" customWidth="1"/>
    <col min="13054" max="13054" width="9.140625" style="1261"/>
    <col min="13055" max="13055" width="12.5703125" style="1261" customWidth="1"/>
    <col min="13056" max="13056" width="13.85546875" style="1261" customWidth="1"/>
    <col min="13057" max="13057" width="16.42578125" style="1261" customWidth="1"/>
    <col min="13058" max="13058" width="14.42578125" style="1261" customWidth="1"/>
    <col min="13059" max="13061" width="9.140625" style="1261"/>
    <col min="13062" max="13062" width="15.7109375" style="1261" bestFit="1" customWidth="1"/>
    <col min="13063" max="13063" width="15.140625" style="1261" customWidth="1"/>
    <col min="13064" max="13307" width="9.140625" style="1261"/>
    <col min="13308" max="13308" width="5" style="1261" customWidth="1"/>
    <col min="13309" max="13309" width="59.42578125" style="1261" customWidth="1"/>
    <col min="13310" max="13310" width="9.140625" style="1261"/>
    <col min="13311" max="13311" width="12.5703125" style="1261" customWidth="1"/>
    <col min="13312" max="13312" width="13.85546875" style="1261" customWidth="1"/>
    <col min="13313" max="13313" width="16.42578125" style="1261" customWidth="1"/>
    <col min="13314" max="13314" width="14.42578125" style="1261" customWidth="1"/>
    <col min="13315" max="13317" width="9.140625" style="1261"/>
    <col min="13318" max="13318" width="15.7109375" style="1261" bestFit="1" customWidth="1"/>
    <col min="13319" max="13319" width="15.140625" style="1261" customWidth="1"/>
    <col min="13320" max="13563" width="9.140625" style="1261"/>
    <col min="13564" max="13564" width="5" style="1261" customWidth="1"/>
    <col min="13565" max="13565" width="59.42578125" style="1261" customWidth="1"/>
    <col min="13566" max="13566" width="9.140625" style="1261"/>
    <col min="13567" max="13567" width="12.5703125" style="1261" customWidth="1"/>
    <col min="13568" max="13568" width="13.85546875" style="1261" customWidth="1"/>
    <col min="13569" max="13569" width="16.42578125" style="1261" customWidth="1"/>
    <col min="13570" max="13570" width="14.42578125" style="1261" customWidth="1"/>
    <col min="13571" max="13573" width="9.140625" style="1261"/>
    <col min="13574" max="13574" width="15.7109375" style="1261" bestFit="1" customWidth="1"/>
    <col min="13575" max="13575" width="15.140625" style="1261" customWidth="1"/>
    <col min="13576" max="13819" width="9.140625" style="1261"/>
    <col min="13820" max="13820" width="5" style="1261" customWidth="1"/>
    <col min="13821" max="13821" width="59.42578125" style="1261" customWidth="1"/>
    <col min="13822" max="13822" width="9.140625" style="1261"/>
    <col min="13823" max="13823" width="12.5703125" style="1261" customWidth="1"/>
    <col min="13824" max="13824" width="13.85546875" style="1261" customWidth="1"/>
    <col min="13825" max="13825" width="16.42578125" style="1261" customWidth="1"/>
    <col min="13826" max="13826" width="14.42578125" style="1261" customWidth="1"/>
    <col min="13827" max="13829" width="9.140625" style="1261"/>
    <col min="13830" max="13830" width="15.7109375" style="1261" bestFit="1" customWidth="1"/>
    <col min="13831" max="13831" width="15.140625" style="1261" customWidth="1"/>
    <col min="13832" max="14075" width="9.140625" style="1261"/>
    <col min="14076" max="14076" width="5" style="1261" customWidth="1"/>
    <col min="14077" max="14077" width="59.42578125" style="1261" customWidth="1"/>
    <col min="14078" max="14078" width="9.140625" style="1261"/>
    <col min="14079" max="14079" width="12.5703125" style="1261" customWidth="1"/>
    <col min="14080" max="14080" width="13.85546875" style="1261" customWidth="1"/>
    <col min="14081" max="14081" width="16.42578125" style="1261" customWidth="1"/>
    <col min="14082" max="14082" width="14.42578125" style="1261" customWidth="1"/>
    <col min="14083" max="14085" width="9.140625" style="1261"/>
    <col min="14086" max="14086" width="15.7109375" style="1261" bestFit="1" customWidth="1"/>
    <col min="14087" max="14087" width="15.140625" style="1261" customWidth="1"/>
    <col min="14088" max="14331" width="9.140625" style="1261"/>
    <col min="14332" max="14332" width="5" style="1261" customWidth="1"/>
    <col min="14333" max="14333" width="59.42578125" style="1261" customWidth="1"/>
    <col min="14334" max="14334" width="9.140625" style="1261"/>
    <col min="14335" max="14335" width="12.5703125" style="1261" customWidth="1"/>
    <col min="14336" max="14336" width="13.85546875" style="1261" customWidth="1"/>
    <col min="14337" max="14337" width="16.42578125" style="1261" customWidth="1"/>
    <col min="14338" max="14338" width="14.42578125" style="1261" customWidth="1"/>
    <col min="14339" max="14341" width="9.140625" style="1261"/>
    <col min="14342" max="14342" width="15.7109375" style="1261" bestFit="1" customWidth="1"/>
    <col min="14343" max="14343" width="15.140625" style="1261" customWidth="1"/>
    <col min="14344" max="14587" width="9.140625" style="1261"/>
    <col min="14588" max="14588" width="5" style="1261" customWidth="1"/>
    <col min="14589" max="14589" width="59.42578125" style="1261" customWidth="1"/>
    <col min="14590" max="14590" width="9.140625" style="1261"/>
    <col min="14591" max="14591" width="12.5703125" style="1261" customWidth="1"/>
    <col min="14592" max="14592" width="13.85546875" style="1261" customWidth="1"/>
    <col min="14593" max="14593" width="16.42578125" style="1261" customWidth="1"/>
    <col min="14594" max="14594" width="14.42578125" style="1261" customWidth="1"/>
    <col min="14595" max="14597" width="9.140625" style="1261"/>
    <col min="14598" max="14598" width="15.7109375" style="1261" bestFit="1" customWidth="1"/>
    <col min="14599" max="14599" width="15.140625" style="1261" customWidth="1"/>
    <col min="14600" max="14843" width="9.140625" style="1261"/>
    <col min="14844" max="14844" width="5" style="1261" customWidth="1"/>
    <col min="14845" max="14845" width="59.42578125" style="1261" customWidth="1"/>
    <col min="14846" max="14846" width="9.140625" style="1261"/>
    <col min="14847" max="14847" width="12.5703125" style="1261" customWidth="1"/>
    <col min="14848" max="14848" width="13.85546875" style="1261" customWidth="1"/>
    <col min="14849" max="14849" width="16.42578125" style="1261" customWidth="1"/>
    <col min="14850" max="14850" width="14.42578125" style="1261" customWidth="1"/>
    <col min="14851" max="14853" width="9.140625" style="1261"/>
    <col min="14854" max="14854" width="15.7109375" style="1261" bestFit="1" customWidth="1"/>
    <col min="14855" max="14855" width="15.140625" style="1261" customWidth="1"/>
    <col min="14856" max="15099" width="9.140625" style="1261"/>
    <col min="15100" max="15100" width="5" style="1261" customWidth="1"/>
    <col min="15101" max="15101" width="59.42578125" style="1261" customWidth="1"/>
    <col min="15102" max="15102" width="9.140625" style="1261"/>
    <col min="15103" max="15103" width="12.5703125" style="1261" customWidth="1"/>
    <col min="15104" max="15104" width="13.85546875" style="1261" customWidth="1"/>
    <col min="15105" max="15105" width="16.42578125" style="1261" customWidth="1"/>
    <col min="15106" max="15106" width="14.42578125" style="1261" customWidth="1"/>
    <col min="15107" max="15109" width="9.140625" style="1261"/>
    <col min="15110" max="15110" width="15.7109375" style="1261" bestFit="1" customWidth="1"/>
    <col min="15111" max="15111" width="15.140625" style="1261" customWidth="1"/>
    <col min="15112" max="15355" width="9.140625" style="1261"/>
    <col min="15356" max="15356" width="5" style="1261" customWidth="1"/>
    <col min="15357" max="15357" width="59.42578125" style="1261" customWidth="1"/>
    <col min="15358" max="15358" width="9.140625" style="1261"/>
    <col min="15359" max="15359" width="12.5703125" style="1261" customWidth="1"/>
    <col min="15360" max="15360" width="13.85546875" style="1261" customWidth="1"/>
    <col min="15361" max="15361" width="16.42578125" style="1261" customWidth="1"/>
    <col min="15362" max="15362" width="14.42578125" style="1261" customWidth="1"/>
    <col min="15363" max="15365" width="9.140625" style="1261"/>
    <col min="15366" max="15366" width="15.7109375" style="1261" bestFit="1" customWidth="1"/>
    <col min="15367" max="15367" width="15.140625" style="1261" customWidth="1"/>
    <col min="15368" max="15611" width="9.140625" style="1261"/>
    <col min="15612" max="15612" width="5" style="1261" customWidth="1"/>
    <col min="15613" max="15613" width="59.42578125" style="1261" customWidth="1"/>
    <col min="15614" max="15614" width="9.140625" style="1261"/>
    <col min="15615" max="15615" width="12.5703125" style="1261" customWidth="1"/>
    <col min="15616" max="15616" width="13.85546875" style="1261" customWidth="1"/>
    <col min="15617" max="15617" width="16.42578125" style="1261" customWidth="1"/>
    <col min="15618" max="15618" width="14.42578125" style="1261" customWidth="1"/>
    <col min="15619" max="15621" width="9.140625" style="1261"/>
    <col min="15622" max="15622" width="15.7109375" style="1261" bestFit="1" customWidth="1"/>
    <col min="15623" max="15623" width="15.140625" style="1261" customWidth="1"/>
    <col min="15624" max="15867" width="9.140625" style="1261"/>
    <col min="15868" max="15868" width="5" style="1261" customWidth="1"/>
    <col min="15869" max="15869" width="59.42578125" style="1261" customWidth="1"/>
    <col min="15870" max="15870" width="9.140625" style="1261"/>
    <col min="15871" max="15871" width="12.5703125" style="1261" customWidth="1"/>
    <col min="15872" max="15872" width="13.85546875" style="1261" customWidth="1"/>
    <col min="15873" max="15873" width="16.42578125" style="1261" customWidth="1"/>
    <col min="15874" max="15874" width="14.42578125" style="1261" customWidth="1"/>
    <col min="15875" max="15877" width="9.140625" style="1261"/>
    <col min="15878" max="15878" width="15.7109375" style="1261" bestFit="1" customWidth="1"/>
    <col min="15879" max="15879" width="15.140625" style="1261" customWidth="1"/>
    <col min="15880" max="16123" width="9.140625" style="1261"/>
    <col min="16124" max="16124" width="5" style="1261" customWidth="1"/>
    <col min="16125" max="16125" width="59.42578125" style="1261" customWidth="1"/>
    <col min="16126" max="16126" width="9.140625" style="1261"/>
    <col min="16127" max="16127" width="12.5703125" style="1261" customWidth="1"/>
    <col min="16128" max="16128" width="13.85546875" style="1261" customWidth="1"/>
    <col min="16129" max="16129" width="16.42578125" style="1261" customWidth="1"/>
    <col min="16130" max="16130" width="14.42578125" style="1261" customWidth="1"/>
    <col min="16131" max="16133" width="9.140625" style="1261"/>
    <col min="16134" max="16134" width="15.7109375" style="1261" bestFit="1" customWidth="1"/>
    <col min="16135" max="16135" width="15.140625" style="1261" customWidth="1"/>
    <col min="16136" max="16384" width="9.140625" style="1261"/>
  </cols>
  <sheetData>
    <row r="1" spans="1:9" s="1259" customFormat="1">
      <c r="A1" s="1999" t="s">
        <v>3418</v>
      </c>
      <c r="B1" s="1999"/>
      <c r="F1" s="1260" t="s">
        <v>3432</v>
      </c>
      <c r="G1" s="1260"/>
      <c r="H1" s="1260"/>
      <c r="I1" s="1260"/>
    </row>
    <row r="2" spans="1:9" s="1259" customFormat="1">
      <c r="A2" s="2000"/>
      <c r="B2" s="2000"/>
      <c r="F2" s="1260"/>
      <c r="G2" s="1260"/>
      <c r="H2" s="1260"/>
      <c r="I2" s="1260"/>
    </row>
    <row r="3" spans="1:9" s="1259" customFormat="1" ht="18.75">
      <c r="A3" s="1997" t="s">
        <v>3419</v>
      </c>
      <c r="B3" s="1997"/>
      <c r="C3" s="1997"/>
      <c r="D3" s="1997"/>
      <c r="E3" s="1997"/>
      <c r="F3" s="1997"/>
      <c r="G3" s="1997"/>
      <c r="H3" s="1260"/>
      <c r="I3" s="1260"/>
    </row>
    <row r="4" spans="1:9">
      <c r="A4" s="1998" t="s">
        <v>3421</v>
      </c>
      <c r="B4" s="1998"/>
      <c r="C4" s="1998"/>
      <c r="D4" s="1998"/>
      <c r="E4" s="1998"/>
      <c r="F4" s="1998"/>
      <c r="G4" s="1998"/>
    </row>
    <row r="5" spans="1:9">
      <c r="A5" s="1274"/>
      <c r="B5" s="1274"/>
      <c r="C5" s="1274"/>
      <c r="D5" s="1274"/>
    </row>
    <row r="7" spans="1:9" s="1264" customFormat="1" ht="76.5" customHeight="1">
      <c r="A7" s="1262" t="s">
        <v>3308</v>
      </c>
      <c r="B7" s="1262" t="s">
        <v>28</v>
      </c>
      <c r="C7" s="1263" t="s">
        <v>3298</v>
      </c>
      <c r="D7" s="1263" t="s">
        <v>3339</v>
      </c>
      <c r="E7" s="1339" t="s">
        <v>3413</v>
      </c>
      <c r="F7" s="1339" t="s">
        <v>3414</v>
      </c>
      <c r="G7" s="1339" t="s">
        <v>3417</v>
      </c>
      <c r="H7" s="1265"/>
      <c r="I7" s="1265"/>
    </row>
    <row r="8" spans="1:9" s="1353" customFormat="1" ht="15">
      <c r="A8" s="1351"/>
      <c r="B8" s="1351"/>
      <c r="C8" s="1351">
        <v>1</v>
      </c>
      <c r="D8" s="1351">
        <v>2</v>
      </c>
      <c r="E8" s="1315" t="s">
        <v>3415</v>
      </c>
      <c r="F8" s="1317" t="s">
        <v>3416</v>
      </c>
      <c r="G8" s="1315" t="s">
        <v>3404</v>
      </c>
      <c r="H8" s="1352"/>
      <c r="I8" s="1352"/>
    </row>
    <row r="9" spans="1:9" s="1259" customFormat="1">
      <c r="A9" s="1275"/>
      <c r="B9" s="1275" t="s">
        <v>2509</v>
      </c>
      <c r="C9" s="1268">
        <f>SUM(C10,C25,C34,C45,C48,C56)</f>
        <v>7180</v>
      </c>
      <c r="D9" s="1268"/>
      <c r="E9" s="1268">
        <f>SUM(E10,E25,E34,E45,E48,E56)</f>
        <v>1339.3686</v>
      </c>
      <c r="F9" s="1268">
        <f>SUM(F10,F25,F34,F45,F48,F56)</f>
        <v>1430.5326</v>
      </c>
      <c r="G9" s="1268">
        <f>SUM(G10,G25,G34,G45,G48,G56)</f>
        <v>1093.9680000000012</v>
      </c>
      <c r="H9" s="1260"/>
      <c r="I9" s="1260"/>
    </row>
    <row r="10" spans="1:9" s="1259" customFormat="1">
      <c r="A10" s="1275" t="s">
        <v>13</v>
      </c>
      <c r="B10" s="1270" t="s">
        <v>3309</v>
      </c>
      <c r="C10" s="1268">
        <f>SUM(C11,C24)</f>
        <v>396</v>
      </c>
      <c r="D10" s="1271"/>
      <c r="E10" s="1268">
        <f>SUM(E11,E24)</f>
        <v>596.50459999999998</v>
      </c>
      <c r="F10" s="1268">
        <f>SUM(F11,F24)</f>
        <v>639.41859999999997</v>
      </c>
      <c r="G10" s="1268">
        <f>SUM(G11,G24)</f>
        <v>514.96800000000053</v>
      </c>
      <c r="H10" s="1260"/>
      <c r="I10" s="1260"/>
    </row>
    <row r="11" spans="1:9" s="1259" customFormat="1" ht="18.75" customHeight="1">
      <c r="A11" s="1275">
        <v>1</v>
      </c>
      <c r="B11" s="1340" t="s">
        <v>3422</v>
      </c>
      <c r="C11" s="1268">
        <f>SUM(C12,C15)</f>
        <v>396</v>
      </c>
      <c r="D11" s="1271">
        <f>D12+D15</f>
        <v>0</v>
      </c>
      <c r="E11" s="1268">
        <f>SUM(E12,E15)</f>
        <v>596.50459999999998</v>
      </c>
      <c r="F11" s="1268">
        <f>SUM(F12,F15)</f>
        <v>639.41859999999997</v>
      </c>
      <c r="G11" s="1268">
        <f>SUM(G12,G15)</f>
        <v>514.96800000000053</v>
      </c>
      <c r="H11" s="1260"/>
      <c r="I11" s="1260"/>
    </row>
    <row r="12" spans="1:9" s="1259" customFormat="1">
      <c r="A12" s="1275"/>
      <c r="B12" s="1341" t="s">
        <v>3310</v>
      </c>
      <c r="C12" s="1268">
        <f>C13+C14</f>
        <v>199</v>
      </c>
      <c r="D12" s="1269"/>
      <c r="E12" s="1268">
        <f>E13+E14</f>
        <v>276.61</v>
      </c>
      <c r="F12" s="1268">
        <f>F13+F14</f>
        <v>296.51</v>
      </c>
      <c r="G12" s="1268">
        <f>G13+G14</f>
        <v>238.80000000000041</v>
      </c>
      <c r="H12" s="1260"/>
      <c r="I12" s="1260"/>
    </row>
    <row r="13" spans="1:9">
      <c r="A13" s="1266"/>
      <c r="B13" s="1342" t="s">
        <v>3311</v>
      </c>
      <c r="C13" s="1267">
        <f>SUM(C64,C115,C166,C217,C268,C320,C371,C422,C473)</f>
        <v>101</v>
      </c>
      <c r="D13" s="1343">
        <v>1</v>
      </c>
      <c r="E13" s="1267">
        <f>C13*D13*1.39</f>
        <v>140.38999999999999</v>
      </c>
      <c r="F13" s="1421">
        <f>C13*D13*1.49</f>
        <v>150.49</v>
      </c>
      <c r="G13" s="1421">
        <f>(F13-E13)*12</f>
        <v>121.20000000000027</v>
      </c>
    </row>
    <row r="14" spans="1:9">
      <c r="A14" s="1266"/>
      <c r="B14" s="1342" t="s">
        <v>3312</v>
      </c>
      <c r="C14" s="1267">
        <f>SUM(C65,C116,C167,C218,C269,C321,C372,C423,C474)</f>
        <v>98</v>
      </c>
      <c r="D14" s="1343">
        <v>1</v>
      </c>
      <c r="E14" s="1267">
        <f>C14*D14*1.39</f>
        <v>136.22</v>
      </c>
      <c r="F14" s="1421">
        <f>C14*D14*1.49</f>
        <v>146.02000000000001</v>
      </c>
      <c r="G14" s="1421">
        <f>(F14-E14)*12</f>
        <v>117.60000000000014</v>
      </c>
    </row>
    <row r="15" spans="1:9" s="1259" customFormat="1">
      <c r="A15" s="1275"/>
      <c r="B15" s="1341" t="s">
        <v>3423</v>
      </c>
      <c r="C15" s="1268">
        <f>C16+C20</f>
        <v>197</v>
      </c>
      <c r="D15" s="1269"/>
      <c r="E15" s="1268">
        <f>E16+E20</f>
        <v>319.89459999999997</v>
      </c>
      <c r="F15" s="1268">
        <f>F16+F20</f>
        <v>342.90859999999998</v>
      </c>
      <c r="G15" s="1268">
        <f>G16+G20</f>
        <v>276.16800000000018</v>
      </c>
      <c r="H15" s="1260"/>
      <c r="I15" s="1260"/>
    </row>
    <row r="16" spans="1:9">
      <c r="A16" s="1266"/>
      <c r="B16" s="1342" t="s">
        <v>3311</v>
      </c>
      <c r="C16" s="1267">
        <f>SUM(C17:C19)</f>
        <v>102</v>
      </c>
      <c r="D16" s="1344"/>
      <c r="E16" s="1267">
        <f>SUM(E17:E19)</f>
        <v>171.30359999999999</v>
      </c>
      <c r="F16" s="1267">
        <f>SUM(F17:F19)</f>
        <v>183.6276</v>
      </c>
      <c r="G16" s="1267">
        <f>SUM(G17:G19)</f>
        <v>147.88800000000015</v>
      </c>
    </row>
    <row r="17" spans="1:9">
      <c r="A17" s="1266"/>
      <c r="B17" s="1342" t="s">
        <v>3436</v>
      </c>
      <c r="C17" s="1267">
        <f>SUM(C68,C119,C170,C221,C272,C324,C375,C426,C477)</f>
        <v>59</v>
      </c>
      <c r="D17" s="1734">
        <v>1.34</v>
      </c>
      <c r="E17" s="1267">
        <f t="shared" ref="E17:E19" si="0">C17*D17*1.39</f>
        <v>109.8934</v>
      </c>
      <c r="F17" s="1421">
        <f t="shared" ref="F17:F19" si="1">C17*D17*1.49</f>
        <v>117.79940000000001</v>
      </c>
      <c r="G17" s="1421">
        <f>(F17-E17)*12</f>
        <v>94.872000000000071</v>
      </c>
    </row>
    <row r="18" spans="1:9">
      <c r="A18" s="1266"/>
      <c r="B18" s="1342" t="s">
        <v>3437</v>
      </c>
      <c r="C18" s="1267">
        <f>SUM(C69,C120,C171,C222,C273,C325,C376,C427,C478)</f>
        <v>30</v>
      </c>
      <c r="D18" s="1734">
        <v>1.1000000000000001</v>
      </c>
      <c r="E18" s="1267">
        <f t="shared" si="0"/>
        <v>45.87</v>
      </c>
      <c r="F18" s="1421">
        <f t="shared" si="1"/>
        <v>49.17</v>
      </c>
      <c r="G18" s="1421">
        <f>(F18-E18)*12</f>
        <v>39.600000000000051</v>
      </c>
    </row>
    <row r="19" spans="1:9">
      <c r="A19" s="1266"/>
      <c r="B19" s="1342" t="s">
        <v>3438</v>
      </c>
      <c r="C19" s="1267">
        <f>SUM(C70,C121,C172,C223,C274,C326,C377,C428,C479)</f>
        <v>13</v>
      </c>
      <c r="D19" s="1734">
        <v>0.86</v>
      </c>
      <c r="E19" s="1267">
        <f t="shared" si="0"/>
        <v>15.540199999999999</v>
      </c>
      <c r="F19" s="1421">
        <f t="shared" si="1"/>
        <v>16.658200000000001</v>
      </c>
      <c r="G19" s="1421">
        <f>(F19-E19)*12</f>
        <v>13.416000000000025</v>
      </c>
    </row>
    <row r="20" spans="1:9">
      <c r="A20" s="1266"/>
      <c r="B20" s="1342" t="s">
        <v>3312</v>
      </c>
      <c r="C20" s="1267">
        <f>SUM(C21:C23)</f>
        <v>95</v>
      </c>
      <c r="D20" s="1343"/>
      <c r="E20" s="1267">
        <f>SUM(E21:E23)</f>
        <v>148.59100000000001</v>
      </c>
      <c r="F20" s="1267">
        <f>SUM(F21:F23)</f>
        <v>159.28100000000001</v>
      </c>
      <c r="G20" s="1267">
        <f>SUM(G21:G23)</f>
        <v>128.28000000000003</v>
      </c>
    </row>
    <row r="21" spans="1:9">
      <c r="A21" s="1266"/>
      <c r="B21" s="1342" t="s">
        <v>129</v>
      </c>
      <c r="C21" s="1267">
        <f>SUM(C72,C123,C174,C225,C276,C328,C379,C430,C481)</f>
        <v>49</v>
      </c>
      <c r="D21" s="1734">
        <v>1.34</v>
      </c>
      <c r="E21" s="1267">
        <f t="shared" ref="E21:E23" si="2">C21*D21*1.39</f>
        <v>91.267400000000009</v>
      </c>
      <c r="F21" s="1421">
        <f t="shared" ref="F21:F23" si="3">C21*D21*1.49</f>
        <v>97.833400000000012</v>
      </c>
      <c r="G21" s="1421">
        <f>(F21-E21)*12</f>
        <v>78.79200000000003</v>
      </c>
    </row>
    <row r="22" spans="1:9">
      <c r="A22" s="1266"/>
      <c r="B22" s="1342" t="s">
        <v>1312</v>
      </c>
      <c r="C22" s="1267">
        <f>SUM(C73,C124,C175,C226,C277,C329,C380,C431,C482)</f>
        <v>7</v>
      </c>
      <c r="D22" s="1734">
        <v>1.1000000000000001</v>
      </c>
      <c r="E22" s="1267">
        <f t="shared" si="2"/>
        <v>10.703000000000001</v>
      </c>
      <c r="F22" s="1421">
        <f t="shared" si="3"/>
        <v>11.473000000000001</v>
      </c>
      <c r="G22" s="1421">
        <f>(F22-E22)*12</f>
        <v>9.2399999999999949</v>
      </c>
    </row>
    <row r="23" spans="1:9">
      <c r="A23" s="1266"/>
      <c r="B23" s="1342" t="s">
        <v>3435</v>
      </c>
      <c r="C23" s="1267">
        <f>SUM(C74,C125,C176,C227,C278,C330,C381,C432,C483)</f>
        <v>39</v>
      </c>
      <c r="D23" s="1734">
        <v>0.86</v>
      </c>
      <c r="E23" s="1267">
        <f t="shared" si="2"/>
        <v>46.620599999999996</v>
      </c>
      <c r="F23" s="1421">
        <f t="shared" si="3"/>
        <v>49.974599999999995</v>
      </c>
      <c r="G23" s="1421">
        <f>(F23-E23)*12</f>
        <v>40.24799999999999</v>
      </c>
    </row>
    <row r="24" spans="1:9" s="1259" customFormat="1">
      <c r="A24" s="1275">
        <v>2</v>
      </c>
      <c r="B24" s="1268" t="s">
        <v>3313</v>
      </c>
      <c r="C24" s="1268"/>
      <c r="D24" s="1271">
        <v>0.5</v>
      </c>
      <c r="E24" s="1267">
        <f>C24*D24*1.39</f>
        <v>0</v>
      </c>
      <c r="F24" s="1421">
        <f>C24*D24*1.49</f>
        <v>0</v>
      </c>
      <c r="G24" s="1421">
        <f>(F24-E24)*12</f>
        <v>0</v>
      </c>
      <c r="H24" s="1260"/>
      <c r="I24" s="1260"/>
    </row>
    <row r="25" spans="1:9" s="1259" customFormat="1">
      <c r="A25" s="1275" t="s">
        <v>65</v>
      </c>
      <c r="B25" s="1270" t="s">
        <v>3314</v>
      </c>
      <c r="C25" s="1268">
        <f>SUM(C26:C33)</f>
        <v>1691</v>
      </c>
      <c r="D25" s="1271"/>
      <c r="E25" s="1268">
        <f>SUM(E26:E33)</f>
        <v>359.315</v>
      </c>
      <c r="F25" s="1268">
        <f>SUM(F26:F33)</f>
        <v>385.16499999999996</v>
      </c>
      <c r="G25" s="1268">
        <f>SUM(G26:G33)</f>
        <v>310.20000000000022</v>
      </c>
      <c r="H25" s="1260"/>
      <c r="I25" s="1260"/>
    </row>
    <row r="26" spans="1:9">
      <c r="A26" s="1266">
        <v>1</v>
      </c>
      <c r="B26" s="1267" t="s">
        <v>3315</v>
      </c>
      <c r="C26" s="1267">
        <f t="shared" ref="C26:C33" si="4">SUM(C77,C128,C179,C230,C281,C333,C384,C435,C486)</f>
        <v>101</v>
      </c>
      <c r="D26" s="1344">
        <v>0.24</v>
      </c>
      <c r="E26" s="1267">
        <f t="shared" ref="E26:E33" si="5">C26*D26*1.39</f>
        <v>33.693599999999996</v>
      </c>
      <c r="F26" s="1421">
        <f t="shared" ref="F26:F33" si="6">C26*D26*1.49</f>
        <v>36.117599999999996</v>
      </c>
      <c r="G26" s="1421">
        <f t="shared" ref="G26:G33" si="7">(F26-E26)*12</f>
        <v>29.087999999999994</v>
      </c>
    </row>
    <row r="27" spans="1:9">
      <c r="A27" s="1266">
        <v>2</v>
      </c>
      <c r="B27" s="1267" t="s">
        <v>3316</v>
      </c>
      <c r="C27" s="1267">
        <f t="shared" si="4"/>
        <v>101</v>
      </c>
      <c r="D27" s="1344">
        <v>0.24</v>
      </c>
      <c r="E27" s="1267">
        <f t="shared" si="5"/>
        <v>33.693599999999996</v>
      </c>
      <c r="F27" s="1421">
        <f t="shared" si="6"/>
        <v>36.117599999999996</v>
      </c>
      <c r="G27" s="1421">
        <f t="shared" si="7"/>
        <v>29.087999999999994</v>
      </c>
    </row>
    <row r="28" spans="1:9">
      <c r="A28" s="1266">
        <v>3</v>
      </c>
      <c r="B28" s="1267" t="s">
        <v>3317</v>
      </c>
      <c r="C28" s="1267">
        <f t="shared" si="4"/>
        <v>101</v>
      </c>
      <c r="D28" s="1344">
        <v>0.22</v>
      </c>
      <c r="E28" s="1267">
        <f t="shared" si="5"/>
        <v>30.885799999999996</v>
      </c>
      <c r="F28" s="1421">
        <f t="shared" si="6"/>
        <v>33.107799999999997</v>
      </c>
      <c r="G28" s="1421">
        <f t="shared" si="7"/>
        <v>26.664000000000016</v>
      </c>
    </row>
    <row r="29" spans="1:9">
      <c r="A29" s="1266">
        <v>4</v>
      </c>
      <c r="B29" s="1267" t="s">
        <v>3318</v>
      </c>
      <c r="C29" s="1267">
        <f t="shared" si="4"/>
        <v>195</v>
      </c>
      <c r="D29" s="1344">
        <v>0.22</v>
      </c>
      <c r="E29" s="1267">
        <f t="shared" si="5"/>
        <v>59.630999999999993</v>
      </c>
      <c r="F29" s="1421">
        <f t="shared" si="6"/>
        <v>63.920999999999999</v>
      </c>
      <c r="G29" s="1421">
        <f t="shared" si="7"/>
        <v>51.480000000000075</v>
      </c>
    </row>
    <row r="30" spans="1:9">
      <c r="A30" s="1266">
        <v>5</v>
      </c>
      <c r="B30" s="1267" t="s">
        <v>3319</v>
      </c>
      <c r="C30" s="1267">
        <f t="shared" si="4"/>
        <v>345</v>
      </c>
      <c r="D30" s="1344">
        <v>0.1</v>
      </c>
      <c r="E30" s="1267">
        <f t="shared" si="5"/>
        <v>47.954999999999998</v>
      </c>
      <c r="F30" s="1421">
        <f t="shared" si="6"/>
        <v>51.405000000000001</v>
      </c>
      <c r="G30" s="1421">
        <f t="shared" si="7"/>
        <v>41.400000000000034</v>
      </c>
    </row>
    <row r="31" spans="1:9">
      <c r="A31" s="1266">
        <v>6</v>
      </c>
      <c r="B31" s="1267" t="s">
        <v>3320</v>
      </c>
      <c r="C31" s="1267">
        <f t="shared" si="4"/>
        <v>108</v>
      </c>
      <c r="D31" s="1344">
        <v>0.2</v>
      </c>
      <c r="E31" s="1267">
        <f t="shared" si="5"/>
        <v>30.024000000000001</v>
      </c>
      <c r="F31" s="1421">
        <f t="shared" si="6"/>
        <v>32.184000000000005</v>
      </c>
      <c r="G31" s="1421">
        <f t="shared" si="7"/>
        <v>25.920000000000044</v>
      </c>
    </row>
    <row r="32" spans="1:9">
      <c r="A32" s="1266">
        <v>7</v>
      </c>
      <c r="B32" s="1267" t="s">
        <v>3321</v>
      </c>
      <c r="C32" s="1267">
        <f t="shared" si="4"/>
        <v>77</v>
      </c>
      <c r="D32" s="1344">
        <v>0.12</v>
      </c>
      <c r="E32" s="1267">
        <f t="shared" si="5"/>
        <v>12.843599999999999</v>
      </c>
      <c r="F32" s="1421">
        <f t="shared" si="6"/>
        <v>13.7676</v>
      </c>
      <c r="G32" s="1421">
        <f t="shared" si="7"/>
        <v>11.088000000000015</v>
      </c>
    </row>
    <row r="33" spans="1:9">
      <c r="A33" s="1266">
        <v>8</v>
      </c>
      <c r="B33" s="1267" t="s">
        <v>3425</v>
      </c>
      <c r="C33" s="1267">
        <f t="shared" si="4"/>
        <v>663</v>
      </c>
      <c r="D33" s="1344">
        <v>0.12</v>
      </c>
      <c r="E33" s="1267">
        <f t="shared" si="5"/>
        <v>110.58839999999999</v>
      </c>
      <c r="F33" s="1421">
        <f t="shared" si="6"/>
        <v>118.5444</v>
      </c>
      <c r="G33" s="1421">
        <f t="shared" si="7"/>
        <v>95.472000000000037</v>
      </c>
    </row>
    <row r="34" spans="1:9" s="1259" customFormat="1">
      <c r="A34" s="1275" t="s">
        <v>14</v>
      </c>
      <c r="B34" s="1270" t="s">
        <v>3322</v>
      </c>
      <c r="C34" s="1268">
        <f>SUM(C35:C44)</f>
        <v>203</v>
      </c>
      <c r="D34" s="1345"/>
      <c r="E34" s="1268">
        <f>SUM(E35:E44)</f>
        <v>22.2956</v>
      </c>
      <c r="F34" s="1268">
        <f>SUM(F35:F44)</f>
        <v>23.8996</v>
      </c>
      <c r="G34" s="1268">
        <f>SUM(G35:G44)</f>
        <v>19.248000000000019</v>
      </c>
      <c r="H34" s="1260"/>
      <c r="I34" s="1260"/>
    </row>
    <row r="35" spans="1:9">
      <c r="A35" s="1266"/>
      <c r="B35" s="1342" t="s">
        <v>3323</v>
      </c>
      <c r="C35" s="1267">
        <f t="shared" ref="C35:C44" si="8">SUM(C86,C137,C188,C239,C290,C342,C393,C444,C495)</f>
        <v>37</v>
      </c>
      <c r="D35" s="1346">
        <v>0.05</v>
      </c>
      <c r="E35" s="1267">
        <f t="shared" ref="E35:E44" si="9">C35*D35*1.39</f>
        <v>2.5714999999999999</v>
      </c>
      <c r="F35" s="1421">
        <f t="shared" ref="F35:F44" si="10">C35*D35*1.49</f>
        <v>2.7565</v>
      </c>
      <c r="G35" s="1421">
        <f t="shared" ref="G35:G44" si="11">(F35-E35)*12</f>
        <v>2.2200000000000006</v>
      </c>
    </row>
    <row r="36" spans="1:9">
      <c r="A36" s="1266"/>
      <c r="B36" s="1342" t="s">
        <v>3324</v>
      </c>
      <c r="C36" s="1267">
        <f t="shared" si="8"/>
        <v>30</v>
      </c>
      <c r="D36" s="1346">
        <v>0.06</v>
      </c>
      <c r="E36" s="1267">
        <f t="shared" si="9"/>
        <v>2.5019999999999998</v>
      </c>
      <c r="F36" s="1421">
        <f t="shared" si="10"/>
        <v>2.6819999999999999</v>
      </c>
      <c r="G36" s="1421">
        <f t="shared" si="11"/>
        <v>2.1600000000000019</v>
      </c>
    </row>
    <row r="37" spans="1:9">
      <c r="A37" s="1266"/>
      <c r="B37" s="1342" t="s">
        <v>3325</v>
      </c>
      <c r="C37" s="1267">
        <f t="shared" si="8"/>
        <v>59</v>
      </c>
      <c r="D37" s="1346">
        <v>7.0000000000000007E-2</v>
      </c>
      <c r="E37" s="1267">
        <f t="shared" si="9"/>
        <v>5.7407000000000004</v>
      </c>
      <c r="F37" s="1421">
        <f t="shared" si="10"/>
        <v>6.1537000000000015</v>
      </c>
      <c r="G37" s="1421">
        <f t="shared" si="11"/>
        <v>4.9560000000000137</v>
      </c>
    </row>
    <row r="38" spans="1:9">
      <c r="A38" s="1266"/>
      <c r="B38" s="1342" t="s">
        <v>3326</v>
      </c>
      <c r="C38" s="1267">
        <f t="shared" si="8"/>
        <v>16</v>
      </c>
      <c r="D38" s="1346">
        <v>0.08</v>
      </c>
      <c r="E38" s="1267">
        <f t="shared" si="9"/>
        <v>1.7791999999999999</v>
      </c>
      <c r="F38" s="1421">
        <f t="shared" si="10"/>
        <v>1.9072</v>
      </c>
      <c r="G38" s="1421">
        <f t="shared" si="11"/>
        <v>1.5360000000000014</v>
      </c>
    </row>
    <row r="39" spans="1:9">
      <c r="A39" s="1266"/>
      <c r="B39" s="1342" t="s">
        <v>3327</v>
      </c>
      <c r="C39" s="1267">
        <f t="shared" si="8"/>
        <v>12</v>
      </c>
      <c r="D39" s="1346">
        <v>0.09</v>
      </c>
      <c r="E39" s="1267">
        <f t="shared" si="9"/>
        <v>1.5012000000000001</v>
      </c>
      <c r="F39" s="1421">
        <f t="shared" si="10"/>
        <v>1.6092000000000002</v>
      </c>
      <c r="G39" s="1421">
        <f t="shared" si="11"/>
        <v>1.2960000000000012</v>
      </c>
    </row>
    <row r="40" spans="1:9">
      <c r="A40" s="1266"/>
      <c r="B40" s="1342" t="s">
        <v>3328</v>
      </c>
      <c r="C40" s="1267">
        <f t="shared" si="8"/>
        <v>10</v>
      </c>
      <c r="D40" s="1346">
        <v>0.1</v>
      </c>
      <c r="E40" s="1267">
        <f t="shared" si="9"/>
        <v>1.39</v>
      </c>
      <c r="F40" s="1421">
        <f t="shared" si="10"/>
        <v>1.49</v>
      </c>
      <c r="G40" s="1421">
        <f t="shared" si="11"/>
        <v>1.2000000000000011</v>
      </c>
    </row>
    <row r="41" spans="1:9">
      <c r="A41" s="1266"/>
      <c r="B41" s="1342" t="s">
        <v>3329</v>
      </c>
      <c r="C41" s="1267">
        <f t="shared" si="8"/>
        <v>14</v>
      </c>
      <c r="D41" s="1346">
        <v>0.11</v>
      </c>
      <c r="E41" s="1267">
        <f t="shared" si="9"/>
        <v>2.1406000000000001</v>
      </c>
      <c r="F41" s="1421">
        <f t="shared" si="10"/>
        <v>2.2946</v>
      </c>
      <c r="G41" s="1421">
        <f t="shared" si="11"/>
        <v>1.847999999999999</v>
      </c>
    </row>
    <row r="42" spans="1:9">
      <c r="A42" s="1266"/>
      <c r="B42" s="1342" t="s">
        <v>3330</v>
      </c>
      <c r="C42" s="1267">
        <f t="shared" si="8"/>
        <v>4</v>
      </c>
      <c r="D42" s="1346">
        <v>0.12</v>
      </c>
      <c r="E42" s="1267">
        <f t="shared" si="9"/>
        <v>0.6671999999999999</v>
      </c>
      <c r="F42" s="1421">
        <f t="shared" si="10"/>
        <v>0.71519999999999995</v>
      </c>
      <c r="G42" s="1421">
        <f t="shared" si="11"/>
        <v>0.57600000000000051</v>
      </c>
    </row>
    <row r="43" spans="1:9">
      <c r="A43" s="1266"/>
      <c r="B43" s="1342" t="s">
        <v>3331</v>
      </c>
      <c r="C43" s="1267">
        <f t="shared" si="8"/>
        <v>6</v>
      </c>
      <c r="D43" s="1346">
        <v>0.13</v>
      </c>
      <c r="E43" s="1267">
        <f t="shared" si="9"/>
        <v>1.0842000000000001</v>
      </c>
      <c r="F43" s="1421">
        <f t="shared" si="10"/>
        <v>1.1622000000000001</v>
      </c>
      <c r="G43" s="1421">
        <f t="shared" si="11"/>
        <v>0.93600000000000083</v>
      </c>
    </row>
    <row r="44" spans="1:9">
      <c r="A44" s="1266"/>
      <c r="B44" s="1342" t="s">
        <v>3332</v>
      </c>
      <c r="C44" s="1267">
        <f t="shared" si="8"/>
        <v>15</v>
      </c>
      <c r="D44" s="1346">
        <v>0.14000000000000001</v>
      </c>
      <c r="E44" s="1267">
        <f t="shared" si="9"/>
        <v>2.919</v>
      </c>
      <c r="F44" s="1421">
        <f t="shared" si="10"/>
        <v>3.129</v>
      </c>
      <c r="G44" s="1421">
        <f t="shared" si="11"/>
        <v>2.5199999999999996</v>
      </c>
    </row>
    <row r="45" spans="1:9" s="1259" customFormat="1" ht="29.25">
      <c r="A45" s="1275" t="s">
        <v>18</v>
      </c>
      <c r="B45" s="1354" t="s">
        <v>3424</v>
      </c>
      <c r="C45" s="1268">
        <f>C46+C47</f>
        <v>299</v>
      </c>
      <c r="D45" s="1268">
        <f>D46+D47</f>
        <v>0</v>
      </c>
      <c r="E45" s="1268">
        <f>E46+E47</f>
        <v>0</v>
      </c>
      <c r="F45" s="1268">
        <f>F46+F47</f>
        <v>0</v>
      </c>
      <c r="G45" s="1268">
        <f>G46+G47</f>
        <v>0</v>
      </c>
      <c r="H45" s="1260"/>
      <c r="I45" s="1260"/>
    </row>
    <row r="46" spans="1:9">
      <c r="A46" s="1266">
        <v>1</v>
      </c>
      <c r="B46" s="1267" t="s">
        <v>3333</v>
      </c>
      <c r="C46" s="1267">
        <f>SUM(C97,C148,C199,C250,C302,C353,C404,C455,C506)</f>
        <v>200</v>
      </c>
      <c r="D46" s="1343"/>
      <c r="E46" s="1267"/>
      <c r="F46" s="1421">
        <f t="shared" ref="F46:F47" si="12">C46*D46*1.49</f>
        <v>0</v>
      </c>
      <c r="G46" s="1421">
        <f>(F46-E46)*12</f>
        <v>0</v>
      </c>
    </row>
    <row r="47" spans="1:9">
      <c r="A47" s="1266">
        <v>2</v>
      </c>
      <c r="B47" s="1267" t="s">
        <v>3334</v>
      </c>
      <c r="C47" s="1267">
        <f>SUM(C98,C149,C200,C251,C303,C354,C405,C456,C507)</f>
        <v>99</v>
      </c>
      <c r="D47" s="1347"/>
      <c r="E47" s="1267"/>
      <c r="F47" s="1421">
        <f t="shared" si="12"/>
        <v>0</v>
      </c>
      <c r="G47" s="1421">
        <f>(F47-E47)*12</f>
        <v>0</v>
      </c>
    </row>
    <row r="48" spans="1:9" s="1259" customFormat="1" ht="28.5">
      <c r="A48" s="1275" t="s">
        <v>867</v>
      </c>
      <c r="B48" s="1735" t="s">
        <v>3426</v>
      </c>
      <c r="C48" s="1268">
        <f>SUM(C49,C50,C53)</f>
        <v>4231</v>
      </c>
      <c r="D48" s="1272"/>
      <c r="E48" s="1268">
        <f>SUM(E49,E50,E53)</f>
        <v>289.69619999999998</v>
      </c>
      <c r="F48" s="1268">
        <f>SUM(F49,F50,F53)</f>
        <v>305.3442</v>
      </c>
      <c r="G48" s="1268">
        <f>SUM(G49,G50,G53)</f>
        <v>187.77600000000029</v>
      </c>
      <c r="H48" s="1260"/>
      <c r="I48" s="1260"/>
    </row>
    <row r="49" spans="1:9" s="1259" customFormat="1">
      <c r="A49" s="1275">
        <v>1</v>
      </c>
      <c r="B49" s="1270" t="s">
        <v>3428</v>
      </c>
      <c r="C49" s="1267">
        <f>SUM(C100,C151,C202,C253,C305,C356,C407,C458,C509)</f>
        <v>303</v>
      </c>
      <c r="D49" s="1420">
        <v>4.2999999999999997E-2</v>
      </c>
      <c r="E49" s="1268">
        <f>C49*D49</f>
        <v>13.028999999999998</v>
      </c>
      <c r="F49" s="1422">
        <f>C49*D49</f>
        <v>13.028999999999998</v>
      </c>
      <c r="G49" s="1421">
        <f>(F49-E49)*12</f>
        <v>0</v>
      </c>
      <c r="H49" s="1260"/>
      <c r="I49" s="1260"/>
    </row>
    <row r="50" spans="1:9" s="1259" customFormat="1">
      <c r="A50" s="1275">
        <v>2</v>
      </c>
      <c r="B50" s="1348" t="s">
        <v>3335</v>
      </c>
      <c r="C50" s="1268">
        <f>C51+C52</f>
        <v>1972</v>
      </c>
      <c r="D50" s="1268"/>
      <c r="E50" s="1268">
        <f>E51+E52</f>
        <v>139.22319999999996</v>
      </c>
      <c r="F50" s="1268">
        <f>F51+F52</f>
        <v>147.1112</v>
      </c>
      <c r="G50" s="1268">
        <f>G51+G52</f>
        <v>94.656000000000233</v>
      </c>
      <c r="H50" s="1260"/>
      <c r="I50" s="1260"/>
    </row>
    <row r="51" spans="1:9">
      <c r="A51" s="1266"/>
      <c r="B51" s="1349" t="s">
        <v>3336</v>
      </c>
      <c r="C51" s="1267">
        <f>SUM(C102,C153,C204,C255,C307,C358,C409,C460,C511)</f>
        <v>986</v>
      </c>
      <c r="D51" s="1344">
        <v>0.03</v>
      </c>
      <c r="E51" s="1267">
        <f>C51*D51</f>
        <v>29.58</v>
      </c>
      <c r="F51" s="1421">
        <f>C51*D51</f>
        <v>29.58</v>
      </c>
      <c r="G51" s="1421">
        <f>(F51-E51)*12</f>
        <v>0</v>
      </c>
    </row>
    <row r="52" spans="1:9">
      <c r="A52" s="1266"/>
      <c r="B52" s="1349" t="s">
        <v>3337</v>
      </c>
      <c r="C52" s="1267">
        <f>SUM(C103,C154,C205,C256,C308,C359,C410,C461,C512)</f>
        <v>986</v>
      </c>
      <c r="D52" s="1350">
        <v>0.08</v>
      </c>
      <c r="E52" s="1267">
        <f>C52*D52*1.39</f>
        <v>109.64319999999998</v>
      </c>
      <c r="F52" s="1421">
        <f>C52*D52*1.49</f>
        <v>117.5312</v>
      </c>
      <c r="G52" s="1421">
        <f>(F52-E52)*12</f>
        <v>94.656000000000233</v>
      </c>
    </row>
    <row r="53" spans="1:9" s="1259" customFormat="1">
      <c r="A53" s="1275">
        <v>3</v>
      </c>
      <c r="B53" s="1270" t="s">
        <v>3338</v>
      </c>
      <c r="C53" s="1268">
        <f>C54+C55</f>
        <v>1956</v>
      </c>
      <c r="D53" s="1272"/>
      <c r="E53" s="1268">
        <f>E54+E55</f>
        <v>137.44400000000002</v>
      </c>
      <c r="F53" s="1268">
        <f>F54+F55</f>
        <v>145.20400000000001</v>
      </c>
      <c r="G53" s="1268">
        <f>G54+G55</f>
        <v>93.120000000000061</v>
      </c>
      <c r="H53" s="1260"/>
      <c r="I53" s="1260"/>
    </row>
    <row r="54" spans="1:9">
      <c r="A54" s="1266"/>
      <c r="B54" s="1349" t="s">
        <v>3336</v>
      </c>
      <c r="C54" s="1267">
        <f>SUM(C105,C156,C207,C258,C310,C361,C412,C463,C514)</f>
        <v>986</v>
      </c>
      <c r="D54" s="1344">
        <v>0.03</v>
      </c>
      <c r="E54" s="1267">
        <f>C54*D54</f>
        <v>29.58</v>
      </c>
      <c r="F54" s="1421">
        <f>C54*D54</f>
        <v>29.58</v>
      </c>
      <c r="G54" s="1421">
        <f>(F54-E54)*12</f>
        <v>0</v>
      </c>
    </row>
    <row r="55" spans="1:9">
      <c r="A55" s="1266"/>
      <c r="B55" s="1349" t="s">
        <v>3337</v>
      </c>
      <c r="C55" s="1267">
        <f>SUM(C106,C157,C208,C259,C311,C362,C413,C464,C515)</f>
        <v>970</v>
      </c>
      <c r="D55" s="1350">
        <v>0.08</v>
      </c>
      <c r="E55" s="1267">
        <f>C55*D55*1.39</f>
        <v>107.864</v>
      </c>
      <c r="F55" s="1421">
        <f>C55*D55*1.49</f>
        <v>115.62400000000001</v>
      </c>
      <c r="G55" s="1421">
        <f>(F55-E55)*12</f>
        <v>93.120000000000061</v>
      </c>
    </row>
    <row r="56" spans="1:9" s="1259" customFormat="1">
      <c r="A56" s="1275" t="s">
        <v>933</v>
      </c>
      <c r="B56" s="1268" t="s">
        <v>3427</v>
      </c>
      <c r="C56" s="1268">
        <f>SUM(C57:C59)</f>
        <v>360</v>
      </c>
      <c r="D56" s="1420">
        <f t="shared" ref="D56:G56" si="13">SUM(D57:D59)</f>
        <v>0.315</v>
      </c>
      <c r="E56" s="1420">
        <f t="shared" si="13"/>
        <v>71.557199999999995</v>
      </c>
      <c r="F56" s="1420">
        <f t="shared" si="13"/>
        <v>76.705200000000005</v>
      </c>
      <c r="G56" s="1420">
        <f t="shared" si="13"/>
        <v>61.776000000000039</v>
      </c>
      <c r="H56" s="1355"/>
      <c r="I56" s="1355"/>
    </row>
    <row r="57" spans="1:9" s="1357" customFormat="1">
      <c r="A57" s="1266"/>
      <c r="B57" s="1267" t="s">
        <v>3333</v>
      </c>
      <c r="C57" s="1267">
        <f>SUM(C108,C159,C210,C261,C313,C364,C415,C466,C517)</f>
        <v>196</v>
      </c>
      <c r="D57" s="1358">
        <v>0.22500000000000001</v>
      </c>
      <c r="E57" s="1766">
        <f>C57*D57*1.39</f>
        <v>61.298999999999999</v>
      </c>
      <c r="F57" s="1772">
        <f>C57*D57*1.49</f>
        <v>65.709000000000003</v>
      </c>
      <c r="G57" s="1772">
        <f>(F57-E57)*12</f>
        <v>52.920000000000044</v>
      </c>
      <c r="H57" s="1356"/>
      <c r="I57" s="1356"/>
    </row>
    <row r="58" spans="1:9" s="1357" customFormat="1">
      <c r="A58" s="1266"/>
      <c r="B58" s="1769" t="s">
        <v>3333</v>
      </c>
      <c r="C58" s="1267">
        <f>SUM(C109,C160,C211,C262,C314,C365,C416,C467,C518)</f>
        <v>22</v>
      </c>
      <c r="D58" s="1766">
        <v>4.4999999999999998E-2</v>
      </c>
      <c r="E58" s="1766">
        <f t="shared" ref="E58:E59" si="14">C58*D58*1.39</f>
        <v>1.3760999999999999</v>
      </c>
      <c r="F58" s="1772">
        <f t="shared" ref="F58:F59" si="15">C58*D58*1.49</f>
        <v>1.4751000000000001</v>
      </c>
      <c r="G58" s="1772">
        <f t="shared" ref="G58:G59" si="16">(F58-E58)*12</f>
        <v>1.1880000000000024</v>
      </c>
      <c r="H58" s="1356"/>
      <c r="I58" s="1356"/>
    </row>
    <row r="59" spans="1:9" s="1357" customFormat="1">
      <c r="A59" s="1266"/>
      <c r="B59" s="1770" t="s">
        <v>3456</v>
      </c>
      <c r="C59" s="1267">
        <f>SUM(C110,C161,C212,C263,C315,C366,C417,C468,C519)</f>
        <v>142</v>
      </c>
      <c r="D59" s="1766">
        <v>4.4999999999999998E-2</v>
      </c>
      <c r="E59" s="1766">
        <f t="shared" si="14"/>
        <v>8.8820999999999994</v>
      </c>
      <c r="F59" s="1772">
        <f t="shared" si="15"/>
        <v>9.5210999999999988</v>
      </c>
      <c r="G59" s="1772">
        <f t="shared" si="16"/>
        <v>7.6679999999999922</v>
      </c>
      <c r="H59" s="1356"/>
      <c r="I59" s="1356"/>
    </row>
    <row r="60" spans="1:9">
      <c r="A60" s="1404"/>
      <c r="B60" s="1405" t="s">
        <v>2500</v>
      </c>
      <c r="C60" s="1407">
        <f>SUM(C61,C76,C85,C96,C99,C107)</f>
        <v>365</v>
      </c>
      <c r="D60" s="1406"/>
      <c r="E60" s="1406">
        <f>SUM(E61,E76,E85,E96,E99,E107)</f>
        <v>158.55730000000003</v>
      </c>
      <c r="F60" s="1406">
        <f>SUM(F61,F76,F85,F96,F99,F107)</f>
        <v>169.96430000000001</v>
      </c>
      <c r="G60" s="1406">
        <f>SUM(G61,G76,G85,G96,G99,G107)</f>
        <v>158.00399999999996</v>
      </c>
    </row>
    <row r="61" spans="1:9" s="1259" customFormat="1">
      <c r="A61" s="1736" t="s">
        <v>13</v>
      </c>
      <c r="B61" s="1737" t="s">
        <v>3309</v>
      </c>
      <c r="C61" s="1738">
        <f>C62+C75</f>
        <v>109</v>
      </c>
      <c r="D61" s="1739"/>
      <c r="E61" s="1740">
        <f>E62+E75</f>
        <v>111.2278</v>
      </c>
      <c r="F61" s="1740">
        <f>F62+F75</f>
        <v>119.2298</v>
      </c>
      <c r="G61" s="1741">
        <f>(F61-E61)*12</f>
        <v>96.023999999999944</v>
      </c>
      <c r="H61" s="1260"/>
      <c r="I61" s="1260"/>
    </row>
    <row r="62" spans="1:9">
      <c r="A62" s="1736">
        <v>1</v>
      </c>
      <c r="B62" s="1742" t="s">
        <v>3422</v>
      </c>
      <c r="C62" s="1743">
        <f>C63+C66</f>
        <v>43</v>
      </c>
      <c r="D62" s="1739"/>
      <c r="E62" s="1744">
        <f>E63+E66</f>
        <v>65.357799999999997</v>
      </c>
      <c r="F62" s="1744">
        <f>F63+F66</f>
        <v>70.059799999999996</v>
      </c>
      <c r="G62" s="1744">
        <f>G63+G66</f>
        <v>56.424000000000063</v>
      </c>
    </row>
    <row r="63" spans="1:9">
      <c r="A63" s="1736"/>
      <c r="B63" s="1745" t="s">
        <v>3310</v>
      </c>
      <c r="C63" s="1743">
        <f>C64+C65</f>
        <v>22</v>
      </c>
      <c r="D63" s="1746"/>
      <c r="E63" s="1744">
        <f t="shared" ref="E63:F63" si="17">E64+E65</f>
        <v>30.58</v>
      </c>
      <c r="F63" s="1744">
        <f t="shared" si="17"/>
        <v>32.78</v>
      </c>
      <c r="G63" s="1747">
        <f t="shared" ref="G63:G108" si="18">(F63-E63)*12</f>
        <v>26.400000000000034</v>
      </c>
    </row>
    <row r="64" spans="1:9">
      <c r="A64" s="1748"/>
      <c r="B64" s="1749" t="s">
        <v>3311</v>
      </c>
      <c r="C64" s="1750">
        <v>11</v>
      </c>
      <c r="D64" s="1751">
        <v>1</v>
      </c>
      <c r="E64" s="1752">
        <f>C64*D64*1.39</f>
        <v>15.29</v>
      </c>
      <c r="F64" s="1747">
        <f>C64*D64*1.49</f>
        <v>16.39</v>
      </c>
      <c r="G64" s="1747">
        <f t="shared" si="18"/>
        <v>13.200000000000017</v>
      </c>
    </row>
    <row r="65" spans="1:7">
      <c r="A65" s="1748"/>
      <c r="B65" s="1749" t="s">
        <v>3312</v>
      </c>
      <c r="C65" s="1750">
        <v>11</v>
      </c>
      <c r="D65" s="1751">
        <v>1</v>
      </c>
      <c r="E65" s="1752">
        <f>C65*D65*1.39</f>
        <v>15.29</v>
      </c>
      <c r="F65" s="1747">
        <f>C65*D65*1.49</f>
        <v>16.39</v>
      </c>
      <c r="G65" s="1747">
        <f t="shared" si="18"/>
        <v>13.200000000000017</v>
      </c>
    </row>
    <row r="66" spans="1:7">
      <c r="A66" s="1736"/>
      <c r="B66" s="1745" t="s">
        <v>3423</v>
      </c>
      <c r="C66" s="1743">
        <f>C67+C71</f>
        <v>21</v>
      </c>
      <c r="D66" s="1746">
        <f>D67+D71</f>
        <v>0</v>
      </c>
      <c r="E66" s="1744">
        <f t="shared" ref="E66:F66" si="19">E67+E71</f>
        <v>34.777799999999999</v>
      </c>
      <c r="F66" s="1744">
        <f t="shared" si="19"/>
        <v>37.279800000000002</v>
      </c>
      <c r="G66" s="1747">
        <f t="shared" si="18"/>
        <v>30.024000000000029</v>
      </c>
    </row>
    <row r="67" spans="1:7">
      <c r="A67" s="1748"/>
      <c r="B67" s="1749" t="s">
        <v>3311</v>
      </c>
      <c r="C67" s="1750">
        <f>SUM(C68:C70)</f>
        <v>11</v>
      </c>
      <c r="D67" s="1734"/>
      <c r="E67" s="1752">
        <f>SUM(E68:E70)</f>
        <v>18.153400000000001</v>
      </c>
      <c r="F67" s="1752">
        <f>SUM(F68:F70)</f>
        <v>19.459400000000002</v>
      </c>
      <c r="G67" s="1752">
        <f>SUM(G68:G70)</f>
        <v>15.672000000000017</v>
      </c>
    </row>
    <row r="68" spans="1:7">
      <c r="A68" s="1748"/>
      <c r="B68" s="1342" t="s">
        <v>129</v>
      </c>
      <c r="C68" s="1750">
        <v>6</v>
      </c>
      <c r="D68" s="1734">
        <v>1.34</v>
      </c>
      <c r="E68" s="1752">
        <f>C68*D68*1.39</f>
        <v>11.175600000000001</v>
      </c>
      <c r="F68" s="1747">
        <f>C68*D68*1.49</f>
        <v>11.979600000000001</v>
      </c>
      <c r="G68" s="1747">
        <f t="shared" si="18"/>
        <v>9.6480000000000032</v>
      </c>
    </row>
    <row r="69" spans="1:7">
      <c r="A69" s="1748"/>
      <c r="B69" s="1342" t="s">
        <v>1312</v>
      </c>
      <c r="C69" s="1750">
        <v>3</v>
      </c>
      <c r="D69" s="1734">
        <v>1.1000000000000001</v>
      </c>
      <c r="E69" s="1752">
        <f>C69*D69*1.39</f>
        <v>4.5869999999999997</v>
      </c>
      <c r="F69" s="1747">
        <f>C69*D69*1.49</f>
        <v>4.9170000000000007</v>
      </c>
      <c r="G69" s="1747">
        <f t="shared" si="18"/>
        <v>3.9600000000000115</v>
      </c>
    </row>
    <row r="70" spans="1:7">
      <c r="A70" s="1748"/>
      <c r="B70" s="1342" t="s">
        <v>3435</v>
      </c>
      <c r="C70" s="1750">
        <v>2</v>
      </c>
      <c r="D70" s="1734">
        <v>0.86</v>
      </c>
      <c r="E70" s="1752">
        <f>C70*D70*1.39</f>
        <v>2.3907999999999996</v>
      </c>
      <c r="F70" s="1747">
        <f>C70*D70*1.49</f>
        <v>2.5627999999999997</v>
      </c>
      <c r="G70" s="1747">
        <f t="shared" si="18"/>
        <v>2.0640000000000018</v>
      </c>
    </row>
    <row r="71" spans="1:7">
      <c r="A71" s="1748"/>
      <c r="B71" s="1749" t="s">
        <v>3312</v>
      </c>
      <c r="C71" s="1750">
        <f>SUM(C72:C74)</f>
        <v>10</v>
      </c>
      <c r="D71" s="1734"/>
      <c r="E71" s="1752">
        <f>SUM(E72:E74)</f>
        <v>16.624400000000001</v>
      </c>
      <c r="F71" s="1752">
        <f>SUM(F72:F74)</f>
        <v>17.820399999999999</v>
      </c>
      <c r="G71" s="1752">
        <f>SUM(G72:G74)</f>
        <v>14.352000000000013</v>
      </c>
    </row>
    <row r="72" spans="1:7">
      <c r="A72" s="1748"/>
      <c r="B72" s="1342" t="s">
        <v>129</v>
      </c>
      <c r="C72" s="1750">
        <v>7</v>
      </c>
      <c r="D72" s="1734">
        <v>1.34</v>
      </c>
      <c r="E72" s="1752">
        <f>C72*D72*1.39</f>
        <v>13.0382</v>
      </c>
      <c r="F72" s="1747">
        <f>C72*D72*1.49</f>
        <v>13.9762</v>
      </c>
      <c r="G72" s="1747">
        <f t="shared" si="18"/>
        <v>11.256000000000007</v>
      </c>
    </row>
    <row r="73" spans="1:7">
      <c r="A73" s="1748"/>
      <c r="B73" s="1342" t="s">
        <v>1312</v>
      </c>
      <c r="C73" s="1750"/>
      <c r="D73" s="1734">
        <v>1.1000000000000001</v>
      </c>
      <c r="E73" s="1752">
        <f>C73*D73*1.39</f>
        <v>0</v>
      </c>
      <c r="F73" s="1747">
        <f>C73*D73*1.49</f>
        <v>0</v>
      </c>
      <c r="G73" s="1747">
        <f t="shared" si="18"/>
        <v>0</v>
      </c>
    </row>
    <row r="74" spans="1:7">
      <c r="A74" s="1748"/>
      <c r="B74" s="1342" t="s">
        <v>3435</v>
      </c>
      <c r="C74" s="1750">
        <v>3</v>
      </c>
      <c r="D74" s="1734">
        <v>0.86</v>
      </c>
      <c r="E74" s="1752">
        <f>C74*D74*1.39</f>
        <v>3.5861999999999998</v>
      </c>
      <c r="F74" s="1747">
        <f>C74*D74*1.49</f>
        <v>3.8442000000000003</v>
      </c>
      <c r="G74" s="1747">
        <f t="shared" si="18"/>
        <v>3.0960000000000054</v>
      </c>
    </row>
    <row r="75" spans="1:7">
      <c r="A75" s="1736">
        <v>2</v>
      </c>
      <c r="B75" s="1743" t="s">
        <v>3313</v>
      </c>
      <c r="C75" s="1743">
        <v>66</v>
      </c>
      <c r="D75" s="1739">
        <v>0.5</v>
      </c>
      <c r="E75" s="1744">
        <f>C75*D75*1.39</f>
        <v>45.87</v>
      </c>
      <c r="F75" s="1741">
        <f>C75*D75*1.49</f>
        <v>49.17</v>
      </c>
      <c r="G75" s="1741">
        <f t="shared" si="18"/>
        <v>39.600000000000051</v>
      </c>
    </row>
    <row r="76" spans="1:7">
      <c r="A76" s="1736" t="s">
        <v>65</v>
      </c>
      <c r="B76" s="1737" t="s">
        <v>3314</v>
      </c>
      <c r="C76" s="1743">
        <f>SUM(C77:C84)</f>
        <v>179</v>
      </c>
      <c r="D76" s="1739"/>
      <c r="E76" s="1741">
        <f t="shared" ref="E76:F76" si="20">SUM(E77:E84)</f>
        <v>38.197199999999995</v>
      </c>
      <c r="F76" s="1741">
        <f t="shared" si="20"/>
        <v>40.9452</v>
      </c>
      <c r="G76" s="1741">
        <f>SUM(G77:G84)</f>
        <v>32.976000000000028</v>
      </c>
    </row>
    <row r="77" spans="1:7">
      <c r="A77" s="1748">
        <v>1</v>
      </c>
      <c r="B77" s="1750" t="s">
        <v>3315</v>
      </c>
      <c r="C77" s="1753">
        <v>11</v>
      </c>
      <c r="D77" s="1754">
        <v>0.24</v>
      </c>
      <c r="E77" s="1752">
        <f>C77*D77*1.39</f>
        <v>3.6695999999999991</v>
      </c>
      <c r="F77" s="1747">
        <f t="shared" ref="F77:F84" si="21">C77*D77*1.49</f>
        <v>3.9335999999999993</v>
      </c>
      <c r="G77" s="1747">
        <f t="shared" si="18"/>
        <v>3.1680000000000028</v>
      </c>
    </row>
    <row r="78" spans="1:7">
      <c r="A78" s="1748">
        <v>2</v>
      </c>
      <c r="B78" s="1750" t="s">
        <v>3316</v>
      </c>
      <c r="C78" s="1753">
        <v>11</v>
      </c>
      <c r="D78" s="1754">
        <v>0.24</v>
      </c>
      <c r="E78" s="1752">
        <f t="shared" ref="E78:E84" si="22">C78*D78*1.39</f>
        <v>3.6695999999999991</v>
      </c>
      <c r="F78" s="1747">
        <f t="shared" si="21"/>
        <v>3.9335999999999993</v>
      </c>
      <c r="G78" s="1747">
        <f t="shared" si="18"/>
        <v>3.1680000000000028</v>
      </c>
    </row>
    <row r="79" spans="1:7">
      <c r="A79" s="1748">
        <v>3</v>
      </c>
      <c r="B79" s="1750" t="s">
        <v>3317</v>
      </c>
      <c r="C79" s="1753">
        <v>11</v>
      </c>
      <c r="D79" s="1754">
        <v>0.22</v>
      </c>
      <c r="E79" s="1752">
        <f t="shared" si="22"/>
        <v>3.3637999999999995</v>
      </c>
      <c r="F79" s="1747">
        <f t="shared" si="21"/>
        <v>3.6057999999999999</v>
      </c>
      <c r="G79" s="1747">
        <f t="shared" si="18"/>
        <v>2.9040000000000052</v>
      </c>
    </row>
    <row r="80" spans="1:7">
      <c r="A80" s="1748">
        <v>4</v>
      </c>
      <c r="B80" s="1750" t="s">
        <v>3318</v>
      </c>
      <c r="C80" s="1753">
        <v>21</v>
      </c>
      <c r="D80" s="1754">
        <v>0.22</v>
      </c>
      <c r="E80" s="1752">
        <f t="shared" si="22"/>
        <v>6.4217999999999993</v>
      </c>
      <c r="F80" s="1747">
        <f t="shared" si="21"/>
        <v>6.8837999999999999</v>
      </c>
      <c r="G80" s="1747">
        <f t="shared" si="18"/>
        <v>5.5440000000000076</v>
      </c>
    </row>
    <row r="81" spans="1:7">
      <c r="A81" s="1748">
        <v>5</v>
      </c>
      <c r="B81" s="1750" t="s">
        <v>3319</v>
      </c>
      <c r="C81" s="1753">
        <v>36</v>
      </c>
      <c r="D81" s="1754">
        <v>0.1</v>
      </c>
      <c r="E81" s="1752">
        <f t="shared" si="22"/>
        <v>5.0039999999999996</v>
      </c>
      <c r="F81" s="1747">
        <f t="shared" si="21"/>
        <v>5.3639999999999999</v>
      </c>
      <c r="G81" s="1747">
        <f t="shared" si="18"/>
        <v>4.3200000000000038</v>
      </c>
    </row>
    <row r="82" spans="1:7">
      <c r="A82" s="1748">
        <v>6</v>
      </c>
      <c r="B82" s="1750" t="s">
        <v>3320</v>
      </c>
      <c r="C82" s="1753">
        <v>11</v>
      </c>
      <c r="D82" s="1754">
        <v>0.2</v>
      </c>
      <c r="E82" s="1752">
        <f t="shared" si="22"/>
        <v>3.0579999999999998</v>
      </c>
      <c r="F82" s="1747">
        <f t="shared" si="21"/>
        <v>3.278</v>
      </c>
      <c r="G82" s="1747">
        <f t="shared" si="18"/>
        <v>2.6400000000000023</v>
      </c>
    </row>
    <row r="83" spans="1:7">
      <c r="A83" s="1748">
        <v>7</v>
      </c>
      <c r="B83" s="1750" t="s">
        <v>3321</v>
      </c>
      <c r="C83" s="1753">
        <v>11</v>
      </c>
      <c r="D83" s="1754">
        <v>0.12</v>
      </c>
      <c r="E83" s="1752">
        <f t="shared" si="22"/>
        <v>1.8347999999999995</v>
      </c>
      <c r="F83" s="1747">
        <f t="shared" si="21"/>
        <v>1.9667999999999997</v>
      </c>
      <c r="G83" s="1747">
        <f t="shared" si="18"/>
        <v>1.5840000000000014</v>
      </c>
    </row>
    <row r="84" spans="1:7">
      <c r="A84" s="1748">
        <v>8</v>
      </c>
      <c r="B84" s="1750" t="s">
        <v>3425</v>
      </c>
      <c r="C84" s="1753">
        <v>67</v>
      </c>
      <c r="D84" s="1754">
        <v>0.12</v>
      </c>
      <c r="E84" s="1752">
        <f t="shared" si="22"/>
        <v>11.175599999999998</v>
      </c>
      <c r="F84" s="1747">
        <f t="shared" si="21"/>
        <v>11.979599999999998</v>
      </c>
      <c r="G84" s="1747">
        <f t="shared" si="18"/>
        <v>9.6480000000000032</v>
      </c>
    </row>
    <row r="85" spans="1:7">
      <c r="A85" s="1736" t="s">
        <v>14</v>
      </c>
      <c r="B85" s="1737" t="s">
        <v>3322</v>
      </c>
      <c r="C85" s="1743">
        <f>SUM(C86:C95)</f>
        <v>22</v>
      </c>
      <c r="D85" s="1755"/>
      <c r="E85" s="1741">
        <f t="shared" ref="E85:F85" si="23">SUM(E86:E95)</f>
        <v>2.2517999999999998</v>
      </c>
      <c r="F85" s="1741">
        <f t="shared" si="23"/>
        <v>2.4138000000000002</v>
      </c>
      <c r="G85" s="1741">
        <f>SUM(G86:G95)</f>
        <v>1.9440000000000017</v>
      </c>
    </row>
    <row r="86" spans="1:7">
      <c r="A86" s="1748"/>
      <c r="B86" s="1749" t="s">
        <v>3323</v>
      </c>
      <c r="C86" s="1750">
        <v>5</v>
      </c>
      <c r="D86" s="1756">
        <v>0.05</v>
      </c>
      <c r="E86" s="1752">
        <f t="shared" ref="E86:E95" si="24">C86*D86*1.39</f>
        <v>0.34749999999999998</v>
      </c>
      <c r="F86" s="1747">
        <f t="shared" ref="F86:F95" si="25">C86*D86*1.49</f>
        <v>0.3725</v>
      </c>
      <c r="G86" s="1747">
        <f t="shared" si="18"/>
        <v>0.30000000000000027</v>
      </c>
    </row>
    <row r="87" spans="1:7">
      <c r="A87" s="1748"/>
      <c r="B87" s="1749" t="s">
        <v>3324</v>
      </c>
      <c r="C87" s="1750">
        <v>4</v>
      </c>
      <c r="D87" s="1756">
        <v>0.06</v>
      </c>
      <c r="E87" s="1752">
        <f t="shared" si="24"/>
        <v>0.33359999999999995</v>
      </c>
      <c r="F87" s="1747">
        <f t="shared" si="25"/>
        <v>0.35759999999999997</v>
      </c>
      <c r="G87" s="1747">
        <f t="shared" si="18"/>
        <v>0.28800000000000026</v>
      </c>
    </row>
    <row r="88" spans="1:7">
      <c r="A88" s="1748"/>
      <c r="B88" s="1749" t="s">
        <v>3325</v>
      </c>
      <c r="C88" s="1750">
        <v>6</v>
      </c>
      <c r="D88" s="1756">
        <v>7.0000000000000007E-2</v>
      </c>
      <c r="E88" s="1752">
        <f t="shared" si="24"/>
        <v>0.58379999999999999</v>
      </c>
      <c r="F88" s="1747">
        <f t="shared" si="25"/>
        <v>0.62580000000000002</v>
      </c>
      <c r="G88" s="1747">
        <f t="shared" si="18"/>
        <v>0.50400000000000045</v>
      </c>
    </row>
    <row r="89" spans="1:7">
      <c r="A89" s="1748"/>
      <c r="B89" s="1749" t="s">
        <v>3326</v>
      </c>
      <c r="C89" s="1750">
        <v>2</v>
      </c>
      <c r="D89" s="1756">
        <v>0.08</v>
      </c>
      <c r="E89" s="1752">
        <f t="shared" si="24"/>
        <v>0.22239999999999999</v>
      </c>
      <c r="F89" s="1747">
        <f t="shared" si="25"/>
        <v>0.2384</v>
      </c>
      <c r="G89" s="1747">
        <f t="shared" si="18"/>
        <v>0.19200000000000017</v>
      </c>
    </row>
    <row r="90" spans="1:7">
      <c r="A90" s="1748"/>
      <c r="B90" s="1749" t="s">
        <v>3327</v>
      </c>
      <c r="C90" s="1750">
        <v>1</v>
      </c>
      <c r="D90" s="1756">
        <v>0.09</v>
      </c>
      <c r="E90" s="1752">
        <f t="shared" si="24"/>
        <v>0.12509999999999999</v>
      </c>
      <c r="F90" s="1747">
        <f t="shared" si="25"/>
        <v>0.1341</v>
      </c>
      <c r="G90" s="1747">
        <f t="shared" si="18"/>
        <v>0.1080000000000001</v>
      </c>
    </row>
    <row r="91" spans="1:7">
      <c r="A91" s="1748"/>
      <c r="B91" s="1749" t="s">
        <v>3328</v>
      </c>
      <c r="C91" s="1750">
        <v>1</v>
      </c>
      <c r="D91" s="1756">
        <v>0.1</v>
      </c>
      <c r="E91" s="1752">
        <f t="shared" si="24"/>
        <v>0.13899999999999998</v>
      </c>
      <c r="F91" s="1747">
        <f t="shared" si="25"/>
        <v>0.14899999999999999</v>
      </c>
      <c r="G91" s="1747">
        <f t="shared" si="18"/>
        <v>0.12000000000000011</v>
      </c>
    </row>
    <row r="92" spans="1:7">
      <c r="A92" s="1748"/>
      <c r="B92" s="1749" t="s">
        <v>3329</v>
      </c>
      <c r="C92" s="1750">
        <v>2</v>
      </c>
      <c r="D92" s="1756">
        <v>0.11</v>
      </c>
      <c r="E92" s="1752">
        <f t="shared" si="24"/>
        <v>0.30579999999999996</v>
      </c>
      <c r="F92" s="1747">
        <f t="shared" si="25"/>
        <v>0.32779999999999998</v>
      </c>
      <c r="G92" s="1747">
        <f t="shared" si="18"/>
        <v>0.26400000000000023</v>
      </c>
    </row>
    <row r="93" spans="1:7">
      <c r="A93" s="1748"/>
      <c r="B93" s="1749" t="s">
        <v>3330</v>
      </c>
      <c r="C93" s="1750"/>
      <c r="D93" s="1756">
        <v>0.12</v>
      </c>
      <c r="E93" s="1752">
        <f t="shared" si="24"/>
        <v>0</v>
      </c>
      <c r="F93" s="1747">
        <f t="shared" si="25"/>
        <v>0</v>
      </c>
      <c r="G93" s="1747">
        <f t="shared" si="18"/>
        <v>0</v>
      </c>
    </row>
    <row r="94" spans="1:7">
      <c r="A94" s="1748"/>
      <c r="B94" s="1749" t="s">
        <v>3331</v>
      </c>
      <c r="C94" s="1750"/>
      <c r="D94" s="1756">
        <v>0.13</v>
      </c>
      <c r="E94" s="1752">
        <f t="shared" si="24"/>
        <v>0</v>
      </c>
      <c r="F94" s="1747">
        <f t="shared" si="25"/>
        <v>0</v>
      </c>
      <c r="G94" s="1747">
        <f t="shared" si="18"/>
        <v>0</v>
      </c>
    </row>
    <row r="95" spans="1:7">
      <c r="A95" s="1748"/>
      <c r="B95" s="1749" t="s">
        <v>3332</v>
      </c>
      <c r="C95" s="1750">
        <v>1</v>
      </c>
      <c r="D95" s="1756">
        <v>0.14000000000000001</v>
      </c>
      <c r="E95" s="1752">
        <f t="shared" si="24"/>
        <v>0.1946</v>
      </c>
      <c r="F95" s="1747">
        <f t="shared" si="25"/>
        <v>0.20860000000000001</v>
      </c>
      <c r="G95" s="1747">
        <f t="shared" si="18"/>
        <v>0.16800000000000015</v>
      </c>
    </row>
    <row r="96" spans="1:7" ht="28.5">
      <c r="A96" s="1736" t="s">
        <v>18</v>
      </c>
      <c r="B96" s="1757" t="s">
        <v>3424</v>
      </c>
      <c r="C96" s="1743">
        <f>C97+C98</f>
        <v>33</v>
      </c>
      <c r="D96" s="1743">
        <f>D97+D98</f>
        <v>0</v>
      </c>
      <c r="E96" s="1744"/>
      <c r="F96" s="1747"/>
      <c r="G96" s="1747">
        <f t="shared" si="18"/>
        <v>0</v>
      </c>
    </row>
    <row r="97" spans="1:7">
      <c r="A97" s="1748">
        <v>1</v>
      </c>
      <c r="B97" s="1750" t="s">
        <v>3333</v>
      </c>
      <c r="C97" s="1750">
        <v>22</v>
      </c>
      <c r="D97" s="1751"/>
      <c r="E97" s="1752"/>
      <c r="F97" s="1747">
        <f t="shared" ref="F97:F98" si="26">C97*D97*1.49</f>
        <v>0</v>
      </c>
      <c r="G97" s="1747">
        <f t="shared" si="18"/>
        <v>0</v>
      </c>
    </row>
    <row r="98" spans="1:7">
      <c r="A98" s="1748">
        <v>2</v>
      </c>
      <c r="B98" s="1750" t="s">
        <v>3334</v>
      </c>
      <c r="C98" s="1750">
        <v>11</v>
      </c>
      <c r="D98" s="1758"/>
      <c r="E98" s="1752"/>
      <c r="F98" s="1747">
        <f t="shared" si="26"/>
        <v>0</v>
      </c>
      <c r="G98" s="1747">
        <f t="shared" si="18"/>
        <v>0</v>
      </c>
    </row>
    <row r="99" spans="1:7" ht="28.5">
      <c r="A99" s="1736" t="s">
        <v>867</v>
      </c>
      <c r="B99" s="1735" t="s">
        <v>3426</v>
      </c>
      <c r="C99" s="1743"/>
      <c r="D99" s="1738"/>
      <c r="E99" s="1744"/>
      <c r="F99" s="1747"/>
      <c r="G99" s="1741">
        <f>G100+G101+G104</f>
        <v>21.120000000000019</v>
      </c>
    </row>
    <row r="100" spans="1:7">
      <c r="A100" s="1736">
        <v>1</v>
      </c>
      <c r="B100" s="1737" t="s">
        <v>3428</v>
      </c>
      <c r="C100" s="1743">
        <v>33</v>
      </c>
      <c r="D100" s="1744">
        <v>4.2999999999999997E-2</v>
      </c>
      <c r="E100" s="1744">
        <f>C100*D100</f>
        <v>1.4189999999999998</v>
      </c>
      <c r="F100" s="1744">
        <f>E100</f>
        <v>1.4189999999999998</v>
      </c>
      <c r="G100" s="1747">
        <f t="shared" si="18"/>
        <v>0</v>
      </c>
    </row>
    <row r="101" spans="1:7">
      <c r="A101" s="1736">
        <v>2</v>
      </c>
      <c r="B101" s="1348" t="s">
        <v>3335</v>
      </c>
      <c r="C101" s="1743">
        <v>220</v>
      </c>
      <c r="D101" s="1746"/>
      <c r="E101" s="1744"/>
      <c r="F101" s="1747"/>
      <c r="G101" s="1741">
        <f>G102+G103</f>
        <v>10.560000000000009</v>
      </c>
    </row>
    <row r="102" spans="1:7">
      <c r="A102" s="1748"/>
      <c r="B102" s="1349" t="s">
        <v>3336</v>
      </c>
      <c r="C102" s="1750">
        <v>110</v>
      </c>
      <c r="D102" s="1754">
        <v>0.03</v>
      </c>
      <c r="E102" s="1752">
        <f>C102*D102</f>
        <v>3.3</v>
      </c>
      <c r="F102" s="1747">
        <f>E102</f>
        <v>3.3</v>
      </c>
      <c r="G102" s="1747">
        <f t="shared" si="18"/>
        <v>0</v>
      </c>
    </row>
    <row r="103" spans="1:7">
      <c r="A103" s="1748"/>
      <c r="B103" s="1349" t="s">
        <v>3337</v>
      </c>
      <c r="C103" s="1750">
        <v>110</v>
      </c>
      <c r="D103" s="1759">
        <v>0.08</v>
      </c>
      <c r="E103" s="1752">
        <f>C103*D103*1.39</f>
        <v>12.231999999999999</v>
      </c>
      <c r="F103" s="1747">
        <f>C103*D103*1.49</f>
        <v>13.112</v>
      </c>
      <c r="G103" s="1747">
        <f t="shared" si="18"/>
        <v>10.560000000000009</v>
      </c>
    </row>
    <row r="104" spans="1:7">
      <c r="A104" s="1736">
        <v>3</v>
      </c>
      <c r="B104" s="1737" t="s">
        <v>3338</v>
      </c>
      <c r="C104" s="1743"/>
      <c r="D104" s="1738"/>
      <c r="E104" s="1744"/>
      <c r="F104" s="1747"/>
      <c r="G104" s="1741">
        <f>G105+G106</f>
        <v>10.560000000000009</v>
      </c>
    </row>
    <row r="105" spans="1:7">
      <c r="A105" s="1748"/>
      <c r="B105" s="1349" t="s">
        <v>3336</v>
      </c>
      <c r="C105" s="1750">
        <v>110</v>
      </c>
      <c r="D105" s="1754">
        <v>0.03</v>
      </c>
      <c r="E105" s="1752">
        <f>C105*D105</f>
        <v>3.3</v>
      </c>
      <c r="F105" s="1747">
        <f>E105</f>
        <v>3.3</v>
      </c>
      <c r="G105" s="1747">
        <f t="shared" si="18"/>
        <v>0</v>
      </c>
    </row>
    <row r="106" spans="1:7">
      <c r="A106" s="1748"/>
      <c r="B106" s="1349" t="s">
        <v>3337</v>
      </c>
      <c r="C106" s="1750">
        <v>110</v>
      </c>
      <c r="D106" s="1759">
        <v>0.08</v>
      </c>
      <c r="E106" s="1752">
        <f>C106*D106*1.39</f>
        <v>12.231999999999999</v>
      </c>
      <c r="F106" s="1747">
        <f>C106*D106*1.49</f>
        <v>13.112</v>
      </c>
      <c r="G106" s="1747">
        <f t="shared" si="18"/>
        <v>10.560000000000009</v>
      </c>
    </row>
    <row r="107" spans="1:7">
      <c r="A107" s="1736" t="s">
        <v>933</v>
      </c>
      <c r="B107" s="1743" t="s">
        <v>3427</v>
      </c>
      <c r="C107" s="1743">
        <f>C108</f>
        <v>22</v>
      </c>
      <c r="D107" s="1760">
        <f>D108</f>
        <v>0.22500000000000001</v>
      </c>
      <c r="E107" s="1761">
        <f t="shared" ref="E107:G107" si="27">E108</f>
        <v>6.8804999999999996</v>
      </c>
      <c r="F107" s="1761">
        <f t="shared" si="27"/>
        <v>7.3755000000000006</v>
      </c>
      <c r="G107" s="1761">
        <f t="shared" si="27"/>
        <v>5.9400000000000119</v>
      </c>
    </row>
    <row r="108" spans="1:7">
      <c r="A108" s="1748"/>
      <c r="B108" s="1750" t="s">
        <v>3333</v>
      </c>
      <c r="C108" s="1750">
        <v>22</v>
      </c>
      <c r="D108" s="1762">
        <v>0.22500000000000001</v>
      </c>
      <c r="E108" s="1763">
        <f>C108*D108*1.39</f>
        <v>6.8804999999999996</v>
      </c>
      <c r="F108" s="1747">
        <f>C108*D108*1.49</f>
        <v>7.3755000000000006</v>
      </c>
      <c r="G108" s="1747">
        <f t="shared" si="18"/>
        <v>5.9400000000000119</v>
      </c>
    </row>
    <row r="109" spans="1:7">
      <c r="A109" s="1748"/>
      <c r="B109" s="1769" t="s">
        <v>3333</v>
      </c>
      <c r="C109" s="1750"/>
      <c r="D109" s="1762"/>
      <c r="E109" s="1763"/>
      <c r="F109" s="1747"/>
      <c r="G109" s="1747"/>
    </row>
    <row r="110" spans="1:7">
      <c r="A110" s="1748"/>
      <c r="B110" s="1770" t="s">
        <v>3456</v>
      </c>
      <c r="C110" s="1750"/>
      <c r="D110" s="1762"/>
      <c r="E110" s="1763"/>
      <c r="F110" s="1747"/>
      <c r="G110" s="1747"/>
    </row>
    <row r="111" spans="1:7">
      <c r="A111" s="1404"/>
      <c r="B111" s="1405" t="s">
        <v>2496</v>
      </c>
      <c r="C111" s="1407">
        <f>SUM(C112,C127,C136,C147,C150,C158)</f>
        <v>365</v>
      </c>
      <c r="D111" s="1406"/>
      <c r="E111" s="1406">
        <f>SUM(E112,E127,E136,E147,E150,E158)</f>
        <v>158.55730000000003</v>
      </c>
      <c r="F111" s="1406">
        <f>SUM(F112,F127,F136,F147,F150,F158)</f>
        <v>169.96430000000001</v>
      </c>
      <c r="G111" s="1406">
        <f>SUM(G112,G127,G136,G147,G150,G158)</f>
        <v>158.00399999999996</v>
      </c>
    </row>
    <row r="112" spans="1:7">
      <c r="A112" s="1736" t="s">
        <v>13</v>
      </c>
      <c r="B112" s="1737" t="s">
        <v>3309</v>
      </c>
      <c r="C112" s="1738">
        <f>C113+C126</f>
        <v>109</v>
      </c>
      <c r="D112" s="1739"/>
      <c r="E112" s="1740">
        <f>E113+E126</f>
        <v>111.2278</v>
      </c>
      <c r="F112" s="1740">
        <f>F113+F126</f>
        <v>119.2298</v>
      </c>
      <c r="G112" s="1741">
        <f>(F112-E112)*12</f>
        <v>96.023999999999944</v>
      </c>
    </row>
    <row r="113" spans="1:7">
      <c r="A113" s="1736">
        <v>1</v>
      </c>
      <c r="B113" s="1742" t="s">
        <v>3422</v>
      </c>
      <c r="C113" s="1743">
        <f>C114+C117</f>
        <v>43</v>
      </c>
      <c r="D113" s="1739"/>
      <c r="E113" s="1744">
        <f>E114+E117</f>
        <v>65.357799999999997</v>
      </c>
      <c r="F113" s="1744">
        <f>F114+F117</f>
        <v>70.059799999999996</v>
      </c>
      <c r="G113" s="1744">
        <f>G114+G117</f>
        <v>56.424000000000063</v>
      </c>
    </row>
    <row r="114" spans="1:7">
      <c r="A114" s="1736"/>
      <c r="B114" s="1745" t="s">
        <v>3310</v>
      </c>
      <c r="C114" s="1743">
        <f>C115+C116</f>
        <v>22</v>
      </c>
      <c r="D114" s="1746"/>
      <c r="E114" s="1744">
        <f t="shared" ref="E114:F114" si="28">E115+E116</f>
        <v>30.58</v>
      </c>
      <c r="F114" s="1744">
        <f t="shared" si="28"/>
        <v>32.78</v>
      </c>
      <c r="G114" s="1747">
        <f t="shared" ref="G114:G117" si="29">(F114-E114)*12</f>
        <v>26.400000000000034</v>
      </c>
    </row>
    <row r="115" spans="1:7">
      <c r="A115" s="1748"/>
      <c r="B115" s="1749" t="s">
        <v>3311</v>
      </c>
      <c r="C115" s="1750">
        <v>11</v>
      </c>
      <c r="D115" s="1751">
        <v>1</v>
      </c>
      <c r="E115" s="1752">
        <f>C115*D115*1.39</f>
        <v>15.29</v>
      </c>
      <c r="F115" s="1747">
        <f>C115*D115*1.49</f>
        <v>16.39</v>
      </c>
      <c r="G115" s="1747">
        <f t="shared" si="29"/>
        <v>13.200000000000017</v>
      </c>
    </row>
    <row r="116" spans="1:7">
      <c r="A116" s="1748"/>
      <c r="B116" s="1749" t="s">
        <v>3312</v>
      </c>
      <c r="C116" s="1750">
        <v>11</v>
      </c>
      <c r="D116" s="1751">
        <v>1</v>
      </c>
      <c r="E116" s="1752">
        <f>C116*D116*1.39</f>
        <v>15.29</v>
      </c>
      <c r="F116" s="1747">
        <f>C116*D116*1.49</f>
        <v>16.39</v>
      </c>
      <c r="G116" s="1747">
        <f t="shared" si="29"/>
        <v>13.200000000000017</v>
      </c>
    </row>
    <row r="117" spans="1:7">
      <c r="A117" s="1736"/>
      <c r="B117" s="1745" t="s">
        <v>3423</v>
      </c>
      <c r="C117" s="1743">
        <f>C118+C122</f>
        <v>21</v>
      </c>
      <c r="D117" s="1746">
        <f>D118+D122</f>
        <v>0</v>
      </c>
      <c r="E117" s="1744">
        <f t="shared" ref="E117:F117" si="30">E118+E122</f>
        <v>34.777799999999999</v>
      </c>
      <c r="F117" s="1744">
        <f t="shared" si="30"/>
        <v>37.279800000000002</v>
      </c>
      <c r="G117" s="1747">
        <f t="shared" si="29"/>
        <v>30.024000000000029</v>
      </c>
    </row>
    <row r="118" spans="1:7">
      <c r="A118" s="1748"/>
      <c r="B118" s="1749" t="s">
        <v>3311</v>
      </c>
      <c r="C118" s="1750">
        <f>SUM(C119:C121)</f>
        <v>11</v>
      </c>
      <c r="D118" s="1734"/>
      <c r="E118" s="1752">
        <f>SUM(E119:E121)</f>
        <v>18.153400000000001</v>
      </c>
      <c r="F118" s="1752">
        <f>SUM(F119:F121)</f>
        <v>19.459400000000002</v>
      </c>
      <c r="G118" s="1752">
        <f>SUM(G119:G121)</f>
        <v>15.672000000000017</v>
      </c>
    </row>
    <row r="119" spans="1:7">
      <c r="A119" s="1748"/>
      <c r="B119" s="1342" t="s">
        <v>129</v>
      </c>
      <c r="C119" s="1750">
        <v>6</v>
      </c>
      <c r="D119" s="1734">
        <v>1.34</v>
      </c>
      <c r="E119" s="1752">
        <f>C119*D119*1.39</f>
        <v>11.175600000000001</v>
      </c>
      <c r="F119" s="1747">
        <f>C119*D119*1.49</f>
        <v>11.979600000000001</v>
      </c>
      <c r="G119" s="1747">
        <f t="shared" ref="G119:G121" si="31">(F119-E119)*12</f>
        <v>9.6480000000000032</v>
      </c>
    </row>
    <row r="120" spans="1:7">
      <c r="A120" s="1748"/>
      <c r="B120" s="1342" t="s">
        <v>1312</v>
      </c>
      <c r="C120" s="1750">
        <v>3</v>
      </c>
      <c r="D120" s="1734">
        <v>1.1000000000000001</v>
      </c>
      <c r="E120" s="1752">
        <f>C120*D120*1.39</f>
        <v>4.5869999999999997</v>
      </c>
      <c r="F120" s="1747">
        <f>C120*D120*1.49</f>
        <v>4.9170000000000007</v>
      </c>
      <c r="G120" s="1747">
        <f t="shared" si="31"/>
        <v>3.9600000000000115</v>
      </c>
    </row>
    <row r="121" spans="1:7">
      <c r="A121" s="1748"/>
      <c r="B121" s="1342" t="s">
        <v>3435</v>
      </c>
      <c r="C121" s="1750">
        <v>2</v>
      </c>
      <c r="D121" s="1734">
        <v>0.86</v>
      </c>
      <c r="E121" s="1752">
        <f>C121*D121*1.39</f>
        <v>2.3907999999999996</v>
      </c>
      <c r="F121" s="1747">
        <f>C121*D121*1.49</f>
        <v>2.5627999999999997</v>
      </c>
      <c r="G121" s="1747">
        <f t="shared" si="31"/>
        <v>2.0640000000000018</v>
      </c>
    </row>
    <row r="122" spans="1:7">
      <c r="A122" s="1748"/>
      <c r="B122" s="1749" t="s">
        <v>3312</v>
      </c>
      <c r="C122" s="1750">
        <f>SUM(C123:C125)</f>
        <v>10</v>
      </c>
      <c r="D122" s="1734"/>
      <c r="E122" s="1752">
        <f>SUM(E123:E125)</f>
        <v>16.624400000000001</v>
      </c>
      <c r="F122" s="1752">
        <f>SUM(F123:F125)</f>
        <v>17.820399999999999</v>
      </c>
      <c r="G122" s="1752">
        <f>SUM(G123:G125)</f>
        <v>14.352000000000013</v>
      </c>
    </row>
    <row r="123" spans="1:7">
      <c r="A123" s="1748"/>
      <c r="B123" s="1342" t="s">
        <v>129</v>
      </c>
      <c r="C123" s="1750">
        <v>7</v>
      </c>
      <c r="D123" s="1734">
        <v>1.34</v>
      </c>
      <c r="E123" s="1752">
        <f>C123*D123*1.39</f>
        <v>13.0382</v>
      </c>
      <c r="F123" s="1747">
        <f>C123*D123*1.49</f>
        <v>13.9762</v>
      </c>
      <c r="G123" s="1747">
        <f t="shared" ref="G123:G126" si="32">(F123-E123)*12</f>
        <v>11.256000000000007</v>
      </c>
    </row>
    <row r="124" spans="1:7">
      <c r="A124" s="1748"/>
      <c r="B124" s="1342" t="s">
        <v>1312</v>
      </c>
      <c r="C124" s="1750"/>
      <c r="D124" s="1734">
        <v>1.1000000000000001</v>
      </c>
      <c r="E124" s="1752">
        <f>C124*D124*1.39</f>
        <v>0</v>
      </c>
      <c r="F124" s="1747">
        <f>C124*D124*1.49</f>
        <v>0</v>
      </c>
      <c r="G124" s="1747">
        <f t="shared" si="32"/>
        <v>0</v>
      </c>
    </row>
    <row r="125" spans="1:7">
      <c r="A125" s="1748"/>
      <c r="B125" s="1342" t="s">
        <v>3435</v>
      </c>
      <c r="C125" s="1750">
        <v>3</v>
      </c>
      <c r="D125" s="1734">
        <v>0.86</v>
      </c>
      <c r="E125" s="1752">
        <f>C125*D125*1.39</f>
        <v>3.5861999999999998</v>
      </c>
      <c r="F125" s="1747">
        <f>C125*D125*1.49</f>
        <v>3.8442000000000003</v>
      </c>
      <c r="G125" s="1747">
        <f t="shared" si="32"/>
        <v>3.0960000000000054</v>
      </c>
    </row>
    <row r="126" spans="1:7">
      <c r="A126" s="1736">
        <v>2</v>
      </c>
      <c r="B126" s="1743" t="s">
        <v>3313</v>
      </c>
      <c r="C126" s="1743">
        <v>66</v>
      </c>
      <c r="D126" s="1739">
        <v>0.5</v>
      </c>
      <c r="E126" s="1744">
        <f>C126*D126*1.39</f>
        <v>45.87</v>
      </c>
      <c r="F126" s="1741">
        <f>C126*D126*1.49</f>
        <v>49.17</v>
      </c>
      <c r="G126" s="1741">
        <f t="shared" si="32"/>
        <v>39.600000000000051</v>
      </c>
    </row>
    <row r="127" spans="1:7">
      <c r="A127" s="1736" t="s">
        <v>65</v>
      </c>
      <c r="B127" s="1737" t="s">
        <v>3314</v>
      </c>
      <c r="C127" s="1743">
        <f>SUM(C128:C135)</f>
        <v>179</v>
      </c>
      <c r="D127" s="1739"/>
      <c r="E127" s="1741">
        <f t="shared" ref="E127:F127" si="33">SUM(E128:E135)</f>
        <v>38.197199999999995</v>
      </c>
      <c r="F127" s="1741">
        <f t="shared" si="33"/>
        <v>40.9452</v>
      </c>
      <c r="G127" s="1741">
        <f>SUM(G128:G135)</f>
        <v>32.976000000000028</v>
      </c>
    </row>
    <row r="128" spans="1:7">
      <c r="A128" s="1748">
        <v>1</v>
      </c>
      <c r="B128" s="1750" t="s">
        <v>3315</v>
      </c>
      <c r="C128" s="1753">
        <v>11</v>
      </c>
      <c r="D128" s="1754">
        <v>0.24</v>
      </c>
      <c r="E128" s="1752">
        <f>C128*D128*1.39</f>
        <v>3.6695999999999991</v>
      </c>
      <c r="F128" s="1747">
        <f t="shared" ref="F128:F135" si="34">C128*D128*1.49</f>
        <v>3.9335999999999993</v>
      </c>
      <c r="G128" s="1747">
        <f t="shared" ref="G128:G135" si="35">(F128-E128)*12</f>
        <v>3.1680000000000028</v>
      </c>
    </row>
    <row r="129" spans="1:7">
      <c r="A129" s="1748">
        <v>2</v>
      </c>
      <c r="B129" s="1750" t="s">
        <v>3316</v>
      </c>
      <c r="C129" s="1753">
        <v>11</v>
      </c>
      <c r="D129" s="1754">
        <v>0.24</v>
      </c>
      <c r="E129" s="1752">
        <f t="shared" ref="E129:E135" si="36">C129*D129*1.39</f>
        <v>3.6695999999999991</v>
      </c>
      <c r="F129" s="1747">
        <f t="shared" si="34"/>
        <v>3.9335999999999993</v>
      </c>
      <c r="G129" s="1747">
        <f t="shared" si="35"/>
        <v>3.1680000000000028</v>
      </c>
    </row>
    <row r="130" spans="1:7">
      <c r="A130" s="1748">
        <v>3</v>
      </c>
      <c r="B130" s="1750" t="s">
        <v>3317</v>
      </c>
      <c r="C130" s="1753">
        <v>11</v>
      </c>
      <c r="D130" s="1754">
        <v>0.22</v>
      </c>
      <c r="E130" s="1752">
        <f t="shared" si="36"/>
        <v>3.3637999999999995</v>
      </c>
      <c r="F130" s="1747">
        <f t="shared" si="34"/>
        <v>3.6057999999999999</v>
      </c>
      <c r="G130" s="1747">
        <f t="shared" si="35"/>
        <v>2.9040000000000052</v>
      </c>
    </row>
    <row r="131" spans="1:7">
      <c r="A131" s="1748">
        <v>4</v>
      </c>
      <c r="B131" s="1750" t="s">
        <v>3318</v>
      </c>
      <c r="C131" s="1753">
        <v>21</v>
      </c>
      <c r="D131" s="1754">
        <v>0.22</v>
      </c>
      <c r="E131" s="1752">
        <f t="shared" si="36"/>
        <v>6.4217999999999993</v>
      </c>
      <c r="F131" s="1747">
        <f t="shared" si="34"/>
        <v>6.8837999999999999</v>
      </c>
      <c r="G131" s="1747">
        <f t="shared" si="35"/>
        <v>5.5440000000000076</v>
      </c>
    </row>
    <row r="132" spans="1:7">
      <c r="A132" s="1748">
        <v>5</v>
      </c>
      <c r="B132" s="1750" t="s">
        <v>3319</v>
      </c>
      <c r="C132" s="1753">
        <v>36</v>
      </c>
      <c r="D132" s="1754">
        <v>0.1</v>
      </c>
      <c r="E132" s="1752">
        <f t="shared" si="36"/>
        <v>5.0039999999999996</v>
      </c>
      <c r="F132" s="1747">
        <f t="shared" si="34"/>
        <v>5.3639999999999999</v>
      </c>
      <c r="G132" s="1747">
        <f t="shared" si="35"/>
        <v>4.3200000000000038</v>
      </c>
    </row>
    <row r="133" spans="1:7">
      <c r="A133" s="1748">
        <v>6</v>
      </c>
      <c r="B133" s="1750" t="s">
        <v>3320</v>
      </c>
      <c r="C133" s="1753">
        <v>11</v>
      </c>
      <c r="D133" s="1754">
        <v>0.2</v>
      </c>
      <c r="E133" s="1752">
        <f t="shared" si="36"/>
        <v>3.0579999999999998</v>
      </c>
      <c r="F133" s="1747">
        <f t="shared" si="34"/>
        <v>3.278</v>
      </c>
      <c r="G133" s="1747">
        <f t="shared" si="35"/>
        <v>2.6400000000000023</v>
      </c>
    </row>
    <row r="134" spans="1:7">
      <c r="A134" s="1748">
        <v>7</v>
      </c>
      <c r="B134" s="1750" t="s">
        <v>3321</v>
      </c>
      <c r="C134" s="1753">
        <v>11</v>
      </c>
      <c r="D134" s="1754">
        <v>0.12</v>
      </c>
      <c r="E134" s="1752">
        <f t="shared" si="36"/>
        <v>1.8347999999999995</v>
      </c>
      <c r="F134" s="1747">
        <f t="shared" si="34"/>
        <v>1.9667999999999997</v>
      </c>
      <c r="G134" s="1747">
        <f t="shared" si="35"/>
        <v>1.5840000000000014</v>
      </c>
    </row>
    <row r="135" spans="1:7">
      <c r="A135" s="1748">
        <v>8</v>
      </c>
      <c r="B135" s="1750" t="s">
        <v>3425</v>
      </c>
      <c r="C135" s="1753">
        <v>67</v>
      </c>
      <c r="D135" s="1754">
        <v>0.12</v>
      </c>
      <c r="E135" s="1752">
        <f t="shared" si="36"/>
        <v>11.175599999999998</v>
      </c>
      <c r="F135" s="1747">
        <f t="shared" si="34"/>
        <v>11.979599999999998</v>
      </c>
      <c r="G135" s="1747">
        <f t="shared" si="35"/>
        <v>9.6480000000000032</v>
      </c>
    </row>
    <row r="136" spans="1:7">
      <c r="A136" s="1736" t="s">
        <v>14</v>
      </c>
      <c r="B136" s="1737" t="s">
        <v>3322</v>
      </c>
      <c r="C136" s="1743">
        <f>SUM(C137:C146)</f>
        <v>22</v>
      </c>
      <c r="D136" s="1755"/>
      <c r="E136" s="1741">
        <f t="shared" ref="E136:F136" si="37">SUM(E137:E146)</f>
        <v>2.2517999999999998</v>
      </c>
      <c r="F136" s="1741">
        <f t="shared" si="37"/>
        <v>2.4138000000000002</v>
      </c>
      <c r="G136" s="1741">
        <f>SUM(G137:G146)</f>
        <v>1.9440000000000017</v>
      </c>
    </row>
    <row r="137" spans="1:7">
      <c r="A137" s="1748"/>
      <c r="B137" s="1749" t="s">
        <v>3323</v>
      </c>
      <c r="C137" s="1750">
        <v>5</v>
      </c>
      <c r="D137" s="1756">
        <v>0.05</v>
      </c>
      <c r="E137" s="1752">
        <f t="shared" ref="E137:E146" si="38">C137*D137*1.39</f>
        <v>0.34749999999999998</v>
      </c>
      <c r="F137" s="1747">
        <f t="shared" ref="F137:F146" si="39">C137*D137*1.49</f>
        <v>0.3725</v>
      </c>
      <c r="G137" s="1747">
        <f t="shared" ref="G137:G149" si="40">(F137-E137)*12</f>
        <v>0.30000000000000027</v>
      </c>
    </row>
    <row r="138" spans="1:7">
      <c r="A138" s="1748"/>
      <c r="B138" s="1749" t="s">
        <v>3324</v>
      </c>
      <c r="C138" s="1750">
        <v>4</v>
      </c>
      <c r="D138" s="1756">
        <v>0.06</v>
      </c>
      <c r="E138" s="1752">
        <f t="shared" si="38"/>
        <v>0.33359999999999995</v>
      </c>
      <c r="F138" s="1747">
        <f t="shared" si="39"/>
        <v>0.35759999999999997</v>
      </c>
      <c r="G138" s="1747">
        <f t="shared" si="40"/>
        <v>0.28800000000000026</v>
      </c>
    </row>
    <row r="139" spans="1:7">
      <c r="A139" s="1748"/>
      <c r="B139" s="1749" t="s">
        <v>3325</v>
      </c>
      <c r="C139" s="1750">
        <v>6</v>
      </c>
      <c r="D139" s="1756">
        <v>7.0000000000000007E-2</v>
      </c>
      <c r="E139" s="1752">
        <f t="shared" si="38"/>
        <v>0.58379999999999999</v>
      </c>
      <c r="F139" s="1747">
        <f t="shared" si="39"/>
        <v>0.62580000000000002</v>
      </c>
      <c r="G139" s="1747">
        <f t="shared" si="40"/>
        <v>0.50400000000000045</v>
      </c>
    </row>
    <row r="140" spans="1:7">
      <c r="A140" s="1748"/>
      <c r="B140" s="1749" t="s">
        <v>3326</v>
      </c>
      <c r="C140" s="1750">
        <v>2</v>
      </c>
      <c r="D140" s="1756">
        <v>0.08</v>
      </c>
      <c r="E140" s="1752">
        <f t="shared" si="38"/>
        <v>0.22239999999999999</v>
      </c>
      <c r="F140" s="1747">
        <f t="shared" si="39"/>
        <v>0.2384</v>
      </c>
      <c r="G140" s="1747">
        <f t="shared" si="40"/>
        <v>0.19200000000000017</v>
      </c>
    </row>
    <row r="141" spans="1:7">
      <c r="A141" s="1748"/>
      <c r="B141" s="1749" t="s">
        <v>3327</v>
      </c>
      <c r="C141" s="1750">
        <v>1</v>
      </c>
      <c r="D141" s="1756">
        <v>0.09</v>
      </c>
      <c r="E141" s="1752">
        <f t="shared" si="38"/>
        <v>0.12509999999999999</v>
      </c>
      <c r="F141" s="1747">
        <f t="shared" si="39"/>
        <v>0.1341</v>
      </c>
      <c r="G141" s="1747">
        <f t="shared" si="40"/>
        <v>0.1080000000000001</v>
      </c>
    </row>
    <row r="142" spans="1:7">
      <c r="A142" s="1748"/>
      <c r="B142" s="1749" t="s">
        <v>3328</v>
      </c>
      <c r="C142" s="1750">
        <v>1</v>
      </c>
      <c r="D142" s="1756">
        <v>0.1</v>
      </c>
      <c r="E142" s="1752">
        <f t="shared" si="38"/>
        <v>0.13899999999999998</v>
      </c>
      <c r="F142" s="1747">
        <f t="shared" si="39"/>
        <v>0.14899999999999999</v>
      </c>
      <c r="G142" s="1747">
        <f t="shared" si="40"/>
        <v>0.12000000000000011</v>
      </c>
    </row>
    <row r="143" spans="1:7">
      <c r="A143" s="1748"/>
      <c r="B143" s="1749" t="s">
        <v>3329</v>
      </c>
      <c r="C143" s="1750">
        <v>2</v>
      </c>
      <c r="D143" s="1756">
        <v>0.11</v>
      </c>
      <c r="E143" s="1752">
        <f t="shared" si="38"/>
        <v>0.30579999999999996</v>
      </c>
      <c r="F143" s="1747">
        <f t="shared" si="39"/>
        <v>0.32779999999999998</v>
      </c>
      <c r="G143" s="1747">
        <f t="shared" si="40"/>
        <v>0.26400000000000023</v>
      </c>
    </row>
    <row r="144" spans="1:7">
      <c r="A144" s="1748"/>
      <c r="B144" s="1749" t="s">
        <v>3330</v>
      </c>
      <c r="C144" s="1750"/>
      <c r="D144" s="1756">
        <v>0.12</v>
      </c>
      <c r="E144" s="1752">
        <f t="shared" si="38"/>
        <v>0</v>
      </c>
      <c r="F144" s="1747">
        <f t="shared" si="39"/>
        <v>0</v>
      </c>
      <c r="G144" s="1747">
        <f t="shared" si="40"/>
        <v>0</v>
      </c>
    </row>
    <row r="145" spans="1:7">
      <c r="A145" s="1748"/>
      <c r="B145" s="1749" t="s">
        <v>3331</v>
      </c>
      <c r="C145" s="1750"/>
      <c r="D145" s="1756">
        <v>0.13</v>
      </c>
      <c r="E145" s="1752">
        <f t="shared" si="38"/>
        <v>0</v>
      </c>
      <c r="F145" s="1747">
        <f t="shared" si="39"/>
        <v>0</v>
      </c>
      <c r="G145" s="1747">
        <f t="shared" si="40"/>
        <v>0</v>
      </c>
    </row>
    <row r="146" spans="1:7">
      <c r="A146" s="1748"/>
      <c r="B146" s="1749" t="s">
        <v>3332</v>
      </c>
      <c r="C146" s="1750">
        <v>1</v>
      </c>
      <c r="D146" s="1756">
        <v>0.14000000000000001</v>
      </c>
      <c r="E146" s="1752">
        <f t="shared" si="38"/>
        <v>0.1946</v>
      </c>
      <c r="F146" s="1747">
        <f t="shared" si="39"/>
        <v>0.20860000000000001</v>
      </c>
      <c r="G146" s="1747">
        <f t="shared" si="40"/>
        <v>0.16800000000000015</v>
      </c>
    </row>
    <row r="147" spans="1:7" ht="28.5">
      <c r="A147" s="1736" t="s">
        <v>18</v>
      </c>
      <c r="B147" s="1757" t="s">
        <v>3424</v>
      </c>
      <c r="C147" s="1743">
        <f>C148+C149</f>
        <v>33</v>
      </c>
      <c r="D147" s="1743">
        <f>D148+D149</f>
        <v>0</v>
      </c>
      <c r="E147" s="1744"/>
      <c r="F147" s="1747"/>
      <c r="G147" s="1747">
        <f t="shared" si="40"/>
        <v>0</v>
      </c>
    </row>
    <row r="148" spans="1:7">
      <c r="A148" s="1748">
        <v>1</v>
      </c>
      <c r="B148" s="1750" t="s">
        <v>3333</v>
      </c>
      <c r="C148" s="1750">
        <v>22</v>
      </c>
      <c r="D148" s="1751"/>
      <c r="E148" s="1752"/>
      <c r="F148" s="1747">
        <f t="shared" ref="F148:F149" si="41">C148*D148*1.49</f>
        <v>0</v>
      </c>
      <c r="G148" s="1747">
        <f t="shared" si="40"/>
        <v>0</v>
      </c>
    </row>
    <row r="149" spans="1:7">
      <c r="A149" s="1748">
        <v>2</v>
      </c>
      <c r="B149" s="1750" t="s">
        <v>3334</v>
      </c>
      <c r="C149" s="1750">
        <v>11</v>
      </c>
      <c r="D149" s="1758"/>
      <c r="E149" s="1752"/>
      <c r="F149" s="1747">
        <f t="shared" si="41"/>
        <v>0</v>
      </c>
      <c r="G149" s="1747">
        <f t="shared" si="40"/>
        <v>0</v>
      </c>
    </row>
    <row r="150" spans="1:7" ht="28.5">
      <c r="A150" s="1736" t="s">
        <v>867</v>
      </c>
      <c r="B150" s="1735" t="s">
        <v>3426</v>
      </c>
      <c r="C150" s="1743"/>
      <c r="D150" s="1738"/>
      <c r="E150" s="1744"/>
      <c r="F150" s="1747"/>
      <c r="G150" s="1741">
        <f>G151+G152+G155</f>
        <v>21.120000000000019</v>
      </c>
    </row>
    <row r="151" spans="1:7">
      <c r="A151" s="1736">
        <v>1</v>
      </c>
      <c r="B151" s="1737" t="s">
        <v>3428</v>
      </c>
      <c r="C151" s="1743">
        <v>33</v>
      </c>
      <c r="D151" s="1744">
        <v>4.2999999999999997E-2</v>
      </c>
      <c r="E151" s="1744">
        <f>C151*D151</f>
        <v>1.4189999999999998</v>
      </c>
      <c r="F151" s="1744">
        <f>E151</f>
        <v>1.4189999999999998</v>
      </c>
      <c r="G151" s="1747">
        <f t="shared" ref="G151" si="42">(F151-E151)*12</f>
        <v>0</v>
      </c>
    </row>
    <row r="152" spans="1:7">
      <c r="A152" s="1736">
        <v>2</v>
      </c>
      <c r="B152" s="1348" t="s">
        <v>3335</v>
      </c>
      <c r="C152" s="1743">
        <v>220</v>
      </c>
      <c r="D152" s="1746"/>
      <c r="E152" s="1744"/>
      <c r="F152" s="1747"/>
      <c r="G152" s="1741">
        <f>G153+G154</f>
        <v>10.560000000000009</v>
      </c>
    </row>
    <row r="153" spans="1:7">
      <c r="A153" s="1748"/>
      <c r="B153" s="1349" t="s">
        <v>3336</v>
      </c>
      <c r="C153" s="1750">
        <v>110</v>
      </c>
      <c r="D153" s="1754">
        <v>0.03</v>
      </c>
      <c r="E153" s="1752">
        <f>C153*D153</f>
        <v>3.3</v>
      </c>
      <c r="F153" s="1747">
        <f>E153</f>
        <v>3.3</v>
      </c>
      <c r="G153" s="1747">
        <f t="shared" ref="G153:G154" si="43">(F153-E153)*12</f>
        <v>0</v>
      </c>
    </row>
    <row r="154" spans="1:7">
      <c r="A154" s="1748"/>
      <c r="B154" s="1349" t="s">
        <v>3337</v>
      </c>
      <c r="C154" s="1750">
        <v>110</v>
      </c>
      <c r="D154" s="1759">
        <v>0.08</v>
      </c>
      <c r="E154" s="1752">
        <f>C154*D154*1.39</f>
        <v>12.231999999999999</v>
      </c>
      <c r="F154" s="1747">
        <f>C154*D154*1.49</f>
        <v>13.112</v>
      </c>
      <c r="G154" s="1747">
        <f t="shared" si="43"/>
        <v>10.560000000000009</v>
      </c>
    </row>
    <row r="155" spans="1:7">
      <c r="A155" s="1736">
        <v>3</v>
      </c>
      <c r="B155" s="1737" t="s">
        <v>3338</v>
      </c>
      <c r="C155" s="1743"/>
      <c r="D155" s="1738"/>
      <c r="E155" s="1744"/>
      <c r="F155" s="1747"/>
      <c r="G155" s="1741">
        <f>G156+G157</f>
        <v>10.560000000000009</v>
      </c>
    </row>
    <row r="156" spans="1:7">
      <c r="A156" s="1748"/>
      <c r="B156" s="1349" t="s">
        <v>3336</v>
      </c>
      <c r="C156" s="1750">
        <v>110</v>
      </c>
      <c r="D156" s="1754">
        <v>0.03</v>
      </c>
      <c r="E156" s="1752">
        <f>C156*D156</f>
        <v>3.3</v>
      </c>
      <c r="F156" s="1747">
        <f>E156</f>
        <v>3.3</v>
      </c>
      <c r="G156" s="1747">
        <f t="shared" ref="G156:G157" si="44">(F156-E156)*12</f>
        <v>0</v>
      </c>
    </row>
    <row r="157" spans="1:7">
      <c r="A157" s="1748"/>
      <c r="B157" s="1349" t="s">
        <v>3337</v>
      </c>
      <c r="C157" s="1750">
        <v>110</v>
      </c>
      <c r="D157" s="1759">
        <v>0.08</v>
      </c>
      <c r="E157" s="1752">
        <f>C157*D157*1.39</f>
        <v>12.231999999999999</v>
      </c>
      <c r="F157" s="1747">
        <f>C157*D157*1.49</f>
        <v>13.112</v>
      </c>
      <c r="G157" s="1747">
        <f t="shared" si="44"/>
        <v>10.560000000000009</v>
      </c>
    </row>
    <row r="158" spans="1:7">
      <c r="A158" s="1736" t="s">
        <v>933</v>
      </c>
      <c r="B158" s="1743" t="s">
        <v>3427</v>
      </c>
      <c r="C158" s="1743">
        <f>C159</f>
        <v>22</v>
      </c>
      <c r="D158" s="1760">
        <f>D159</f>
        <v>0.22500000000000001</v>
      </c>
      <c r="E158" s="1761">
        <f t="shared" ref="E158:G158" si="45">E159</f>
        <v>6.8804999999999996</v>
      </c>
      <c r="F158" s="1761">
        <f t="shared" si="45"/>
        <v>7.3755000000000006</v>
      </c>
      <c r="G158" s="1761">
        <f t="shared" si="45"/>
        <v>5.9400000000000119</v>
      </c>
    </row>
    <row r="159" spans="1:7">
      <c r="A159" s="1748"/>
      <c r="B159" s="1750" t="s">
        <v>3333</v>
      </c>
      <c r="C159" s="1750">
        <v>22</v>
      </c>
      <c r="D159" s="1762">
        <v>0.22500000000000001</v>
      </c>
      <c r="E159" s="1763">
        <f>C159*D159*1.39</f>
        <v>6.8804999999999996</v>
      </c>
      <c r="F159" s="1747">
        <f>C159*D159*1.49</f>
        <v>7.3755000000000006</v>
      </c>
      <c r="G159" s="1747">
        <f t="shared" ref="G159" si="46">(F159-E159)*12</f>
        <v>5.9400000000000119</v>
      </c>
    </row>
    <row r="160" spans="1:7">
      <c r="A160" s="1748"/>
      <c r="B160" s="1769" t="s">
        <v>3333</v>
      </c>
      <c r="C160" s="1750"/>
      <c r="D160" s="1762"/>
      <c r="E160" s="1763"/>
      <c r="F160" s="1747"/>
      <c r="G160" s="1747"/>
    </row>
    <row r="161" spans="1:7">
      <c r="A161" s="1748"/>
      <c r="B161" s="1770" t="s">
        <v>3456</v>
      </c>
      <c r="C161" s="1750"/>
      <c r="D161" s="1762"/>
      <c r="E161" s="1763"/>
      <c r="F161" s="1747"/>
      <c r="G161" s="1747"/>
    </row>
    <row r="162" spans="1:7">
      <c r="A162" s="1404"/>
      <c r="B162" s="1405" t="s">
        <v>2495</v>
      </c>
      <c r="C162" s="1407">
        <f>SUM(C163,C178,C187,C198,C201,C209)</f>
        <v>365</v>
      </c>
      <c r="D162" s="1406"/>
      <c r="E162" s="1406">
        <f>SUM(E163,E178,E187,E198,E201,E209)</f>
        <v>158.55730000000003</v>
      </c>
      <c r="F162" s="1406">
        <f>SUM(F163,F178,F187,F198,F201,F209)</f>
        <v>169.96430000000001</v>
      </c>
      <c r="G162" s="1406">
        <f>SUM(G163,G178,G187,G198,G201,G209)</f>
        <v>158.00399999999996</v>
      </c>
    </row>
    <row r="163" spans="1:7">
      <c r="A163" s="1736" t="s">
        <v>13</v>
      </c>
      <c r="B163" s="1737" t="s">
        <v>3309</v>
      </c>
      <c r="C163" s="1738">
        <f>C164+C177</f>
        <v>109</v>
      </c>
      <c r="D163" s="1739"/>
      <c r="E163" s="1740">
        <f>E164+E177</f>
        <v>111.2278</v>
      </c>
      <c r="F163" s="1740">
        <f>F164+F177</f>
        <v>119.2298</v>
      </c>
      <c r="G163" s="1741">
        <f>(F163-E163)*12</f>
        <v>96.023999999999944</v>
      </c>
    </row>
    <row r="164" spans="1:7">
      <c r="A164" s="1736">
        <v>1</v>
      </c>
      <c r="B164" s="1742" t="s">
        <v>3422</v>
      </c>
      <c r="C164" s="1743">
        <f>C165+C168</f>
        <v>43</v>
      </c>
      <c r="D164" s="1739"/>
      <c r="E164" s="1744">
        <f>E165+E168</f>
        <v>65.357799999999997</v>
      </c>
      <c r="F164" s="1744">
        <f>F165+F168</f>
        <v>70.059799999999996</v>
      </c>
      <c r="G164" s="1744">
        <f>G165+G168</f>
        <v>56.424000000000063</v>
      </c>
    </row>
    <row r="165" spans="1:7">
      <c r="A165" s="1736"/>
      <c r="B165" s="1745" t="s">
        <v>3310</v>
      </c>
      <c r="C165" s="1743">
        <f>C166+C167</f>
        <v>22</v>
      </c>
      <c r="D165" s="1746"/>
      <c r="E165" s="1744">
        <f t="shared" ref="E165:F165" si="47">E166+E167</f>
        <v>30.58</v>
      </c>
      <c r="F165" s="1744">
        <f t="shared" si="47"/>
        <v>32.78</v>
      </c>
      <c r="G165" s="1747">
        <f t="shared" ref="G165:G168" si="48">(F165-E165)*12</f>
        <v>26.400000000000034</v>
      </c>
    </row>
    <row r="166" spans="1:7">
      <c r="A166" s="1748"/>
      <c r="B166" s="1749" t="s">
        <v>3311</v>
      </c>
      <c r="C166" s="1750">
        <v>11</v>
      </c>
      <c r="D166" s="1751">
        <v>1</v>
      </c>
      <c r="E166" s="1752">
        <f>C166*D166*1.39</f>
        <v>15.29</v>
      </c>
      <c r="F166" s="1747">
        <f>C166*D166*1.49</f>
        <v>16.39</v>
      </c>
      <c r="G166" s="1747">
        <f t="shared" si="48"/>
        <v>13.200000000000017</v>
      </c>
    </row>
    <row r="167" spans="1:7">
      <c r="A167" s="1748"/>
      <c r="B167" s="1749" t="s">
        <v>3312</v>
      </c>
      <c r="C167" s="1750">
        <v>11</v>
      </c>
      <c r="D167" s="1751">
        <v>1</v>
      </c>
      <c r="E167" s="1752">
        <f>C167*D167*1.39</f>
        <v>15.29</v>
      </c>
      <c r="F167" s="1747">
        <f>C167*D167*1.49</f>
        <v>16.39</v>
      </c>
      <c r="G167" s="1747">
        <f t="shared" si="48"/>
        <v>13.200000000000017</v>
      </c>
    </row>
    <row r="168" spans="1:7">
      <c r="A168" s="1736"/>
      <c r="B168" s="1745" t="s">
        <v>3423</v>
      </c>
      <c r="C168" s="1743">
        <f>C169+C173</f>
        <v>21</v>
      </c>
      <c r="D168" s="1746">
        <f>D169+D173</f>
        <v>0</v>
      </c>
      <c r="E168" s="1744">
        <f t="shared" ref="E168:F168" si="49">E169+E173</f>
        <v>34.777799999999999</v>
      </c>
      <c r="F168" s="1744">
        <f t="shared" si="49"/>
        <v>37.279800000000002</v>
      </c>
      <c r="G168" s="1747">
        <f t="shared" si="48"/>
        <v>30.024000000000029</v>
      </c>
    </row>
    <row r="169" spans="1:7">
      <c r="A169" s="1748"/>
      <c r="B169" s="1749" t="s">
        <v>3311</v>
      </c>
      <c r="C169" s="1750">
        <f>SUM(C170:C172)</f>
        <v>11</v>
      </c>
      <c r="D169" s="1734"/>
      <c r="E169" s="1752">
        <f>SUM(E170:E172)</f>
        <v>18.153400000000001</v>
      </c>
      <c r="F169" s="1752">
        <f>SUM(F170:F172)</f>
        <v>19.459400000000002</v>
      </c>
      <c r="G169" s="1752">
        <f>SUM(G170:G172)</f>
        <v>15.672000000000017</v>
      </c>
    </row>
    <row r="170" spans="1:7">
      <c r="A170" s="1748"/>
      <c r="B170" s="1342" t="s">
        <v>129</v>
      </c>
      <c r="C170" s="1750">
        <v>6</v>
      </c>
      <c r="D170" s="1734">
        <v>1.34</v>
      </c>
      <c r="E170" s="1752">
        <f>C170*D170*1.39</f>
        <v>11.175600000000001</v>
      </c>
      <c r="F170" s="1747">
        <f>C170*D170*1.49</f>
        <v>11.979600000000001</v>
      </c>
      <c r="G170" s="1747">
        <f t="shared" ref="G170:G172" si="50">(F170-E170)*12</f>
        <v>9.6480000000000032</v>
      </c>
    </row>
    <row r="171" spans="1:7">
      <c r="A171" s="1748"/>
      <c r="B171" s="1342" t="s">
        <v>1312</v>
      </c>
      <c r="C171" s="1750">
        <v>3</v>
      </c>
      <c r="D171" s="1734">
        <v>1.1000000000000001</v>
      </c>
      <c r="E171" s="1752">
        <f>C171*D171*1.39</f>
        <v>4.5869999999999997</v>
      </c>
      <c r="F171" s="1747">
        <f>C171*D171*1.49</f>
        <v>4.9170000000000007</v>
      </c>
      <c r="G171" s="1747">
        <f t="shared" si="50"/>
        <v>3.9600000000000115</v>
      </c>
    </row>
    <row r="172" spans="1:7">
      <c r="A172" s="1748"/>
      <c r="B172" s="1342" t="s">
        <v>3435</v>
      </c>
      <c r="C172" s="1750">
        <v>2</v>
      </c>
      <c r="D172" s="1734">
        <v>0.86</v>
      </c>
      <c r="E172" s="1752">
        <f>C172*D172*1.39</f>
        <v>2.3907999999999996</v>
      </c>
      <c r="F172" s="1747">
        <f>C172*D172*1.49</f>
        <v>2.5627999999999997</v>
      </c>
      <c r="G172" s="1747">
        <f t="shared" si="50"/>
        <v>2.0640000000000018</v>
      </c>
    </row>
    <row r="173" spans="1:7">
      <c r="A173" s="1748"/>
      <c r="B173" s="1749" t="s">
        <v>3312</v>
      </c>
      <c r="C173" s="1750">
        <f>SUM(C174:C176)</f>
        <v>10</v>
      </c>
      <c r="D173" s="1734"/>
      <c r="E173" s="1752">
        <f>SUM(E174:E176)</f>
        <v>16.624400000000001</v>
      </c>
      <c r="F173" s="1752">
        <f>SUM(F174:F176)</f>
        <v>17.820399999999999</v>
      </c>
      <c r="G173" s="1752">
        <f>SUM(G174:G176)</f>
        <v>14.352000000000013</v>
      </c>
    </row>
    <row r="174" spans="1:7">
      <c r="A174" s="1748"/>
      <c r="B174" s="1342" t="s">
        <v>129</v>
      </c>
      <c r="C174" s="1750">
        <v>7</v>
      </c>
      <c r="D174" s="1734">
        <v>1.34</v>
      </c>
      <c r="E174" s="1752">
        <f>C174*D174*1.39</f>
        <v>13.0382</v>
      </c>
      <c r="F174" s="1747">
        <f>C174*D174*1.49</f>
        <v>13.9762</v>
      </c>
      <c r="G174" s="1747">
        <f t="shared" ref="G174:G177" si="51">(F174-E174)*12</f>
        <v>11.256000000000007</v>
      </c>
    </row>
    <row r="175" spans="1:7">
      <c r="A175" s="1748"/>
      <c r="B175" s="1342" t="s">
        <v>1312</v>
      </c>
      <c r="C175" s="1750"/>
      <c r="D175" s="1734">
        <v>1.1000000000000001</v>
      </c>
      <c r="E175" s="1752">
        <f>C175*D175*1.39</f>
        <v>0</v>
      </c>
      <c r="F175" s="1747">
        <f>C175*D175*1.49</f>
        <v>0</v>
      </c>
      <c r="G175" s="1747">
        <f t="shared" si="51"/>
        <v>0</v>
      </c>
    </row>
    <row r="176" spans="1:7">
      <c r="A176" s="1748"/>
      <c r="B176" s="1342" t="s">
        <v>3435</v>
      </c>
      <c r="C176" s="1750">
        <v>3</v>
      </c>
      <c r="D176" s="1734">
        <v>0.86</v>
      </c>
      <c r="E176" s="1752">
        <f>C176*D176*1.39</f>
        <v>3.5861999999999998</v>
      </c>
      <c r="F176" s="1747">
        <f>C176*D176*1.49</f>
        <v>3.8442000000000003</v>
      </c>
      <c r="G176" s="1747">
        <f t="shared" si="51"/>
        <v>3.0960000000000054</v>
      </c>
    </row>
    <row r="177" spans="1:7">
      <c r="A177" s="1736">
        <v>2</v>
      </c>
      <c r="B177" s="1743" t="s">
        <v>3313</v>
      </c>
      <c r="C177" s="1743">
        <v>66</v>
      </c>
      <c r="D177" s="1739">
        <v>0.5</v>
      </c>
      <c r="E177" s="1744">
        <f>C177*D177*1.39</f>
        <v>45.87</v>
      </c>
      <c r="F177" s="1741">
        <f>C177*D177*1.49</f>
        <v>49.17</v>
      </c>
      <c r="G177" s="1741">
        <f t="shared" si="51"/>
        <v>39.600000000000051</v>
      </c>
    </row>
    <row r="178" spans="1:7">
      <c r="A178" s="1736" t="s">
        <v>65</v>
      </c>
      <c r="B178" s="1737" t="s">
        <v>3314</v>
      </c>
      <c r="C178" s="1743">
        <f>SUM(C179:C186)</f>
        <v>179</v>
      </c>
      <c r="D178" s="1739"/>
      <c r="E178" s="1741">
        <f t="shared" ref="E178:F178" si="52">SUM(E179:E186)</f>
        <v>38.197199999999995</v>
      </c>
      <c r="F178" s="1741">
        <f t="shared" si="52"/>
        <v>40.9452</v>
      </c>
      <c r="G178" s="1741">
        <f>SUM(G179:G186)</f>
        <v>32.976000000000028</v>
      </c>
    </row>
    <row r="179" spans="1:7">
      <c r="A179" s="1748">
        <v>1</v>
      </c>
      <c r="B179" s="1750" t="s">
        <v>3315</v>
      </c>
      <c r="C179" s="1753">
        <v>11</v>
      </c>
      <c r="D179" s="1754">
        <v>0.24</v>
      </c>
      <c r="E179" s="1752">
        <f>C179*D179*1.39</f>
        <v>3.6695999999999991</v>
      </c>
      <c r="F179" s="1747">
        <f t="shared" ref="F179:F186" si="53">C179*D179*1.49</f>
        <v>3.9335999999999993</v>
      </c>
      <c r="G179" s="1747">
        <f t="shared" ref="G179:G186" si="54">(F179-E179)*12</f>
        <v>3.1680000000000028</v>
      </c>
    </row>
    <row r="180" spans="1:7">
      <c r="A180" s="1748">
        <v>2</v>
      </c>
      <c r="B180" s="1750" t="s">
        <v>3316</v>
      </c>
      <c r="C180" s="1753">
        <v>11</v>
      </c>
      <c r="D180" s="1754">
        <v>0.24</v>
      </c>
      <c r="E180" s="1752">
        <f t="shared" ref="E180:E186" si="55">C180*D180*1.39</f>
        <v>3.6695999999999991</v>
      </c>
      <c r="F180" s="1747">
        <f t="shared" si="53"/>
        <v>3.9335999999999993</v>
      </c>
      <c r="G180" s="1747">
        <f t="shared" si="54"/>
        <v>3.1680000000000028</v>
      </c>
    </row>
    <row r="181" spans="1:7">
      <c r="A181" s="1748">
        <v>3</v>
      </c>
      <c r="B181" s="1750" t="s">
        <v>3317</v>
      </c>
      <c r="C181" s="1753">
        <v>11</v>
      </c>
      <c r="D181" s="1754">
        <v>0.22</v>
      </c>
      <c r="E181" s="1752">
        <f t="shared" si="55"/>
        <v>3.3637999999999995</v>
      </c>
      <c r="F181" s="1747">
        <f t="shared" si="53"/>
        <v>3.6057999999999999</v>
      </c>
      <c r="G181" s="1747">
        <f t="shared" si="54"/>
        <v>2.9040000000000052</v>
      </c>
    </row>
    <row r="182" spans="1:7">
      <c r="A182" s="1748">
        <v>4</v>
      </c>
      <c r="B182" s="1750" t="s">
        <v>3318</v>
      </c>
      <c r="C182" s="1753">
        <v>21</v>
      </c>
      <c r="D182" s="1754">
        <v>0.22</v>
      </c>
      <c r="E182" s="1752">
        <f t="shared" si="55"/>
        <v>6.4217999999999993</v>
      </c>
      <c r="F182" s="1747">
        <f t="shared" si="53"/>
        <v>6.8837999999999999</v>
      </c>
      <c r="G182" s="1747">
        <f t="shared" si="54"/>
        <v>5.5440000000000076</v>
      </c>
    </row>
    <row r="183" spans="1:7">
      <c r="A183" s="1748">
        <v>5</v>
      </c>
      <c r="B183" s="1750" t="s">
        <v>3319</v>
      </c>
      <c r="C183" s="1753">
        <v>36</v>
      </c>
      <c r="D183" s="1754">
        <v>0.1</v>
      </c>
      <c r="E183" s="1752">
        <f t="shared" si="55"/>
        <v>5.0039999999999996</v>
      </c>
      <c r="F183" s="1747">
        <f t="shared" si="53"/>
        <v>5.3639999999999999</v>
      </c>
      <c r="G183" s="1747">
        <f t="shared" si="54"/>
        <v>4.3200000000000038</v>
      </c>
    </row>
    <row r="184" spans="1:7">
      <c r="A184" s="1748">
        <v>6</v>
      </c>
      <c r="B184" s="1750" t="s">
        <v>3320</v>
      </c>
      <c r="C184" s="1753">
        <v>11</v>
      </c>
      <c r="D184" s="1754">
        <v>0.2</v>
      </c>
      <c r="E184" s="1752">
        <f t="shared" si="55"/>
        <v>3.0579999999999998</v>
      </c>
      <c r="F184" s="1747">
        <f t="shared" si="53"/>
        <v>3.278</v>
      </c>
      <c r="G184" s="1747">
        <f t="shared" si="54"/>
        <v>2.6400000000000023</v>
      </c>
    </row>
    <row r="185" spans="1:7">
      <c r="A185" s="1748">
        <v>7</v>
      </c>
      <c r="B185" s="1750" t="s">
        <v>3321</v>
      </c>
      <c r="C185" s="1753">
        <v>11</v>
      </c>
      <c r="D185" s="1754">
        <v>0.12</v>
      </c>
      <c r="E185" s="1752">
        <f t="shared" si="55"/>
        <v>1.8347999999999995</v>
      </c>
      <c r="F185" s="1747">
        <f t="shared" si="53"/>
        <v>1.9667999999999997</v>
      </c>
      <c r="G185" s="1747">
        <f t="shared" si="54"/>
        <v>1.5840000000000014</v>
      </c>
    </row>
    <row r="186" spans="1:7">
      <c r="A186" s="1748">
        <v>8</v>
      </c>
      <c r="B186" s="1750" t="s">
        <v>3425</v>
      </c>
      <c r="C186" s="1753">
        <v>67</v>
      </c>
      <c r="D186" s="1754">
        <v>0.12</v>
      </c>
      <c r="E186" s="1752">
        <f t="shared" si="55"/>
        <v>11.175599999999998</v>
      </c>
      <c r="F186" s="1747">
        <f t="shared" si="53"/>
        <v>11.979599999999998</v>
      </c>
      <c r="G186" s="1747">
        <f t="shared" si="54"/>
        <v>9.6480000000000032</v>
      </c>
    </row>
    <row r="187" spans="1:7">
      <c r="A187" s="1736" t="s">
        <v>14</v>
      </c>
      <c r="B187" s="1737" t="s">
        <v>3322</v>
      </c>
      <c r="C187" s="1743">
        <f>SUM(C188:C197)</f>
        <v>22</v>
      </c>
      <c r="D187" s="1755"/>
      <c r="E187" s="1741">
        <f t="shared" ref="E187:F187" si="56">SUM(E188:E197)</f>
        <v>2.2517999999999998</v>
      </c>
      <c r="F187" s="1741">
        <f t="shared" si="56"/>
        <v>2.4138000000000002</v>
      </c>
      <c r="G187" s="1741">
        <f>SUM(G188:G197)</f>
        <v>1.9440000000000017</v>
      </c>
    </row>
    <row r="188" spans="1:7">
      <c r="A188" s="1748"/>
      <c r="B188" s="1749" t="s">
        <v>3323</v>
      </c>
      <c r="C188" s="1750">
        <v>5</v>
      </c>
      <c r="D188" s="1756">
        <v>0.05</v>
      </c>
      <c r="E188" s="1752">
        <f t="shared" ref="E188:E197" si="57">C188*D188*1.39</f>
        <v>0.34749999999999998</v>
      </c>
      <c r="F188" s="1747">
        <f t="shared" ref="F188:F197" si="58">C188*D188*1.49</f>
        <v>0.3725</v>
      </c>
      <c r="G188" s="1747">
        <f t="shared" ref="G188:G200" si="59">(F188-E188)*12</f>
        <v>0.30000000000000027</v>
      </c>
    </row>
    <row r="189" spans="1:7">
      <c r="A189" s="1748"/>
      <c r="B189" s="1749" t="s">
        <v>3324</v>
      </c>
      <c r="C189" s="1750">
        <v>4</v>
      </c>
      <c r="D189" s="1756">
        <v>0.06</v>
      </c>
      <c r="E189" s="1752">
        <f t="shared" si="57"/>
        <v>0.33359999999999995</v>
      </c>
      <c r="F189" s="1747">
        <f t="shared" si="58"/>
        <v>0.35759999999999997</v>
      </c>
      <c r="G189" s="1747">
        <f t="shared" si="59"/>
        <v>0.28800000000000026</v>
      </c>
    </row>
    <row r="190" spans="1:7">
      <c r="A190" s="1748"/>
      <c r="B190" s="1749" t="s">
        <v>3325</v>
      </c>
      <c r="C190" s="1750">
        <v>6</v>
      </c>
      <c r="D190" s="1756">
        <v>7.0000000000000007E-2</v>
      </c>
      <c r="E190" s="1752">
        <f t="shared" si="57"/>
        <v>0.58379999999999999</v>
      </c>
      <c r="F190" s="1747">
        <f t="shared" si="58"/>
        <v>0.62580000000000002</v>
      </c>
      <c r="G190" s="1747">
        <f t="shared" si="59"/>
        <v>0.50400000000000045</v>
      </c>
    </row>
    <row r="191" spans="1:7">
      <c r="A191" s="1748"/>
      <c r="B191" s="1749" t="s">
        <v>3326</v>
      </c>
      <c r="C191" s="1750">
        <v>2</v>
      </c>
      <c r="D191" s="1756">
        <v>0.08</v>
      </c>
      <c r="E191" s="1752">
        <f t="shared" si="57"/>
        <v>0.22239999999999999</v>
      </c>
      <c r="F191" s="1747">
        <f t="shared" si="58"/>
        <v>0.2384</v>
      </c>
      <c r="G191" s="1747">
        <f t="shared" si="59"/>
        <v>0.19200000000000017</v>
      </c>
    </row>
    <row r="192" spans="1:7">
      <c r="A192" s="1748"/>
      <c r="B192" s="1749" t="s">
        <v>3327</v>
      </c>
      <c r="C192" s="1750">
        <v>1</v>
      </c>
      <c r="D192" s="1756">
        <v>0.09</v>
      </c>
      <c r="E192" s="1752">
        <f t="shared" si="57"/>
        <v>0.12509999999999999</v>
      </c>
      <c r="F192" s="1747">
        <f t="shared" si="58"/>
        <v>0.1341</v>
      </c>
      <c r="G192" s="1747">
        <f t="shared" si="59"/>
        <v>0.1080000000000001</v>
      </c>
    </row>
    <row r="193" spans="1:7">
      <c r="A193" s="1748"/>
      <c r="B193" s="1749" t="s">
        <v>3328</v>
      </c>
      <c r="C193" s="1750">
        <v>1</v>
      </c>
      <c r="D193" s="1756">
        <v>0.1</v>
      </c>
      <c r="E193" s="1752">
        <f t="shared" si="57"/>
        <v>0.13899999999999998</v>
      </c>
      <c r="F193" s="1747">
        <f t="shared" si="58"/>
        <v>0.14899999999999999</v>
      </c>
      <c r="G193" s="1747">
        <f t="shared" si="59"/>
        <v>0.12000000000000011</v>
      </c>
    </row>
    <row r="194" spans="1:7">
      <c r="A194" s="1748"/>
      <c r="B194" s="1749" t="s">
        <v>3329</v>
      </c>
      <c r="C194" s="1750">
        <v>2</v>
      </c>
      <c r="D194" s="1756">
        <v>0.11</v>
      </c>
      <c r="E194" s="1752">
        <f t="shared" si="57"/>
        <v>0.30579999999999996</v>
      </c>
      <c r="F194" s="1747">
        <f t="shared" si="58"/>
        <v>0.32779999999999998</v>
      </c>
      <c r="G194" s="1747">
        <f t="shared" si="59"/>
        <v>0.26400000000000023</v>
      </c>
    </row>
    <row r="195" spans="1:7">
      <c r="A195" s="1748"/>
      <c r="B195" s="1749" t="s">
        <v>3330</v>
      </c>
      <c r="C195" s="1750"/>
      <c r="D195" s="1756">
        <v>0.12</v>
      </c>
      <c r="E195" s="1752">
        <f t="shared" si="57"/>
        <v>0</v>
      </c>
      <c r="F195" s="1747">
        <f t="shared" si="58"/>
        <v>0</v>
      </c>
      <c r="G195" s="1747">
        <f t="shared" si="59"/>
        <v>0</v>
      </c>
    </row>
    <row r="196" spans="1:7">
      <c r="A196" s="1748"/>
      <c r="B196" s="1749" t="s">
        <v>3331</v>
      </c>
      <c r="C196" s="1750"/>
      <c r="D196" s="1756">
        <v>0.13</v>
      </c>
      <c r="E196" s="1752">
        <f t="shared" si="57"/>
        <v>0</v>
      </c>
      <c r="F196" s="1747">
        <f t="shared" si="58"/>
        <v>0</v>
      </c>
      <c r="G196" s="1747">
        <f t="shared" si="59"/>
        <v>0</v>
      </c>
    </row>
    <row r="197" spans="1:7">
      <c r="A197" s="1748"/>
      <c r="B197" s="1749" t="s">
        <v>3332</v>
      </c>
      <c r="C197" s="1750">
        <v>1</v>
      </c>
      <c r="D197" s="1756">
        <v>0.14000000000000001</v>
      </c>
      <c r="E197" s="1752">
        <f t="shared" si="57"/>
        <v>0.1946</v>
      </c>
      <c r="F197" s="1747">
        <f t="shared" si="58"/>
        <v>0.20860000000000001</v>
      </c>
      <c r="G197" s="1747">
        <f t="shared" si="59"/>
        <v>0.16800000000000015</v>
      </c>
    </row>
    <row r="198" spans="1:7" ht="28.5">
      <c r="A198" s="1736" t="s">
        <v>18</v>
      </c>
      <c r="B198" s="1757" t="s">
        <v>3424</v>
      </c>
      <c r="C198" s="1743">
        <f>C199+C200</f>
        <v>33</v>
      </c>
      <c r="D198" s="1743">
        <f>D199+D200</f>
        <v>0</v>
      </c>
      <c r="E198" s="1744"/>
      <c r="F198" s="1747"/>
      <c r="G198" s="1747">
        <f t="shared" si="59"/>
        <v>0</v>
      </c>
    </row>
    <row r="199" spans="1:7">
      <c r="A199" s="1748">
        <v>1</v>
      </c>
      <c r="B199" s="1750" t="s">
        <v>3333</v>
      </c>
      <c r="C199" s="1750">
        <v>22</v>
      </c>
      <c r="D199" s="1751"/>
      <c r="E199" s="1752"/>
      <c r="F199" s="1747">
        <f t="shared" ref="F199:F200" si="60">C199*D199*1.49</f>
        <v>0</v>
      </c>
      <c r="G199" s="1747">
        <f t="shared" si="59"/>
        <v>0</v>
      </c>
    </row>
    <row r="200" spans="1:7">
      <c r="A200" s="1748">
        <v>2</v>
      </c>
      <c r="B200" s="1750" t="s">
        <v>3334</v>
      </c>
      <c r="C200" s="1750">
        <v>11</v>
      </c>
      <c r="D200" s="1758"/>
      <c r="E200" s="1752"/>
      <c r="F200" s="1747">
        <f t="shared" si="60"/>
        <v>0</v>
      </c>
      <c r="G200" s="1747">
        <f t="shared" si="59"/>
        <v>0</v>
      </c>
    </row>
    <row r="201" spans="1:7" ht="28.5">
      <c r="A201" s="1736" t="s">
        <v>867</v>
      </c>
      <c r="B201" s="1735" t="s">
        <v>3426</v>
      </c>
      <c r="C201" s="1743"/>
      <c r="D201" s="1738"/>
      <c r="E201" s="1744"/>
      <c r="F201" s="1747"/>
      <c r="G201" s="1741">
        <f>G202+G203+G206</f>
        <v>21.120000000000019</v>
      </c>
    </row>
    <row r="202" spans="1:7">
      <c r="A202" s="1736">
        <v>1</v>
      </c>
      <c r="B202" s="1737" t="s">
        <v>3428</v>
      </c>
      <c r="C202" s="1743">
        <v>33</v>
      </c>
      <c r="D202" s="1744">
        <v>4.2999999999999997E-2</v>
      </c>
      <c r="E202" s="1744">
        <f>C202*D202</f>
        <v>1.4189999999999998</v>
      </c>
      <c r="F202" s="1744">
        <f>E202</f>
        <v>1.4189999999999998</v>
      </c>
      <c r="G202" s="1747">
        <f t="shared" ref="G202" si="61">(F202-E202)*12</f>
        <v>0</v>
      </c>
    </row>
    <row r="203" spans="1:7">
      <c r="A203" s="1736">
        <v>2</v>
      </c>
      <c r="B203" s="1348" t="s">
        <v>3335</v>
      </c>
      <c r="C203" s="1743">
        <v>220</v>
      </c>
      <c r="D203" s="1746"/>
      <c r="E203" s="1744"/>
      <c r="F203" s="1747"/>
      <c r="G203" s="1741">
        <f>G204+G205</f>
        <v>10.560000000000009</v>
      </c>
    </row>
    <row r="204" spans="1:7">
      <c r="A204" s="1748"/>
      <c r="B204" s="1349" t="s">
        <v>3336</v>
      </c>
      <c r="C204" s="1750">
        <v>110</v>
      </c>
      <c r="D204" s="1754">
        <v>0.03</v>
      </c>
      <c r="E204" s="1752">
        <f>C204*D204</f>
        <v>3.3</v>
      </c>
      <c r="F204" s="1747">
        <f>E204</f>
        <v>3.3</v>
      </c>
      <c r="G204" s="1747">
        <f t="shared" ref="G204:G205" si="62">(F204-E204)*12</f>
        <v>0</v>
      </c>
    </row>
    <row r="205" spans="1:7">
      <c r="A205" s="1748"/>
      <c r="B205" s="1349" t="s">
        <v>3337</v>
      </c>
      <c r="C205" s="1750">
        <v>110</v>
      </c>
      <c r="D205" s="1759">
        <v>0.08</v>
      </c>
      <c r="E205" s="1752">
        <f>C205*D205*1.39</f>
        <v>12.231999999999999</v>
      </c>
      <c r="F205" s="1747">
        <f>C205*D205*1.49</f>
        <v>13.112</v>
      </c>
      <c r="G205" s="1747">
        <f t="shared" si="62"/>
        <v>10.560000000000009</v>
      </c>
    </row>
    <row r="206" spans="1:7">
      <c r="A206" s="1736">
        <v>3</v>
      </c>
      <c r="B206" s="1737" t="s">
        <v>3338</v>
      </c>
      <c r="C206" s="1743"/>
      <c r="D206" s="1738"/>
      <c r="E206" s="1744"/>
      <c r="F206" s="1747"/>
      <c r="G206" s="1741">
        <f>G207+G208</f>
        <v>10.560000000000009</v>
      </c>
    </row>
    <row r="207" spans="1:7">
      <c r="A207" s="1748"/>
      <c r="B207" s="1349" t="s">
        <v>3336</v>
      </c>
      <c r="C207" s="1750">
        <v>110</v>
      </c>
      <c r="D207" s="1754">
        <v>0.03</v>
      </c>
      <c r="E207" s="1752">
        <f>C207*D207</f>
        <v>3.3</v>
      </c>
      <c r="F207" s="1747">
        <f>E207</f>
        <v>3.3</v>
      </c>
      <c r="G207" s="1747">
        <f t="shared" ref="G207:G208" si="63">(F207-E207)*12</f>
        <v>0</v>
      </c>
    </row>
    <row r="208" spans="1:7">
      <c r="A208" s="1748"/>
      <c r="B208" s="1349" t="s">
        <v>3337</v>
      </c>
      <c r="C208" s="1750">
        <v>110</v>
      </c>
      <c r="D208" s="1759">
        <v>0.08</v>
      </c>
      <c r="E208" s="1752">
        <f>C208*D208*1.39</f>
        <v>12.231999999999999</v>
      </c>
      <c r="F208" s="1747">
        <f>C208*D208*1.49</f>
        <v>13.112</v>
      </c>
      <c r="G208" s="1747">
        <f t="shared" si="63"/>
        <v>10.560000000000009</v>
      </c>
    </row>
    <row r="209" spans="1:7">
      <c r="A209" s="1736" t="s">
        <v>933</v>
      </c>
      <c r="B209" s="1743" t="s">
        <v>3427</v>
      </c>
      <c r="C209" s="1743">
        <f>C210</f>
        <v>22</v>
      </c>
      <c r="D209" s="1760">
        <f>D210</f>
        <v>0.22500000000000001</v>
      </c>
      <c r="E209" s="1761">
        <f t="shared" ref="E209:G209" si="64">E210</f>
        <v>6.8804999999999996</v>
      </c>
      <c r="F209" s="1761">
        <f t="shared" si="64"/>
        <v>7.3755000000000006</v>
      </c>
      <c r="G209" s="1761">
        <f t="shared" si="64"/>
        <v>5.9400000000000119</v>
      </c>
    </row>
    <row r="210" spans="1:7">
      <c r="A210" s="1748"/>
      <c r="B210" s="1750" t="s">
        <v>3333</v>
      </c>
      <c r="C210" s="1750">
        <v>22</v>
      </c>
      <c r="D210" s="1762">
        <v>0.22500000000000001</v>
      </c>
      <c r="E210" s="1763">
        <f>C210*D210*1.39</f>
        <v>6.8804999999999996</v>
      </c>
      <c r="F210" s="1747">
        <f>C210*D210*1.49</f>
        <v>7.3755000000000006</v>
      </c>
      <c r="G210" s="1747">
        <f t="shared" ref="G210" si="65">(F210-E210)*12</f>
        <v>5.9400000000000119</v>
      </c>
    </row>
    <row r="211" spans="1:7">
      <c r="A211" s="1748"/>
      <c r="B211" s="1769" t="s">
        <v>3333</v>
      </c>
      <c r="C211" s="1750"/>
      <c r="D211" s="1762"/>
      <c r="E211" s="1763"/>
      <c r="F211" s="1747"/>
      <c r="G211" s="1747"/>
    </row>
    <row r="212" spans="1:7">
      <c r="A212" s="1748"/>
      <c r="B212" s="1770" t="s">
        <v>3456</v>
      </c>
      <c r="C212" s="1750"/>
      <c r="D212" s="1762"/>
      <c r="E212" s="1763"/>
      <c r="F212" s="1747"/>
      <c r="G212" s="1747"/>
    </row>
    <row r="213" spans="1:7">
      <c r="A213" s="1404"/>
      <c r="B213" s="1405" t="s">
        <v>2499</v>
      </c>
      <c r="C213" s="1407">
        <f>SUM(C214,C229,C238,C249,C252,C260)</f>
        <v>505</v>
      </c>
      <c r="D213" s="1406"/>
      <c r="E213" s="1406">
        <f>SUM(E214,E229,E238,E249,E252,E260)</f>
        <v>217.00679999999997</v>
      </c>
      <c r="F213" s="1406">
        <f>SUM(F214,F229,F238,F249,F252,F260)</f>
        <v>232.61879999999999</v>
      </c>
      <c r="G213" s="1406">
        <f>SUM(G214,G229,G238,G249,G252,G260)</f>
        <v>208.46400000000014</v>
      </c>
    </row>
    <row r="214" spans="1:7">
      <c r="A214" s="1736" t="s">
        <v>13</v>
      </c>
      <c r="B214" s="1737" t="s">
        <v>3309</v>
      </c>
      <c r="C214" s="1738">
        <f>C215+C228</f>
        <v>124</v>
      </c>
      <c r="D214" s="1739"/>
      <c r="E214" s="1740">
        <f>E215+E228</f>
        <v>119.81799999999998</v>
      </c>
      <c r="F214" s="1740">
        <f>F215+F228</f>
        <v>128.43799999999999</v>
      </c>
      <c r="G214" s="1741">
        <f>(F214-E214)*12</f>
        <v>103.44000000000005</v>
      </c>
    </row>
    <row r="215" spans="1:7">
      <c r="A215" s="1736">
        <v>1</v>
      </c>
      <c r="B215" s="1742" t="s">
        <v>3422</v>
      </c>
      <c r="C215" s="1743">
        <f>C216+C219</f>
        <v>44</v>
      </c>
      <c r="D215" s="1739"/>
      <c r="E215" s="1744">
        <f>E216+E219</f>
        <v>64.217999999999989</v>
      </c>
      <c r="F215" s="1744">
        <f>F216+F219</f>
        <v>68.837999999999994</v>
      </c>
      <c r="G215" s="1744">
        <f>G216+G219</f>
        <v>55.440000000000069</v>
      </c>
    </row>
    <row r="216" spans="1:7">
      <c r="A216" s="1736"/>
      <c r="B216" s="1745" t="s">
        <v>3310</v>
      </c>
      <c r="C216" s="1743">
        <f>C217+C218</f>
        <v>22</v>
      </c>
      <c r="D216" s="1746"/>
      <c r="E216" s="1744">
        <f t="shared" ref="E216:G216" si="66">E217+E218</f>
        <v>30.58</v>
      </c>
      <c r="F216" s="1744">
        <f t="shared" si="66"/>
        <v>32.78</v>
      </c>
      <c r="G216" s="1744">
        <f t="shared" si="66"/>
        <v>26.400000000000034</v>
      </c>
    </row>
    <row r="217" spans="1:7">
      <c r="A217" s="1748"/>
      <c r="B217" s="1749" t="s">
        <v>3311</v>
      </c>
      <c r="C217" s="1750">
        <v>11</v>
      </c>
      <c r="D217" s="1751">
        <v>1</v>
      </c>
      <c r="E217" s="1752">
        <f>C217*D217*1.39</f>
        <v>15.29</v>
      </c>
      <c r="F217" s="1747">
        <f>C217*D217*1.49</f>
        <v>16.39</v>
      </c>
      <c r="G217" s="1747">
        <f t="shared" ref="G217:G218" si="67">(F217-E217)*12</f>
        <v>13.200000000000017</v>
      </c>
    </row>
    <row r="218" spans="1:7">
      <c r="A218" s="1748"/>
      <c r="B218" s="1749" t="s">
        <v>3312</v>
      </c>
      <c r="C218" s="1750">
        <v>11</v>
      </c>
      <c r="D218" s="1751">
        <v>1</v>
      </c>
      <c r="E218" s="1752">
        <f>C218*D218*1.39</f>
        <v>15.29</v>
      </c>
      <c r="F218" s="1747">
        <f>C218*D218*1.49</f>
        <v>16.39</v>
      </c>
      <c r="G218" s="1747">
        <f t="shared" si="67"/>
        <v>13.200000000000017</v>
      </c>
    </row>
    <row r="219" spans="1:7">
      <c r="A219" s="1736"/>
      <c r="B219" s="1745" t="s">
        <v>3423</v>
      </c>
      <c r="C219" s="1743">
        <f>C220+C224</f>
        <v>22</v>
      </c>
      <c r="D219" s="1746">
        <f>D220+D224</f>
        <v>0</v>
      </c>
      <c r="E219" s="1744">
        <f t="shared" ref="E219:G219" si="68">E220+E224</f>
        <v>33.637999999999998</v>
      </c>
      <c r="F219" s="1744">
        <f t="shared" si="68"/>
        <v>36.058</v>
      </c>
      <c r="G219" s="1744">
        <f t="shared" si="68"/>
        <v>29.040000000000035</v>
      </c>
    </row>
    <row r="220" spans="1:7">
      <c r="A220" s="1748"/>
      <c r="B220" s="1749" t="s">
        <v>3311</v>
      </c>
      <c r="C220" s="1750">
        <f>SUM(C221:C223)</f>
        <v>11</v>
      </c>
      <c r="D220" s="1734"/>
      <c r="E220" s="1752">
        <f>SUM(E221:E223)</f>
        <v>18.820599999999999</v>
      </c>
      <c r="F220" s="1752">
        <f>SUM(F221:F223)</f>
        <v>20.174600000000002</v>
      </c>
      <c r="G220" s="1752">
        <f>SUM(G221:G223)</f>
        <v>16.248000000000019</v>
      </c>
    </row>
    <row r="221" spans="1:7">
      <c r="A221" s="1748"/>
      <c r="B221" s="1342" t="s">
        <v>129</v>
      </c>
      <c r="C221" s="1750">
        <v>7</v>
      </c>
      <c r="D221" s="1734">
        <v>1.34</v>
      </c>
      <c r="E221" s="1752">
        <f>C221*D221*1.39</f>
        <v>13.0382</v>
      </c>
      <c r="F221" s="1747">
        <f>C221*D221*1.49</f>
        <v>13.9762</v>
      </c>
      <c r="G221" s="1747">
        <f t="shared" ref="G221:G223" si="69">(F221-E221)*12</f>
        <v>11.256000000000007</v>
      </c>
    </row>
    <row r="222" spans="1:7">
      <c r="A222" s="1748"/>
      <c r="B222" s="1342" t="s">
        <v>1312</v>
      </c>
      <c r="C222" s="1750">
        <v>3</v>
      </c>
      <c r="D222" s="1734">
        <v>1.1000000000000001</v>
      </c>
      <c r="E222" s="1752">
        <f>C222*D222*1.39</f>
        <v>4.5869999999999997</v>
      </c>
      <c r="F222" s="1747">
        <f>C222*D222*1.49</f>
        <v>4.9170000000000007</v>
      </c>
      <c r="G222" s="1747">
        <f t="shared" si="69"/>
        <v>3.9600000000000115</v>
      </c>
    </row>
    <row r="223" spans="1:7">
      <c r="A223" s="1748"/>
      <c r="B223" s="1342" t="s">
        <v>3435</v>
      </c>
      <c r="C223" s="1750">
        <v>1</v>
      </c>
      <c r="D223" s="1734">
        <v>0.86</v>
      </c>
      <c r="E223" s="1752">
        <f>C223*D223*1.39</f>
        <v>1.1953999999999998</v>
      </c>
      <c r="F223" s="1747">
        <f>C223*D223*1.49</f>
        <v>1.2813999999999999</v>
      </c>
      <c r="G223" s="1747">
        <f t="shared" si="69"/>
        <v>1.0320000000000009</v>
      </c>
    </row>
    <row r="224" spans="1:7">
      <c r="A224" s="1748"/>
      <c r="B224" s="1749" t="s">
        <v>3312</v>
      </c>
      <c r="C224" s="1750">
        <f>SUM(C225:C227)</f>
        <v>11</v>
      </c>
      <c r="D224" s="1734"/>
      <c r="E224" s="1752">
        <f>SUM(E225:E227)</f>
        <v>14.817399999999999</v>
      </c>
      <c r="F224" s="1752">
        <f>SUM(F225:F227)</f>
        <v>15.8834</v>
      </c>
      <c r="G224" s="1752">
        <f>SUM(G225:G227)</f>
        <v>12.792000000000016</v>
      </c>
    </row>
    <row r="225" spans="1:7">
      <c r="A225" s="1748"/>
      <c r="B225" s="1342" t="s">
        <v>129</v>
      </c>
      <c r="C225" s="1750">
        <v>1</v>
      </c>
      <c r="D225" s="1734">
        <v>1.34</v>
      </c>
      <c r="E225" s="1752">
        <f>C225*D225*1.39</f>
        <v>1.8626</v>
      </c>
      <c r="F225" s="1747">
        <f>C225*D225*1.49</f>
        <v>1.9966000000000002</v>
      </c>
      <c r="G225" s="1747">
        <f t="shared" ref="G225:G228" si="70">(F225-E225)*12</f>
        <v>1.6080000000000014</v>
      </c>
    </row>
    <row r="226" spans="1:7">
      <c r="A226" s="1748"/>
      <c r="B226" s="1342" t="s">
        <v>1312</v>
      </c>
      <c r="C226" s="1750">
        <v>3</v>
      </c>
      <c r="D226" s="1734">
        <v>1.1000000000000001</v>
      </c>
      <c r="E226" s="1752">
        <f>C226*D226*1.39</f>
        <v>4.5869999999999997</v>
      </c>
      <c r="F226" s="1747">
        <f>C226*D226*1.49</f>
        <v>4.9170000000000007</v>
      </c>
      <c r="G226" s="1747">
        <f t="shared" si="70"/>
        <v>3.9600000000000115</v>
      </c>
    </row>
    <row r="227" spans="1:7">
      <c r="A227" s="1748"/>
      <c r="B227" s="1342" t="s">
        <v>3435</v>
      </c>
      <c r="C227" s="1750">
        <v>7</v>
      </c>
      <c r="D227" s="1734">
        <v>0.86</v>
      </c>
      <c r="E227" s="1752">
        <f>C227*D227*1.39</f>
        <v>8.367799999999999</v>
      </c>
      <c r="F227" s="1747">
        <f>C227*D227*1.49</f>
        <v>8.9697999999999993</v>
      </c>
      <c r="G227" s="1747">
        <f t="shared" si="70"/>
        <v>7.2240000000000038</v>
      </c>
    </row>
    <row r="228" spans="1:7">
      <c r="A228" s="1736">
        <v>2</v>
      </c>
      <c r="B228" s="1743" t="s">
        <v>3313</v>
      </c>
      <c r="C228" s="1743">
        <v>80</v>
      </c>
      <c r="D228" s="1739">
        <v>0.5</v>
      </c>
      <c r="E228" s="1744">
        <f>C228*D228*1.39</f>
        <v>55.599999999999994</v>
      </c>
      <c r="F228" s="1741">
        <f>C228*D228*1.49</f>
        <v>59.6</v>
      </c>
      <c r="G228" s="1741">
        <f t="shared" si="70"/>
        <v>48.000000000000085</v>
      </c>
    </row>
    <row r="229" spans="1:7">
      <c r="A229" s="1736" t="s">
        <v>65</v>
      </c>
      <c r="B229" s="1737" t="s">
        <v>3314</v>
      </c>
      <c r="C229" s="1743">
        <f>SUM(C230:C237)</f>
        <v>202</v>
      </c>
      <c r="D229" s="1739"/>
      <c r="E229" s="1741">
        <f t="shared" ref="E229:F229" si="71">SUM(E230:E237)</f>
        <v>41.922399999999996</v>
      </c>
      <c r="F229" s="1741">
        <f t="shared" si="71"/>
        <v>44.938400000000001</v>
      </c>
      <c r="G229" s="1741">
        <f>SUM(G230:G237)</f>
        <v>36.192000000000036</v>
      </c>
    </row>
    <row r="230" spans="1:7">
      <c r="A230" s="1748">
        <v>1</v>
      </c>
      <c r="B230" s="1750" t="s">
        <v>3315</v>
      </c>
      <c r="C230" s="1753">
        <v>11</v>
      </c>
      <c r="D230" s="1754">
        <v>0.24</v>
      </c>
      <c r="E230" s="1752">
        <f>C230*D230*1.39</f>
        <v>3.6695999999999991</v>
      </c>
      <c r="F230" s="1747">
        <f t="shared" ref="F230:F237" si="72">C230*D230*1.49</f>
        <v>3.9335999999999993</v>
      </c>
      <c r="G230" s="1747">
        <f t="shared" ref="G230:G237" si="73">(F230-E230)*12</f>
        <v>3.1680000000000028</v>
      </c>
    </row>
    <row r="231" spans="1:7">
      <c r="A231" s="1748">
        <v>2</v>
      </c>
      <c r="B231" s="1750" t="s">
        <v>3316</v>
      </c>
      <c r="C231" s="1753">
        <v>11</v>
      </c>
      <c r="D231" s="1754">
        <v>0.24</v>
      </c>
      <c r="E231" s="1752">
        <f t="shared" ref="E231:E237" si="74">C231*D231*1.39</f>
        <v>3.6695999999999991</v>
      </c>
      <c r="F231" s="1747">
        <f t="shared" si="72"/>
        <v>3.9335999999999993</v>
      </c>
      <c r="G231" s="1747">
        <f t="shared" si="73"/>
        <v>3.1680000000000028</v>
      </c>
    </row>
    <row r="232" spans="1:7">
      <c r="A232" s="1748">
        <v>3</v>
      </c>
      <c r="B232" s="1750" t="s">
        <v>3317</v>
      </c>
      <c r="C232" s="1753">
        <v>11</v>
      </c>
      <c r="D232" s="1754">
        <v>0.22</v>
      </c>
      <c r="E232" s="1752">
        <f t="shared" si="74"/>
        <v>3.3637999999999995</v>
      </c>
      <c r="F232" s="1747">
        <f t="shared" si="72"/>
        <v>3.6057999999999999</v>
      </c>
      <c r="G232" s="1747">
        <f t="shared" si="73"/>
        <v>2.9040000000000052</v>
      </c>
    </row>
    <row r="233" spans="1:7">
      <c r="A233" s="1748">
        <v>4</v>
      </c>
      <c r="B233" s="1750" t="s">
        <v>3318</v>
      </c>
      <c r="C233" s="1753">
        <v>22</v>
      </c>
      <c r="D233" s="1754">
        <v>0.22</v>
      </c>
      <c r="E233" s="1752">
        <f t="shared" si="74"/>
        <v>6.7275999999999989</v>
      </c>
      <c r="F233" s="1747">
        <f t="shared" si="72"/>
        <v>7.2115999999999998</v>
      </c>
      <c r="G233" s="1747">
        <f t="shared" si="73"/>
        <v>5.8080000000000105</v>
      </c>
    </row>
    <row r="234" spans="1:7">
      <c r="A234" s="1748">
        <v>5</v>
      </c>
      <c r="B234" s="1750" t="s">
        <v>3319</v>
      </c>
      <c r="C234" s="1753">
        <v>53</v>
      </c>
      <c r="D234" s="1754">
        <v>0.1</v>
      </c>
      <c r="E234" s="1752">
        <f t="shared" si="74"/>
        <v>7.3670000000000009</v>
      </c>
      <c r="F234" s="1747">
        <f t="shared" si="72"/>
        <v>7.8970000000000011</v>
      </c>
      <c r="G234" s="1747">
        <f t="shared" si="73"/>
        <v>6.360000000000003</v>
      </c>
    </row>
    <row r="235" spans="1:7">
      <c r="A235" s="1748">
        <v>6</v>
      </c>
      <c r="B235" s="1750" t="s">
        <v>3320</v>
      </c>
      <c r="C235" s="1753">
        <v>13</v>
      </c>
      <c r="D235" s="1754">
        <v>0.2</v>
      </c>
      <c r="E235" s="1752">
        <f t="shared" si="74"/>
        <v>3.6139999999999999</v>
      </c>
      <c r="F235" s="1747">
        <f t="shared" si="72"/>
        <v>3.8740000000000001</v>
      </c>
      <c r="G235" s="1747">
        <f t="shared" si="73"/>
        <v>3.1200000000000028</v>
      </c>
    </row>
    <row r="236" spans="1:7">
      <c r="A236" s="1748">
        <v>7</v>
      </c>
      <c r="B236" s="1750" t="s">
        <v>3321</v>
      </c>
      <c r="C236" s="1753">
        <v>1</v>
      </c>
      <c r="D236" s="1754">
        <v>0.12</v>
      </c>
      <c r="E236" s="1752">
        <f t="shared" si="74"/>
        <v>0.16679999999999998</v>
      </c>
      <c r="F236" s="1747">
        <f t="shared" si="72"/>
        <v>0.17879999999999999</v>
      </c>
      <c r="G236" s="1747">
        <f t="shared" si="73"/>
        <v>0.14400000000000013</v>
      </c>
    </row>
    <row r="237" spans="1:7">
      <c r="A237" s="1748">
        <v>8</v>
      </c>
      <c r="B237" s="1750" t="s">
        <v>3425</v>
      </c>
      <c r="C237" s="1753">
        <v>80</v>
      </c>
      <c r="D237" s="1754">
        <v>0.12</v>
      </c>
      <c r="E237" s="1752">
        <f t="shared" si="74"/>
        <v>13.343999999999999</v>
      </c>
      <c r="F237" s="1747">
        <f t="shared" si="72"/>
        <v>14.304</v>
      </c>
      <c r="G237" s="1747">
        <f t="shared" si="73"/>
        <v>11.52000000000001</v>
      </c>
    </row>
    <row r="238" spans="1:7">
      <c r="A238" s="1736" t="s">
        <v>14</v>
      </c>
      <c r="B238" s="1737" t="s">
        <v>3322</v>
      </c>
      <c r="C238" s="1743">
        <f>SUM(C239:C248)</f>
        <v>22</v>
      </c>
      <c r="D238" s="1755"/>
      <c r="E238" s="1741">
        <f t="shared" ref="E238:F238" si="75">SUM(E239:E248)</f>
        <v>2.2517999999999998</v>
      </c>
      <c r="F238" s="1741">
        <f t="shared" si="75"/>
        <v>2.4138000000000002</v>
      </c>
      <c r="G238" s="1741">
        <f>SUM(G239:G248)</f>
        <v>1.9440000000000017</v>
      </c>
    </row>
    <row r="239" spans="1:7">
      <c r="A239" s="1748"/>
      <c r="B239" s="1749" t="s">
        <v>3323</v>
      </c>
      <c r="C239" s="1750">
        <v>5</v>
      </c>
      <c r="D239" s="1756">
        <v>0.05</v>
      </c>
      <c r="E239" s="1752">
        <f t="shared" ref="E239:E248" si="76">C239*D239*1.39</f>
        <v>0.34749999999999998</v>
      </c>
      <c r="F239" s="1747">
        <f t="shared" ref="F239:F248" si="77">C239*D239*1.49</f>
        <v>0.3725</v>
      </c>
      <c r="G239" s="1747">
        <f t="shared" ref="G239:G251" si="78">(F239-E239)*12</f>
        <v>0.30000000000000027</v>
      </c>
    </row>
    <row r="240" spans="1:7">
      <c r="A240" s="1748"/>
      <c r="B240" s="1749" t="s">
        <v>3324</v>
      </c>
      <c r="C240" s="1750">
        <v>4</v>
      </c>
      <c r="D240" s="1756">
        <v>0.06</v>
      </c>
      <c r="E240" s="1752">
        <f t="shared" si="76"/>
        <v>0.33359999999999995</v>
      </c>
      <c r="F240" s="1747">
        <f t="shared" si="77"/>
        <v>0.35759999999999997</v>
      </c>
      <c r="G240" s="1747">
        <f t="shared" si="78"/>
        <v>0.28800000000000026</v>
      </c>
    </row>
    <row r="241" spans="1:7">
      <c r="A241" s="1748"/>
      <c r="B241" s="1749" t="s">
        <v>3325</v>
      </c>
      <c r="C241" s="1750">
        <v>6</v>
      </c>
      <c r="D241" s="1756">
        <v>7.0000000000000007E-2</v>
      </c>
      <c r="E241" s="1752">
        <f t="shared" si="76"/>
        <v>0.58379999999999999</v>
      </c>
      <c r="F241" s="1747">
        <f t="shared" si="77"/>
        <v>0.62580000000000002</v>
      </c>
      <c r="G241" s="1747">
        <f t="shared" si="78"/>
        <v>0.50400000000000045</v>
      </c>
    </row>
    <row r="242" spans="1:7">
      <c r="A242" s="1748"/>
      <c r="B242" s="1749" t="s">
        <v>3326</v>
      </c>
      <c r="C242" s="1750">
        <v>2</v>
      </c>
      <c r="D242" s="1756">
        <v>0.08</v>
      </c>
      <c r="E242" s="1752">
        <f t="shared" si="76"/>
        <v>0.22239999999999999</v>
      </c>
      <c r="F242" s="1747">
        <f t="shared" si="77"/>
        <v>0.2384</v>
      </c>
      <c r="G242" s="1747">
        <f t="shared" si="78"/>
        <v>0.19200000000000017</v>
      </c>
    </row>
    <row r="243" spans="1:7">
      <c r="A243" s="1748"/>
      <c r="B243" s="1749" t="s">
        <v>3327</v>
      </c>
      <c r="C243" s="1750">
        <v>1</v>
      </c>
      <c r="D243" s="1756">
        <v>0.09</v>
      </c>
      <c r="E243" s="1752">
        <f t="shared" si="76"/>
        <v>0.12509999999999999</v>
      </c>
      <c r="F243" s="1747">
        <f t="shared" si="77"/>
        <v>0.1341</v>
      </c>
      <c r="G243" s="1747">
        <f t="shared" si="78"/>
        <v>0.1080000000000001</v>
      </c>
    </row>
    <row r="244" spans="1:7">
      <c r="A244" s="1748"/>
      <c r="B244" s="1749" t="s">
        <v>3328</v>
      </c>
      <c r="C244" s="1750">
        <v>1</v>
      </c>
      <c r="D244" s="1756">
        <v>0.1</v>
      </c>
      <c r="E244" s="1752">
        <f t="shared" si="76"/>
        <v>0.13899999999999998</v>
      </c>
      <c r="F244" s="1747">
        <f t="shared" si="77"/>
        <v>0.14899999999999999</v>
      </c>
      <c r="G244" s="1747">
        <f t="shared" si="78"/>
        <v>0.12000000000000011</v>
      </c>
    </row>
    <row r="245" spans="1:7">
      <c r="A245" s="1748"/>
      <c r="B245" s="1749" t="s">
        <v>3329</v>
      </c>
      <c r="C245" s="1750">
        <v>2</v>
      </c>
      <c r="D245" s="1756">
        <v>0.11</v>
      </c>
      <c r="E245" s="1752">
        <f t="shared" si="76"/>
        <v>0.30579999999999996</v>
      </c>
      <c r="F245" s="1747">
        <f t="shared" si="77"/>
        <v>0.32779999999999998</v>
      </c>
      <c r="G245" s="1747">
        <f t="shared" si="78"/>
        <v>0.26400000000000023</v>
      </c>
    </row>
    <row r="246" spans="1:7">
      <c r="A246" s="1748"/>
      <c r="B246" s="1749" t="s">
        <v>3330</v>
      </c>
      <c r="C246" s="1750"/>
      <c r="D246" s="1756">
        <v>0.12</v>
      </c>
      <c r="E246" s="1752">
        <f t="shared" si="76"/>
        <v>0</v>
      </c>
      <c r="F246" s="1747">
        <f t="shared" si="77"/>
        <v>0</v>
      </c>
      <c r="G246" s="1747">
        <f t="shared" si="78"/>
        <v>0</v>
      </c>
    </row>
    <row r="247" spans="1:7">
      <c r="A247" s="1748"/>
      <c r="B247" s="1749" t="s">
        <v>3331</v>
      </c>
      <c r="C247" s="1750"/>
      <c r="D247" s="1756">
        <v>0.13</v>
      </c>
      <c r="E247" s="1752">
        <f t="shared" si="76"/>
        <v>0</v>
      </c>
      <c r="F247" s="1747">
        <f t="shared" si="77"/>
        <v>0</v>
      </c>
      <c r="G247" s="1747">
        <f t="shared" si="78"/>
        <v>0</v>
      </c>
    </row>
    <row r="248" spans="1:7">
      <c r="A248" s="1748"/>
      <c r="B248" s="1749" t="s">
        <v>3332</v>
      </c>
      <c r="C248" s="1750">
        <v>1</v>
      </c>
      <c r="D248" s="1756">
        <v>0.14000000000000001</v>
      </c>
      <c r="E248" s="1752">
        <f t="shared" si="76"/>
        <v>0.1946</v>
      </c>
      <c r="F248" s="1747">
        <f t="shared" si="77"/>
        <v>0.20860000000000001</v>
      </c>
      <c r="G248" s="1747">
        <f t="shared" si="78"/>
        <v>0.16800000000000015</v>
      </c>
    </row>
    <row r="249" spans="1:7" ht="28.5">
      <c r="A249" s="1736" t="s">
        <v>18</v>
      </c>
      <c r="B249" s="1757" t="s">
        <v>3424</v>
      </c>
      <c r="C249" s="1743">
        <f>C250+C251</f>
        <v>33</v>
      </c>
      <c r="D249" s="1743">
        <f>D250+D251</f>
        <v>1.355</v>
      </c>
      <c r="E249" s="1743">
        <f t="shared" ref="E249:G249" si="79">E250+E251</f>
        <v>39.753999999999991</v>
      </c>
      <c r="F249" s="1743">
        <f t="shared" si="79"/>
        <v>42.613999999999997</v>
      </c>
      <c r="G249" s="1744">
        <f t="shared" si="79"/>
        <v>34.320000000000057</v>
      </c>
    </row>
    <row r="250" spans="1:7">
      <c r="A250" s="1748">
        <v>1</v>
      </c>
      <c r="B250" s="1750" t="s">
        <v>3333</v>
      </c>
      <c r="C250" s="1750">
        <v>22</v>
      </c>
      <c r="D250" s="1768">
        <f>((1.22*2)+(5%*1))*50%</f>
        <v>1.2449999999999999</v>
      </c>
      <c r="E250" s="1752">
        <f t="shared" ref="E250:E251" si="80">C250*D250*1.39</f>
        <v>38.072099999999992</v>
      </c>
      <c r="F250" s="1747">
        <f t="shared" ref="F250:F251" si="81">C250*D250*1.49</f>
        <v>40.811099999999996</v>
      </c>
      <c r="G250" s="1747">
        <f t="shared" si="78"/>
        <v>32.868000000000052</v>
      </c>
    </row>
    <row r="251" spans="1:7">
      <c r="A251" s="1748">
        <v>2</v>
      </c>
      <c r="B251" s="1750" t="s">
        <v>3334</v>
      </c>
      <c r="C251" s="1750">
        <v>11</v>
      </c>
      <c r="D251" s="1768">
        <f>0.22*50%</f>
        <v>0.11</v>
      </c>
      <c r="E251" s="1752">
        <f t="shared" si="80"/>
        <v>1.6818999999999997</v>
      </c>
      <c r="F251" s="1747">
        <f t="shared" si="81"/>
        <v>1.8028999999999999</v>
      </c>
      <c r="G251" s="1747">
        <f t="shared" si="78"/>
        <v>1.4520000000000026</v>
      </c>
    </row>
    <row r="252" spans="1:7" ht="28.5">
      <c r="A252" s="1736" t="s">
        <v>867</v>
      </c>
      <c r="B252" s="1735" t="s">
        <v>3426</v>
      </c>
      <c r="C252" s="1743"/>
      <c r="D252" s="1738"/>
      <c r="E252" s="1744"/>
      <c r="F252" s="1747"/>
      <c r="G252" s="1741">
        <f>G253+G254+G257</f>
        <v>21.120000000000019</v>
      </c>
    </row>
    <row r="253" spans="1:7">
      <c r="A253" s="1736">
        <v>1</v>
      </c>
      <c r="B253" s="1737" t="s">
        <v>3428</v>
      </c>
      <c r="C253" s="1743">
        <v>33</v>
      </c>
      <c r="D253" s="1744">
        <v>4.2999999999999997E-2</v>
      </c>
      <c r="E253" s="1744">
        <f>C253*D253</f>
        <v>1.4189999999999998</v>
      </c>
      <c r="F253" s="1744">
        <f>E253</f>
        <v>1.4189999999999998</v>
      </c>
      <c r="G253" s="1747">
        <f t="shared" ref="G253" si="82">(F253-E253)*12</f>
        <v>0</v>
      </c>
    </row>
    <row r="254" spans="1:7">
      <c r="A254" s="1736">
        <v>2</v>
      </c>
      <c r="B254" s="1348" t="s">
        <v>3335</v>
      </c>
      <c r="C254" s="1743">
        <v>220</v>
      </c>
      <c r="D254" s="1746"/>
      <c r="E254" s="1744"/>
      <c r="F254" s="1747"/>
      <c r="G254" s="1741">
        <f>G255+G256</f>
        <v>10.560000000000009</v>
      </c>
    </row>
    <row r="255" spans="1:7">
      <c r="A255" s="1748"/>
      <c r="B255" s="1349" t="s">
        <v>3336</v>
      </c>
      <c r="C255" s="1750">
        <v>110</v>
      </c>
      <c r="D255" s="1754">
        <v>0.03</v>
      </c>
      <c r="E255" s="1752">
        <f>C255*D255</f>
        <v>3.3</v>
      </c>
      <c r="F255" s="1747">
        <f>E255</f>
        <v>3.3</v>
      </c>
      <c r="G255" s="1747">
        <f t="shared" ref="G255:G256" si="83">(F255-E255)*12</f>
        <v>0</v>
      </c>
    </row>
    <row r="256" spans="1:7">
      <c r="A256" s="1748"/>
      <c r="B256" s="1349" t="s">
        <v>3337</v>
      </c>
      <c r="C256" s="1750">
        <v>110</v>
      </c>
      <c r="D256" s="1759">
        <v>0.08</v>
      </c>
      <c r="E256" s="1752">
        <f>C256*D256*1.39</f>
        <v>12.231999999999999</v>
      </c>
      <c r="F256" s="1747">
        <f>C256*D256*1.49</f>
        <v>13.112</v>
      </c>
      <c r="G256" s="1747">
        <f t="shared" si="83"/>
        <v>10.560000000000009</v>
      </c>
    </row>
    <row r="257" spans="1:7">
      <c r="A257" s="1736">
        <v>3</v>
      </c>
      <c r="B257" s="1737" t="s">
        <v>3338</v>
      </c>
      <c r="C257" s="1743">
        <f>C258+C259</f>
        <v>220</v>
      </c>
      <c r="D257" s="1738"/>
      <c r="E257" s="1744">
        <f t="shared" ref="E257:F257" si="84">E258+E259</f>
        <v>15.532</v>
      </c>
      <c r="F257" s="1744">
        <f t="shared" si="84"/>
        <v>16.411999999999999</v>
      </c>
      <c r="G257" s="1741">
        <f>G258+G259</f>
        <v>10.560000000000009</v>
      </c>
    </row>
    <row r="258" spans="1:7">
      <c r="A258" s="1748"/>
      <c r="B258" s="1349" t="s">
        <v>3336</v>
      </c>
      <c r="C258" s="1750">
        <v>110</v>
      </c>
      <c r="D258" s="1754">
        <v>0.03</v>
      </c>
      <c r="E258" s="1752">
        <f>C258*D258</f>
        <v>3.3</v>
      </c>
      <c r="F258" s="1747">
        <f>E258</f>
        <v>3.3</v>
      </c>
      <c r="G258" s="1747">
        <f t="shared" ref="G258:G259" si="85">(F258-E258)*12</f>
        <v>0</v>
      </c>
    </row>
    <row r="259" spans="1:7">
      <c r="A259" s="1748"/>
      <c r="B259" s="1349" t="s">
        <v>3337</v>
      </c>
      <c r="C259" s="1750">
        <v>110</v>
      </c>
      <c r="D259" s="1759">
        <v>0.08</v>
      </c>
      <c r="E259" s="1752">
        <f>C259*D259*1.39</f>
        <v>12.231999999999999</v>
      </c>
      <c r="F259" s="1747">
        <f>C259*D259*1.49</f>
        <v>13.112</v>
      </c>
      <c r="G259" s="1747">
        <f t="shared" si="85"/>
        <v>10.560000000000009</v>
      </c>
    </row>
    <row r="260" spans="1:7">
      <c r="A260" s="1736" t="s">
        <v>933</v>
      </c>
      <c r="B260" s="1743" t="s">
        <v>3427</v>
      </c>
      <c r="C260" s="1743">
        <f>SUM(C261:C263)</f>
        <v>124</v>
      </c>
      <c r="D260" s="1744">
        <f>SUM(D261:D263)</f>
        <v>0.315</v>
      </c>
      <c r="E260" s="1744">
        <f>SUM(E261:E263)</f>
        <v>13.260599999999998</v>
      </c>
      <c r="F260" s="1744">
        <f>SUM(F261:F263)</f>
        <v>14.214600000000001</v>
      </c>
      <c r="G260" s="1744">
        <f>SUM(G261:G263)</f>
        <v>11.448000000000018</v>
      </c>
    </row>
    <row r="261" spans="1:7">
      <c r="A261" s="1748"/>
      <c r="B261" s="1750" t="s">
        <v>3333</v>
      </c>
      <c r="C261" s="1750">
        <v>22</v>
      </c>
      <c r="D261" s="1762">
        <v>0.22500000000000001</v>
      </c>
      <c r="E261" s="1763">
        <f>C261*D261*1.39</f>
        <v>6.8804999999999996</v>
      </c>
      <c r="F261" s="1747">
        <f>C261*D261*1.49</f>
        <v>7.3755000000000006</v>
      </c>
      <c r="G261" s="1747">
        <f t="shared" ref="G261" si="86">(F261-E261)*12</f>
        <v>5.9400000000000119</v>
      </c>
    </row>
    <row r="262" spans="1:7">
      <c r="A262" s="1771"/>
      <c r="B262" s="1769" t="s">
        <v>3333</v>
      </c>
      <c r="C262" s="1750">
        <v>22</v>
      </c>
      <c r="D262" s="1762">
        <v>4.4999999999999998E-2</v>
      </c>
      <c r="E262" s="1763">
        <f t="shared" ref="E262:E263" si="87">C262*D262*1.39</f>
        <v>1.3760999999999999</v>
      </c>
      <c r="F262" s="1747">
        <f t="shared" ref="F262:F263" si="88">C262*D262*1.49</f>
        <v>1.4751000000000001</v>
      </c>
      <c r="G262" s="1747">
        <f t="shared" ref="G262:G263" si="89">(F262-E262)*12</f>
        <v>1.1880000000000024</v>
      </c>
    </row>
    <row r="263" spans="1:7">
      <c r="A263" s="1771"/>
      <c r="B263" s="1770" t="s">
        <v>3456</v>
      </c>
      <c r="C263" s="1750">
        <v>80</v>
      </c>
      <c r="D263" s="1762">
        <v>4.4999999999999998E-2</v>
      </c>
      <c r="E263" s="1763">
        <f t="shared" si="87"/>
        <v>5.0039999999999996</v>
      </c>
      <c r="F263" s="1747">
        <f t="shared" si="88"/>
        <v>5.3639999999999999</v>
      </c>
      <c r="G263" s="1747">
        <f t="shared" si="89"/>
        <v>4.3200000000000038</v>
      </c>
    </row>
    <row r="264" spans="1:7">
      <c r="A264" s="1404"/>
      <c r="B264" s="1405" t="s">
        <v>2493</v>
      </c>
      <c r="C264" s="1407">
        <f>SUM(C265,C280,C289,C301,C304,C312)</f>
        <v>519</v>
      </c>
      <c r="D264" s="1406"/>
      <c r="E264" s="1406">
        <f>SUM(E265,E280,E289,E301,E304,E312)</f>
        <v>233.89530000000002</v>
      </c>
      <c r="F264" s="1406">
        <f>SUM(F265,F280,F289,F301,F304,F312)</f>
        <v>250.72230000000002</v>
      </c>
      <c r="G264" s="1406">
        <f>SUM(G265,G280,G289,G301,G304,G312)</f>
        <v>224.58000000000015</v>
      </c>
    </row>
    <row r="265" spans="1:7">
      <c r="A265" s="1736" t="s">
        <v>13</v>
      </c>
      <c r="B265" s="1737" t="s">
        <v>3309</v>
      </c>
      <c r="C265" s="1738">
        <f>C266+C279</f>
        <v>179</v>
      </c>
      <c r="D265" s="1739"/>
      <c r="E265" s="1740">
        <f>E266+E279</f>
        <v>169.63560000000001</v>
      </c>
      <c r="F265" s="1740">
        <f>F266+F279</f>
        <v>181.83960000000002</v>
      </c>
      <c r="G265" s="1741">
        <f>(F265-E265)*12</f>
        <v>146.44800000000009</v>
      </c>
    </row>
    <row r="266" spans="1:7">
      <c r="A266" s="1736">
        <v>1</v>
      </c>
      <c r="B266" s="1742" t="s">
        <v>3422</v>
      </c>
      <c r="C266" s="1743">
        <f>C267+C270</f>
        <v>54</v>
      </c>
      <c r="D266" s="1739"/>
      <c r="E266" s="1744">
        <f>E267+E270</f>
        <v>82.760599999999997</v>
      </c>
      <c r="F266" s="1744">
        <f>F267+F270</f>
        <v>88.714600000000004</v>
      </c>
      <c r="G266" s="1744">
        <f>G267+G270</f>
        <v>71.448000000000093</v>
      </c>
    </row>
    <row r="267" spans="1:7">
      <c r="A267" s="1736"/>
      <c r="B267" s="1745" t="s">
        <v>3310</v>
      </c>
      <c r="C267" s="1743">
        <f>C268+C269</f>
        <v>25</v>
      </c>
      <c r="D267" s="1746"/>
      <c r="E267" s="1744">
        <f t="shared" ref="E267:F267" si="90">E268+E269</f>
        <v>34.75</v>
      </c>
      <c r="F267" s="1744">
        <f t="shared" si="90"/>
        <v>37.25</v>
      </c>
      <c r="G267" s="1747">
        <f t="shared" ref="G267:G270" si="91">(F267-E267)*12</f>
        <v>30</v>
      </c>
    </row>
    <row r="268" spans="1:7">
      <c r="A268" s="1748"/>
      <c r="B268" s="1749" t="s">
        <v>3311</v>
      </c>
      <c r="C268" s="1750">
        <v>14</v>
      </c>
      <c r="D268" s="1751">
        <v>1</v>
      </c>
      <c r="E268" s="1752">
        <f>C268*D268*1.39</f>
        <v>19.459999999999997</v>
      </c>
      <c r="F268" s="1747">
        <f>C268*D268*1.49</f>
        <v>20.86</v>
      </c>
      <c r="G268" s="1747">
        <f t="shared" si="91"/>
        <v>16.800000000000026</v>
      </c>
    </row>
    <row r="269" spans="1:7">
      <c r="A269" s="1748"/>
      <c r="B269" s="1749" t="s">
        <v>3312</v>
      </c>
      <c r="C269" s="1750">
        <v>11</v>
      </c>
      <c r="D269" s="1751">
        <v>1</v>
      </c>
      <c r="E269" s="1752">
        <f>C269*D269*1.39</f>
        <v>15.29</v>
      </c>
      <c r="F269" s="1747">
        <f>C269*D269*1.49</f>
        <v>16.39</v>
      </c>
      <c r="G269" s="1747">
        <f t="shared" si="91"/>
        <v>13.200000000000017</v>
      </c>
    </row>
    <row r="270" spans="1:7">
      <c r="A270" s="1736"/>
      <c r="B270" s="1745" t="s">
        <v>3423</v>
      </c>
      <c r="C270" s="1743">
        <f>C271+C275</f>
        <v>29</v>
      </c>
      <c r="D270" s="1746">
        <f>D271+D275</f>
        <v>0</v>
      </c>
      <c r="E270" s="1744">
        <f t="shared" ref="E270:F270" si="92">E271+E275</f>
        <v>48.010599999999997</v>
      </c>
      <c r="F270" s="1744">
        <f t="shared" si="92"/>
        <v>51.464600000000004</v>
      </c>
      <c r="G270" s="1747">
        <f t="shared" si="91"/>
        <v>41.448000000000093</v>
      </c>
    </row>
    <row r="271" spans="1:7">
      <c r="A271" s="1748"/>
      <c r="B271" s="1749" t="s">
        <v>3311</v>
      </c>
      <c r="C271" s="1750">
        <f>SUM(C272:C274)</f>
        <v>15</v>
      </c>
      <c r="D271" s="1734"/>
      <c r="E271" s="1752">
        <f>SUM(E272:E274)</f>
        <v>26.604599999999998</v>
      </c>
      <c r="F271" s="1752">
        <f>SUM(F272:F274)</f>
        <v>28.518600000000003</v>
      </c>
      <c r="G271" s="1752">
        <f>SUM(G272:G274)</f>
        <v>22.96800000000005</v>
      </c>
    </row>
    <row r="272" spans="1:7">
      <c r="A272" s="1748"/>
      <c r="B272" s="1342" t="s">
        <v>129</v>
      </c>
      <c r="C272" s="1750">
        <v>11</v>
      </c>
      <c r="D272" s="1734">
        <v>1.34</v>
      </c>
      <c r="E272" s="1752">
        <f>C272*D272*1.39</f>
        <v>20.488599999999998</v>
      </c>
      <c r="F272" s="1747">
        <f>C272*D272*1.49</f>
        <v>21.962600000000002</v>
      </c>
      <c r="G272" s="1747">
        <f t="shared" ref="G272:G274" si="93">(F272-E272)*12</f>
        <v>17.688000000000045</v>
      </c>
    </row>
    <row r="273" spans="1:7">
      <c r="A273" s="1748"/>
      <c r="B273" s="1342" t="s">
        <v>1312</v>
      </c>
      <c r="C273" s="1750">
        <v>4</v>
      </c>
      <c r="D273" s="1734">
        <v>1.1000000000000001</v>
      </c>
      <c r="E273" s="1752">
        <f>C273*D273*1.39</f>
        <v>6.1159999999999997</v>
      </c>
      <c r="F273" s="1747">
        <f>C273*D273*1.49</f>
        <v>6.556</v>
      </c>
      <c r="G273" s="1747">
        <f t="shared" si="93"/>
        <v>5.2800000000000047</v>
      </c>
    </row>
    <row r="274" spans="1:7">
      <c r="A274" s="1748"/>
      <c r="B274" s="1342" t="s">
        <v>3435</v>
      </c>
      <c r="C274" s="1750"/>
      <c r="D274" s="1734">
        <v>0.86</v>
      </c>
      <c r="E274" s="1752">
        <f>C274*D274*1.39</f>
        <v>0</v>
      </c>
      <c r="F274" s="1747">
        <f>C274*D274*1.49</f>
        <v>0</v>
      </c>
      <c r="G274" s="1747">
        <f t="shared" si="93"/>
        <v>0</v>
      </c>
    </row>
    <row r="275" spans="1:7">
      <c r="A275" s="1748"/>
      <c r="B275" s="1749" t="s">
        <v>3312</v>
      </c>
      <c r="C275" s="1750">
        <f>SUM(C276:C278)</f>
        <v>14</v>
      </c>
      <c r="D275" s="1734"/>
      <c r="E275" s="1752">
        <f>SUM(E276:E278)</f>
        <v>21.405999999999999</v>
      </c>
      <c r="F275" s="1752">
        <f>SUM(F276:F278)</f>
        <v>22.946000000000002</v>
      </c>
      <c r="G275" s="1752">
        <f>SUM(G276:G278)</f>
        <v>18.480000000000032</v>
      </c>
    </row>
    <row r="276" spans="1:7">
      <c r="A276" s="1748"/>
      <c r="B276" s="1342" t="s">
        <v>129</v>
      </c>
      <c r="C276" s="1750">
        <v>5</v>
      </c>
      <c r="D276" s="1734">
        <v>1.34</v>
      </c>
      <c r="E276" s="1752">
        <f>C276*D276*1.39</f>
        <v>9.3129999999999988</v>
      </c>
      <c r="F276" s="1747">
        <f>C276*D276*1.49</f>
        <v>9.9830000000000005</v>
      </c>
      <c r="G276" s="1747">
        <f t="shared" ref="G276:G279" si="94">(F276-E276)*12</f>
        <v>8.0400000000000205</v>
      </c>
    </row>
    <row r="277" spans="1:7">
      <c r="A277" s="1748"/>
      <c r="B277" s="1342" t="s">
        <v>1312</v>
      </c>
      <c r="C277" s="1750">
        <v>4</v>
      </c>
      <c r="D277" s="1734">
        <v>1.1000000000000001</v>
      </c>
      <c r="E277" s="1752">
        <f>C277*D277*1.39</f>
        <v>6.1159999999999997</v>
      </c>
      <c r="F277" s="1747">
        <f>C277*D277*1.49</f>
        <v>6.556</v>
      </c>
      <c r="G277" s="1747">
        <f t="shared" si="94"/>
        <v>5.2800000000000047</v>
      </c>
    </row>
    <row r="278" spans="1:7">
      <c r="A278" s="1748"/>
      <c r="B278" s="1342" t="s">
        <v>3435</v>
      </c>
      <c r="C278" s="1750">
        <v>5</v>
      </c>
      <c r="D278" s="1734">
        <v>0.86</v>
      </c>
      <c r="E278" s="1752">
        <f>C278*D278*1.39</f>
        <v>5.9769999999999994</v>
      </c>
      <c r="F278" s="1747">
        <f>C278*D278*1.49</f>
        <v>6.407</v>
      </c>
      <c r="G278" s="1747">
        <f t="shared" si="94"/>
        <v>5.1600000000000072</v>
      </c>
    </row>
    <row r="279" spans="1:7">
      <c r="A279" s="1736">
        <v>2</v>
      </c>
      <c r="B279" s="1743" t="s">
        <v>3313</v>
      </c>
      <c r="C279" s="1743">
        <v>125</v>
      </c>
      <c r="D279" s="1739">
        <v>0.5</v>
      </c>
      <c r="E279" s="1744">
        <f>C279*D279*1.39</f>
        <v>86.875</v>
      </c>
      <c r="F279" s="1741">
        <f>C279*D279*1.49</f>
        <v>93.125</v>
      </c>
      <c r="G279" s="1741">
        <f t="shared" si="94"/>
        <v>75</v>
      </c>
    </row>
    <row r="280" spans="1:7">
      <c r="A280" s="1736" t="s">
        <v>65</v>
      </c>
      <c r="B280" s="1737" t="s">
        <v>3314</v>
      </c>
      <c r="C280" s="1743">
        <f>SUM(C281:C288)</f>
        <v>244</v>
      </c>
      <c r="D280" s="1739"/>
      <c r="E280" s="1741">
        <f t="shared" ref="E280:F280" si="95">SUM(E281:E288)</f>
        <v>52.236199999999997</v>
      </c>
      <c r="F280" s="1741">
        <f t="shared" si="95"/>
        <v>55.994199999999999</v>
      </c>
      <c r="G280" s="1741">
        <f>SUM(G281:G288)</f>
        <v>45.09600000000006</v>
      </c>
    </row>
    <row r="281" spans="1:7">
      <c r="A281" s="1748">
        <v>1</v>
      </c>
      <c r="B281" s="1750" t="s">
        <v>3315</v>
      </c>
      <c r="C281" s="1753">
        <v>14</v>
      </c>
      <c r="D281" s="1754">
        <v>0.24</v>
      </c>
      <c r="E281" s="1752">
        <f>C281*D281*1.39</f>
        <v>4.6703999999999999</v>
      </c>
      <c r="F281" s="1747">
        <f t="shared" ref="F281:F288" si="96">C281*D281*1.49</f>
        <v>5.0064000000000002</v>
      </c>
      <c r="G281" s="1747">
        <f t="shared" ref="G281:G288" si="97">(F281-E281)*12</f>
        <v>4.0320000000000036</v>
      </c>
    </row>
    <row r="282" spans="1:7">
      <c r="A282" s="1748">
        <v>2</v>
      </c>
      <c r="B282" s="1750" t="s">
        <v>3316</v>
      </c>
      <c r="C282" s="1753">
        <v>14</v>
      </c>
      <c r="D282" s="1754">
        <v>0.24</v>
      </c>
      <c r="E282" s="1752">
        <f t="shared" ref="E282:E288" si="98">C282*D282*1.39</f>
        <v>4.6703999999999999</v>
      </c>
      <c r="F282" s="1747">
        <f t="shared" si="96"/>
        <v>5.0064000000000002</v>
      </c>
      <c r="G282" s="1747">
        <f t="shared" si="97"/>
        <v>4.0320000000000036</v>
      </c>
    </row>
    <row r="283" spans="1:7">
      <c r="A283" s="1748">
        <v>3</v>
      </c>
      <c r="B283" s="1750" t="s">
        <v>3317</v>
      </c>
      <c r="C283" s="1753">
        <v>14</v>
      </c>
      <c r="D283" s="1754">
        <v>0.22</v>
      </c>
      <c r="E283" s="1752">
        <f t="shared" si="98"/>
        <v>4.2812000000000001</v>
      </c>
      <c r="F283" s="1747">
        <f t="shared" si="96"/>
        <v>4.5891999999999999</v>
      </c>
      <c r="G283" s="1747">
        <f t="shared" si="97"/>
        <v>3.695999999999998</v>
      </c>
    </row>
    <row r="284" spans="1:7">
      <c r="A284" s="1748">
        <v>4</v>
      </c>
      <c r="B284" s="1750" t="s">
        <v>3318</v>
      </c>
      <c r="C284" s="1753">
        <v>27</v>
      </c>
      <c r="D284" s="1754">
        <v>0.22</v>
      </c>
      <c r="E284" s="1752">
        <f t="shared" si="98"/>
        <v>8.2566000000000006</v>
      </c>
      <c r="F284" s="1747">
        <f t="shared" si="96"/>
        <v>8.8506</v>
      </c>
      <c r="G284" s="1747">
        <f t="shared" si="97"/>
        <v>7.127999999999993</v>
      </c>
    </row>
    <row r="285" spans="1:7">
      <c r="A285" s="1748">
        <v>5</v>
      </c>
      <c r="B285" s="1750" t="s">
        <v>3319</v>
      </c>
      <c r="C285" s="1753">
        <v>34</v>
      </c>
      <c r="D285" s="1754">
        <v>0.1</v>
      </c>
      <c r="E285" s="1752">
        <f t="shared" si="98"/>
        <v>4.726</v>
      </c>
      <c r="F285" s="1747">
        <f t="shared" si="96"/>
        <v>5.0660000000000007</v>
      </c>
      <c r="G285" s="1747">
        <f t="shared" si="97"/>
        <v>4.080000000000009</v>
      </c>
    </row>
    <row r="286" spans="1:7">
      <c r="A286" s="1748">
        <v>6</v>
      </c>
      <c r="B286" s="1750" t="s">
        <v>3320</v>
      </c>
      <c r="C286" s="1753">
        <v>19</v>
      </c>
      <c r="D286" s="1754">
        <v>0.2</v>
      </c>
      <c r="E286" s="1752">
        <f t="shared" si="98"/>
        <v>5.282</v>
      </c>
      <c r="F286" s="1747">
        <f t="shared" si="96"/>
        <v>5.6619999999999999</v>
      </c>
      <c r="G286" s="1747">
        <f t="shared" si="97"/>
        <v>4.5599999999999987</v>
      </c>
    </row>
    <row r="287" spans="1:7">
      <c r="A287" s="1748">
        <v>7</v>
      </c>
      <c r="B287" s="1750" t="s">
        <v>3321</v>
      </c>
      <c r="C287" s="1753">
        <v>3</v>
      </c>
      <c r="D287" s="1754">
        <v>0.12</v>
      </c>
      <c r="E287" s="1752">
        <f t="shared" si="98"/>
        <v>0.50039999999999996</v>
      </c>
      <c r="F287" s="1747">
        <f t="shared" si="96"/>
        <v>0.53639999999999999</v>
      </c>
      <c r="G287" s="1747">
        <f t="shared" si="97"/>
        <v>0.43200000000000038</v>
      </c>
    </row>
    <row r="288" spans="1:7">
      <c r="A288" s="1748">
        <v>8</v>
      </c>
      <c r="B288" s="1750" t="s">
        <v>3425</v>
      </c>
      <c r="C288" s="1753">
        <v>119</v>
      </c>
      <c r="D288" s="1754">
        <v>0.12</v>
      </c>
      <c r="E288" s="1752">
        <f t="shared" si="98"/>
        <v>19.849199999999996</v>
      </c>
      <c r="F288" s="1747">
        <f t="shared" si="96"/>
        <v>21.277200000000001</v>
      </c>
      <c r="G288" s="1747">
        <f t="shared" si="97"/>
        <v>17.136000000000053</v>
      </c>
    </row>
    <row r="289" spans="1:7">
      <c r="A289" s="1736" t="s">
        <v>14</v>
      </c>
      <c r="B289" s="1737" t="s">
        <v>3322</v>
      </c>
      <c r="C289" s="1743">
        <f>SUM(C290:C300)</f>
        <v>36</v>
      </c>
      <c r="D289" s="1755"/>
      <c r="E289" s="1744">
        <f t="shared" ref="E289:G289" si="99">SUM(E290:E300)</f>
        <v>5.1429999999999998</v>
      </c>
      <c r="F289" s="1744">
        <f t="shared" si="99"/>
        <v>5.5129999999999999</v>
      </c>
      <c r="G289" s="1744">
        <f t="shared" si="99"/>
        <v>4.4400000000000048</v>
      </c>
    </row>
    <row r="290" spans="1:7">
      <c r="A290" s="1748"/>
      <c r="B290" s="1749" t="s">
        <v>3323</v>
      </c>
      <c r="C290" s="1750">
        <v>2</v>
      </c>
      <c r="D290" s="1756">
        <v>0.05</v>
      </c>
      <c r="E290" s="1752">
        <f t="shared" ref="E290:E300" si="100">C290*D290*1.39</f>
        <v>0.13899999999999998</v>
      </c>
      <c r="F290" s="1747">
        <f t="shared" ref="F290:F300" si="101">C290*D290*1.49</f>
        <v>0.14899999999999999</v>
      </c>
      <c r="G290" s="1747">
        <f t="shared" ref="G290:G303" si="102">(F290-E290)*12</f>
        <v>0.12000000000000011</v>
      </c>
    </row>
    <row r="291" spans="1:7">
      <c r="A291" s="1748"/>
      <c r="B291" s="1749" t="s">
        <v>3324</v>
      </c>
      <c r="C291" s="1750">
        <v>1</v>
      </c>
      <c r="D291" s="1756">
        <v>0.06</v>
      </c>
      <c r="E291" s="1752">
        <f t="shared" si="100"/>
        <v>8.3399999999999988E-2</v>
      </c>
      <c r="F291" s="1747">
        <f t="shared" si="101"/>
        <v>8.9399999999999993E-2</v>
      </c>
      <c r="G291" s="1747">
        <f t="shared" si="102"/>
        <v>7.2000000000000064E-2</v>
      </c>
    </row>
    <row r="292" spans="1:7">
      <c r="A292" s="1748"/>
      <c r="B292" s="1749" t="s">
        <v>3325</v>
      </c>
      <c r="C292" s="1750">
        <v>10</v>
      </c>
      <c r="D292" s="1756">
        <v>7.0000000000000007E-2</v>
      </c>
      <c r="E292" s="1752">
        <f t="shared" si="100"/>
        <v>0.97299999999999998</v>
      </c>
      <c r="F292" s="1747">
        <f t="shared" si="101"/>
        <v>1.0430000000000001</v>
      </c>
      <c r="G292" s="1747">
        <f t="shared" si="102"/>
        <v>0.84000000000000208</v>
      </c>
    </row>
    <row r="293" spans="1:7">
      <c r="A293" s="1748"/>
      <c r="B293" s="1749" t="s">
        <v>3326</v>
      </c>
      <c r="C293" s="1750">
        <v>2</v>
      </c>
      <c r="D293" s="1756">
        <v>0.08</v>
      </c>
      <c r="E293" s="1752">
        <f t="shared" si="100"/>
        <v>0.22239999999999999</v>
      </c>
      <c r="F293" s="1747">
        <f t="shared" si="101"/>
        <v>0.2384</v>
      </c>
      <c r="G293" s="1747">
        <f t="shared" si="102"/>
        <v>0.19200000000000017</v>
      </c>
    </row>
    <row r="294" spans="1:7">
      <c r="A294" s="1748"/>
      <c r="B294" s="1749" t="s">
        <v>3327</v>
      </c>
      <c r="C294" s="1750">
        <v>4</v>
      </c>
      <c r="D294" s="1756">
        <v>0.09</v>
      </c>
      <c r="E294" s="1752">
        <f t="shared" si="100"/>
        <v>0.50039999999999996</v>
      </c>
      <c r="F294" s="1747">
        <f t="shared" si="101"/>
        <v>0.53639999999999999</v>
      </c>
      <c r="G294" s="1747">
        <f t="shared" si="102"/>
        <v>0.43200000000000038</v>
      </c>
    </row>
    <row r="295" spans="1:7">
      <c r="A295" s="1748"/>
      <c r="B295" s="1749" t="s">
        <v>3328</v>
      </c>
      <c r="C295" s="1750">
        <v>3</v>
      </c>
      <c r="D295" s="1756">
        <v>0.1</v>
      </c>
      <c r="E295" s="1752">
        <f t="shared" si="100"/>
        <v>0.41700000000000004</v>
      </c>
      <c r="F295" s="1747">
        <f t="shared" si="101"/>
        <v>0.44700000000000006</v>
      </c>
      <c r="G295" s="1747">
        <f t="shared" si="102"/>
        <v>0.36000000000000032</v>
      </c>
    </row>
    <row r="296" spans="1:7">
      <c r="A296" s="1748"/>
      <c r="B296" s="1749" t="s">
        <v>3329</v>
      </c>
      <c r="C296" s="1750"/>
      <c r="D296" s="1756">
        <v>0.11</v>
      </c>
      <c r="E296" s="1752">
        <f t="shared" si="100"/>
        <v>0</v>
      </c>
      <c r="F296" s="1747">
        <f t="shared" si="101"/>
        <v>0</v>
      </c>
      <c r="G296" s="1747">
        <f t="shared" si="102"/>
        <v>0</v>
      </c>
    </row>
    <row r="297" spans="1:7">
      <c r="A297" s="1748"/>
      <c r="B297" s="1749" t="s">
        <v>3330</v>
      </c>
      <c r="C297" s="1750"/>
      <c r="D297" s="1756">
        <v>0.12</v>
      </c>
      <c r="E297" s="1752">
        <f t="shared" si="100"/>
        <v>0</v>
      </c>
      <c r="F297" s="1747">
        <f t="shared" si="101"/>
        <v>0</v>
      </c>
      <c r="G297" s="1747">
        <f t="shared" si="102"/>
        <v>0</v>
      </c>
    </row>
    <row r="298" spans="1:7">
      <c r="A298" s="1748"/>
      <c r="B298" s="1749" t="s">
        <v>3331</v>
      </c>
      <c r="C298" s="1750">
        <v>6</v>
      </c>
      <c r="D298" s="1756">
        <v>0.13</v>
      </c>
      <c r="E298" s="1752">
        <f t="shared" si="100"/>
        <v>1.0842000000000001</v>
      </c>
      <c r="F298" s="1747">
        <f t="shared" si="101"/>
        <v>1.1622000000000001</v>
      </c>
      <c r="G298" s="1747">
        <f t="shared" si="102"/>
        <v>0.93600000000000083</v>
      </c>
    </row>
    <row r="299" spans="1:7">
      <c r="A299" s="1748"/>
      <c r="B299" s="1749" t="s">
        <v>3332</v>
      </c>
      <c r="C299" s="1750">
        <v>6</v>
      </c>
      <c r="D299" s="1756">
        <v>0.14000000000000001</v>
      </c>
      <c r="E299" s="1752">
        <f t="shared" si="100"/>
        <v>1.1676</v>
      </c>
      <c r="F299" s="1747">
        <f t="shared" si="101"/>
        <v>1.2516</v>
      </c>
      <c r="G299" s="1747">
        <f t="shared" si="102"/>
        <v>1.0080000000000009</v>
      </c>
    </row>
    <row r="300" spans="1:7">
      <c r="A300" s="1748"/>
      <c r="B300" s="1749" t="s">
        <v>3472</v>
      </c>
      <c r="C300" s="1750">
        <v>2</v>
      </c>
      <c r="D300" s="1756">
        <v>0.2</v>
      </c>
      <c r="E300" s="1752">
        <f t="shared" si="100"/>
        <v>0.55599999999999994</v>
      </c>
      <c r="F300" s="1747">
        <f t="shared" si="101"/>
        <v>0.59599999999999997</v>
      </c>
      <c r="G300" s="1747">
        <f t="shared" si="102"/>
        <v>0.48000000000000043</v>
      </c>
    </row>
    <row r="301" spans="1:7" ht="28.5">
      <c r="A301" s="1736" t="s">
        <v>18</v>
      </c>
      <c r="B301" s="1757" t="s">
        <v>3424</v>
      </c>
      <c r="C301" s="1743">
        <f>C302+C303</f>
        <v>38</v>
      </c>
      <c r="D301" s="1743">
        <f>D302+D303</f>
        <v>0</v>
      </c>
      <c r="E301" s="1744"/>
      <c r="F301" s="1747"/>
      <c r="G301" s="1747">
        <f t="shared" si="102"/>
        <v>0</v>
      </c>
    </row>
    <row r="302" spans="1:7">
      <c r="A302" s="1748">
        <v>1</v>
      </c>
      <c r="B302" s="1750" t="s">
        <v>3333</v>
      </c>
      <c r="C302" s="1750">
        <v>26</v>
      </c>
      <c r="D302" s="1751"/>
      <c r="E302" s="1752"/>
      <c r="F302" s="1747">
        <f t="shared" ref="F302:F303" si="103">C302*D302*1.49</f>
        <v>0</v>
      </c>
      <c r="G302" s="1747">
        <f t="shared" si="102"/>
        <v>0</v>
      </c>
    </row>
    <row r="303" spans="1:7">
      <c r="A303" s="1748">
        <v>2</v>
      </c>
      <c r="B303" s="1750" t="s">
        <v>3334</v>
      </c>
      <c r="C303" s="1750">
        <v>12</v>
      </c>
      <c r="D303" s="1758"/>
      <c r="E303" s="1752"/>
      <c r="F303" s="1747">
        <f t="shared" si="103"/>
        <v>0</v>
      </c>
      <c r="G303" s="1747">
        <f t="shared" si="102"/>
        <v>0</v>
      </c>
    </row>
    <row r="304" spans="1:7" ht="28.5">
      <c r="A304" s="1736" t="s">
        <v>867</v>
      </c>
      <c r="B304" s="1735" t="s">
        <v>3426</v>
      </c>
      <c r="C304" s="1743"/>
      <c r="D304" s="1738"/>
      <c r="E304" s="1744"/>
      <c r="F304" s="1747"/>
      <c r="G304" s="1741">
        <f>G305+G306+G309</f>
        <v>22.65600000000002</v>
      </c>
    </row>
    <row r="305" spans="1:7">
      <c r="A305" s="1736">
        <v>1</v>
      </c>
      <c r="B305" s="1737" t="s">
        <v>3428</v>
      </c>
      <c r="C305" s="1743">
        <v>42</v>
      </c>
      <c r="D305" s="1744">
        <v>4.2999999999999997E-2</v>
      </c>
      <c r="E305" s="1744">
        <f>C305*D305</f>
        <v>1.8059999999999998</v>
      </c>
      <c r="F305" s="1744">
        <f>E305</f>
        <v>1.8059999999999998</v>
      </c>
      <c r="G305" s="1747">
        <f t="shared" ref="G305" si="104">(F305-E305)*12</f>
        <v>0</v>
      </c>
    </row>
    <row r="306" spans="1:7">
      <c r="A306" s="1736">
        <v>2</v>
      </c>
      <c r="B306" s="1348" t="s">
        <v>3335</v>
      </c>
      <c r="C306" s="1743">
        <v>220</v>
      </c>
      <c r="D306" s="1746"/>
      <c r="E306" s="1744"/>
      <c r="F306" s="1747"/>
      <c r="G306" s="1741">
        <f>G307+G308</f>
        <v>12.096000000000011</v>
      </c>
    </row>
    <row r="307" spans="1:7">
      <c r="A307" s="1748"/>
      <c r="B307" s="1349" t="s">
        <v>3336</v>
      </c>
      <c r="C307" s="1750">
        <v>126</v>
      </c>
      <c r="D307" s="1754">
        <v>0.03</v>
      </c>
      <c r="E307" s="1752">
        <f>C307*D307</f>
        <v>3.78</v>
      </c>
      <c r="F307" s="1747">
        <f>E307</f>
        <v>3.78</v>
      </c>
      <c r="G307" s="1747">
        <f t="shared" ref="G307:G308" si="105">(F307-E307)*12</f>
        <v>0</v>
      </c>
    </row>
    <row r="308" spans="1:7">
      <c r="A308" s="1748"/>
      <c r="B308" s="1349" t="s">
        <v>3337</v>
      </c>
      <c r="C308" s="1750">
        <v>126</v>
      </c>
      <c r="D308" s="1759">
        <v>0.08</v>
      </c>
      <c r="E308" s="1752">
        <f>C308*D308*1.39</f>
        <v>14.011199999999999</v>
      </c>
      <c r="F308" s="1747">
        <f>C308*D308*1.49</f>
        <v>15.0192</v>
      </c>
      <c r="G308" s="1747">
        <f t="shared" si="105"/>
        <v>12.096000000000011</v>
      </c>
    </row>
    <row r="309" spans="1:7">
      <c r="A309" s="1736">
        <v>3</v>
      </c>
      <c r="B309" s="1737" t="s">
        <v>3338</v>
      </c>
      <c r="C309" s="1743"/>
      <c r="D309" s="1738"/>
      <c r="E309" s="1744"/>
      <c r="F309" s="1747"/>
      <c r="G309" s="1741">
        <f>G310+G311</f>
        <v>10.560000000000009</v>
      </c>
    </row>
    <row r="310" spans="1:7">
      <c r="A310" s="1748"/>
      <c r="B310" s="1349" t="s">
        <v>3336</v>
      </c>
      <c r="C310" s="1750">
        <v>126</v>
      </c>
      <c r="D310" s="1754">
        <v>0.03</v>
      </c>
      <c r="E310" s="1752">
        <f>C310*D310</f>
        <v>3.78</v>
      </c>
      <c r="F310" s="1747">
        <f>E310</f>
        <v>3.78</v>
      </c>
      <c r="G310" s="1747">
        <f t="shared" ref="G310:G311" si="106">(F310-E310)*12</f>
        <v>0</v>
      </c>
    </row>
    <row r="311" spans="1:7">
      <c r="A311" s="1748"/>
      <c r="B311" s="1349" t="s">
        <v>3337</v>
      </c>
      <c r="C311" s="1750">
        <v>110</v>
      </c>
      <c r="D311" s="1759">
        <v>0.08</v>
      </c>
      <c r="E311" s="1752">
        <f>C311*D311*1.39</f>
        <v>12.231999999999999</v>
      </c>
      <c r="F311" s="1747">
        <f>C311*D311*1.49</f>
        <v>13.112</v>
      </c>
      <c r="G311" s="1747">
        <f t="shared" si="106"/>
        <v>10.560000000000009</v>
      </c>
    </row>
    <row r="312" spans="1:7">
      <c r="A312" s="1736" t="s">
        <v>933</v>
      </c>
      <c r="B312" s="1743" t="s">
        <v>3427</v>
      </c>
      <c r="C312" s="1743">
        <f>C313</f>
        <v>22</v>
      </c>
      <c r="D312" s="1760">
        <f>D313</f>
        <v>0.22500000000000001</v>
      </c>
      <c r="E312" s="1761">
        <f t="shared" ref="E312:G312" si="107">E313</f>
        <v>6.8804999999999996</v>
      </c>
      <c r="F312" s="1761">
        <f t="shared" si="107"/>
        <v>7.3755000000000006</v>
      </c>
      <c r="G312" s="1761">
        <f t="shared" si="107"/>
        <v>5.9400000000000119</v>
      </c>
    </row>
    <row r="313" spans="1:7">
      <c r="A313" s="1748"/>
      <c r="B313" s="1750" t="s">
        <v>3333</v>
      </c>
      <c r="C313" s="1750">
        <v>22</v>
      </c>
      <c r="D313" s="1762">
        <v>0.22500000000000001</v>
      </c>
      <c r="E313" s="1763">
        <f>C313*D313*1.39</f>
        <v>6.8804999999999996</v>
      </c>
      <c r="F313" s="1747">
        <f>C313*D313*1.49</f>
        <v>7.3755000000000006</v>
      </c>
      <c r="G313" s="1747">
        <f t="shared" ref="G313" si="108">(F313-E313)*12</f>
        <v>5.9400000000000119</v>
      </c>
    </row>
    <row r="314" spans="1:7">
      <c r="A314" s="1748"/>
      <c r="B314" s="1769" t="s">
        <v>3333</v>
      </c>
      <c r="C314" s="1750"/>
      <c r="D314" s="1762"/>
      <c r="E314" s="1763"/>
      <c r="F314" s="1747"/>
      <c r="G314" s="1747"/>
    </row>
    <row r="315" spans="1:7">
      <c r="A315" s="1748"/>
      <c r="B315" s="1770" t="s">
        <v>3456</v>
      </c>
      <c r="C315" s="1750"/>
      <c r="D315" s="1762"/>
      <c r="E315" s="1763"/>
      <c r="F315" s="1747"/>
      <c r="G315" s="1747"/>
    </row>
    <row r="316" spans="1:7">
      <c r="A316" s="1404"/>
      <c r="B316" s="1405" t="s">
        <v>2494</v>
      </c>
      <c r="C316" s="1407">
        <f>SUM(C317,C332,C341,C352,C355,C363)</f>
        <v>365</v>
      </c>
      <c r="D316" s="1406"/>
      <c r="E316" s="1406">
        <f>SUM(E317,E332,E341,E352,E355,E363)</f>
        <v>158.55730000000003</v>
      </c>
      <c r="F316" s="1406">
        <f>SUM(F317,F332,F341,F352,F355,F363)</f>
        <v>169.96430000000001</v>
      </c>
      <c r="G316" s="1406">
        <f>SUM(G317,G332,G341,G352,G355,G363)</f>
        <v>158.00399999999996</v>
      </c>
    </row>
    <row r="317" spans="1:7">
      <c r="A317" s="1736" t="s">
        <v>13</v>
      </c>
      <c r="B317" s="1737" t="s">
        <v>3309</v>
      </c>
      <c r="C317" s="1738">
        <f>C318+C331</f>
        <v>109</v>
      </c>
      <c r="D317" s="1739"/>
      <c r="E317" s="1740">
        <f>E318+E331</f>
        <v>111.2278</v>
      </c>
      <c r="F317" s="1740">
        <f>F318+F331</f>
        <v>119.2298</v>
      </c>
      <c r="G317" s="1741">
        <f>(F317-E317)*12</f>
        <v>96.023999999999944</v>
      </c>
    </row>
    <row r="318" spans="1:7">
      <c r="A318" s="1736">
        <v>1</v>
      </c>
      <c r="B318" s="1742" t="s">
        <v>3422</v>
      </c>
      <c r="C318" s="1743">
        <f>C319+C322</f>
        <v>43</v>
      </c>
      <c r="D318" s="1739"/>
      <c r="E318" s="1744">
        <f>E319+E322</f>
        <v>65.357799999999997</v>
      </c>
      <c r="F318" s="1744">
        <f>F319+F322</f>
        <v>70.059799999999996</v>
      </c>
      <c r="G318" s="1744">
        <f>G319+G322</f>
        <v>56.424000000000063</v>
      </c>
    </row>
    <row r="319" spans="1:7">
      <c r="A319" s="1736"/>
      <c r="B319" s="1745" t="s">
        <v>3310</v>
      </c>
      <c r="C319" s="1743">
        <f>C320+C321</f>
        <v>22</v>
      </c>
      <c r="D319" s="1746"/>
      <c r="E319" s="1744">
        <f t="shared" ref="E319:F319" si="109">E320+E321</f>
        <v>30.58</v>
      </c>
      <c r="F319" s="1744">
        <f t="shared" si="109"/>
        <v>32.78</v>
      </c>
      <c r="G319" s="1747">
        <f t="shared" ref="G319:G322" si="110">(F319-E319)*12</f>
        <v>26.400000000000034</v>
      </c>
    </row>
    <row r="320" spans="1:7">
      <c r="A320" s="1748"/>
      <c r="B320" s="1749" t="s">
        <v>3311</v>
      </c>
      <c r="C320" s="1750">
        <v>11</v>
      </c>
      <c r="D320" s="1751">
        <v>1</v>
      </c>
      <c r="E320" s="1752">
        <f>C320*D320*1.39</f>
        <v>15.29</v>
      </c>
      <c r="F320" s="1747">
        <f>C320*D320*1.49</f>
        <v>16.39</v>
      </c>
      <c r="G320" s="1747">
        <f t="shared" si="110"/>
        <v>13.200000000000017</v>
      </c>
    </row>
    <row r="321" spans="1:7">
      <c r="A321" s="1748"/>
      <c r="B321" s="1749" t="s">
        <v>3312</v>
      </c>
      <c r="C321" s="1750">
        <v>11</v>
      </c>
      <c r="D321" s="1751">
        <v>1</v>
      </c>
      <c r="E321" s="1752">
        <f>C321*D321*1.39</f>
        <v>15.29</v>
      </c>
      <c r="F321" s="1747">
        <f>C321*D321*1.49</f>
        <v>16.39</v>
      </c>
      <c r="G321" s="1747">
        <f t="shared" si="110"/>
        <v>13.200000000000017</v>
      </c>
    </row>
    <row r="322" spans="1:7">
      <c r="A322" s="1736"/>
      <c r="B322" s="1745" t="s">
        <v>3423</v>
      </c>
      <c r="C322" s="1743">
        <f>C323+C327</f>
        <v>21</v>
      </c>
      <c r="D322" s="1746">
        <f>D323+D327</f>
        <v>0</v>
      </c>
      <c r="E322" s="1744">
        <f t="shared" ref="E322:F322" si="111">E323+E327</f>
        <v>34.777799999999999</v>
      </c>
      <c r="F322" s="1744">
        <f t="shared" si="111"/>
        <v>37.279800000000002</v>
      </c>
      <c r="G322" s="1747">
        <f t="shared" si="110"/>
        <v>30.024000000000029</v>
      </c>
    </row>
    <row r="323" spans="1:7">
      <c r="A323" s="1748"/>
      <c r="B323" s="1749" t="s">
        <v>3311</v>
      </c>
      <c r="C323" s="1750">
        <f>SUM(C324:C326)</f>
        <v>11</v>
      </c>
      <c r="D323" s="1734"/>
      <c r="E323" s="1752">
        <f>SUM(E324:E326)</f>
        <v>18.153400000000001</v>
      </c>
      <c r="F323" s="1752">
        <f>SUM(F324:F326)</f>
        <v>19.459400000000002</v>
      </c>
      <c r="G323" s="1752">
        <f>SUM(G324:G326)</f>
        <v>15.672000000000017</v>
      </c>
    </row>
    <row r="324" spans="1:7">
      <c r="A324" s="1748"/>
      <c r="B324" s="1342" t="s">
        <v>129</v>
      </c>
      <c r="C324" s="1750">
        <v>6</v>
      </c>
      <c r="D324" s="1734">
        <v>1.34</v>
      </c>
      <c r="E324" s="1752">
        <f>C324*D324*1.39</f>
        <v>11.175600000000001</v>
      </c>
      <c r="F324" s="1747">
        <f>C324*D324*1.49</f>
        <v>11.979600000000001</v>
      </c>
      <c r="G324" s="1747">
        <f t="shared" ref="G324:G326" si="112">(F324-E324)*12</f>
        <v>9.6480000000000032</v>
      </c>
    </row>
    <row r="325" spans="1:7">
      <c r="A325" s="1748"/>
      <c r="B325" s="1342" t="s">
        <v>1312</v>
      </c>
      <c r="C325" s="1750">
        <v>3</v>
      </c>
      <c r="D325" s="1734">
        <v>1.1000000000000001</v>
      </c>
      <c r="E325" s="1752">
        <f>C325*D325*1.39</f>
        <v>4.5869999999999997</v>
      </c>
      <c r="F325" s="1747">
        <f>C325*D325*1.49</f>
        <v>4.9170000000000007</v>
      </c>
      <c r="G325" s="1747">
        <f t="shared" si="112"/>
        <v>3.9600000000000115</v>
      </c>
    </row>
    <row r="326" spans="1:7">
      <c r="A326" s="1748"/>
      <c r="B326" s="1342" t="s">
        <v>3435</v>
      </c>
      <c r="C326" s="1750">
        <v>2</v>
      </c>
      <c r="D326" s="1734">
        <v>0.86</v>
      </c>
      <c r="E326" s="1752">
        <f>C326*D326*1.39</f>
        <v>2.3907999999999996</v>
      </c>
      <c r="F326" s="1747">
        <f>C326*D326*1.49</f>
        <v>2.5627999999999997</v>
      </c>
      <c r="G326" s="1747">
        <f t="shared" si="112"/>
        <v>2.0640000000000018</v>
      </c>
    </row>
    <row r="327" spans="1:7">
      <c r="A327" s="1748"/>
      <c r="B327" s="1749" t="s">
        <v>3312</v>
      </c>
      <c r="C327" s="1750">
        <f>SUM(C328:C330)</f>
        <v>10</v>
      </c>
      <c r="D327" s="1734"/>
      <c r="E327" s="1752">
        <f>SUM(E328:E330)</f>
        <v>16.624400000000001</v>
      </c>
      <c r="F327" s="1752">
        <f>SUM(F328:F330)</f>
        <v>17.820399999999999</v>
      </c>
      <c r="G327" s="1752">
        <f>SUM(G328:G330)</f>
        <v>14.352000000000013</v>
      </c>
    </row>
    <row r="328" spans="1:7">
      <c r="A328" s="1748"/>
      <c r="B328" s="1342" t="s">
        <v>129</v>
      </c>
      <c r="C328" s="1750">
        <v>7</v>
      </c>
      <c r="D328" s="1734">
        <v>1.34</v>
      </c>
      <c r="E328" s="1752">
        <f>C328*D328*1.39</f>
        <v>13.0382</v>
      </c>
      <c r="F328" s="1747">
        <f>C328*D328*1.49</f>
        <v>13.9762</v>
      </c>
      <c r="G328" s="1747">
        <f t="shared" ref="G328:G331" si="113">(F328-E328)*12</f>
        <v>11.256000000000007</v>
      </c>
    </row>
    <row r="329" spans="1:7">
      <c r="A329" s="1748"/>
      <c r="B329" s="1342" t="s">
        <v>1312</v>
      </c>
      <c r="C329" s="1750"/>
      <c r="D329" s="1734">
        <v>1.1000000000000001</v>
      </c>
      <c r="E329" s="1752">
        <f>C329*D329*1.39</f>
        <v>0</v>
      </c>
      <c r="F329" s="1747">
        <f>C329*D329*1.49</f>
        <v>0</v>
      </c>
      <c r="G329" s="1747">
        <f t="shared" si="113"/>
        <v>0</v>
      </c>
    </row>
    <row r="330" spans="1:7">
      <c r="A330" s="1748"/>
      <c r="B330" s="1342" t="s">
        <v>3435</v>
      </c>
      <c r="C330" s="1750">
        <v>3</v>
      </c>
      <c r="D330" s="1734">
        <v>0.86</v>
      </c>
      <c r="E330" s="1752">
        <f>C330*D330*1.39</f>
        <v>3.5861999999999998</v>
      </c>
      <c r="F330" s="1747">
        <f>C330*D330*1.49</f>
        <v>3.8442000000000003</v>
      </c>
      <c r="G330" s="1747">
        <f t="shared" si="113"/>
        <v>3.0960000000000054</v>
      </c>
    </row>
    <row r="331" spans="1:7">
      <c r="A331" s="1736">
        <v>2</v>
      </c>
      <c r="B331" s="1743" t="s">
        <v>3313</v>
      </c>
      <c r="C331" s="1743">
        <v>66</v>
      </c>
      <c r="D331" s="1739">
        <v>0.5</v>
      </c>
      <c r="E331" s="1744">
        <f>C331*D331*1.39</f>
        <v>45.87</v>
      </c>
      <c r="F331" s="1741">
        <f>C331*D331*1.49</f>
        <v>49.17</v>
      </c>
      <c r="G331" s="1741">
        <f t="shared" si="113"/>
        <v>39.600000000000051</v>
      </c>
    </row>
    <row r="332" spans="1:7">
      <c r="A332" s="1736" t="s">
        <v>65</v>
      </c>
      <c r="B332" s="1737" t="s">
        <v>3314</v>
      </c>
      <c r="C332" s="1743">
        <f>SUM(C333:C340)</f>
        <v>179</v>
      </c>
      <c r="D332" s="1739"/>
      <c r="E332" s="1741">
        <f t="shared" ref="E332:F332" si="114">SUM(E333:E340)</f>
        <v>38.197199999999995</v>
      </c>
      <c r="F332" s="1741">
        <f t="shared" si="114"/>
        <v>40.9452</v>
      </c>
      <c r="G332" s="1741">
        <f>SUM(G333:G340)</f>
        <v>32.976000000000028</v>
      </c>
    </row>
    <row r="333" spans="1:7">
      <c r="A333" s="1748">
        <v>1</v>
      </c>
      <c r="B333" s="1750" t="s">
        <v>3315</v>
      </c>
      <c r="C333" s="1753">
        <v>11</v>
      </c>
      <c r="D333" s="1754">
        <v>0.24</v>
      </c>
      <c r="E333" s="1752">
        <f>C333*D333*1.39</f>
        <v>3.6695999999999991</v>
      </c>
      <c r="F333" s="1747">
        <f t="shared" ref="F333:F340" si="115">C333*D333*1.49</f>
        <v>3.9335999999999993</v>
      </c>
      <c r="G333" s="1747">
        <f t="shared" ref="G333:G340" si="116">(F333-E333)*12</f>
        <v>3.1680000000000028</v>
      </c>
    </row>
    <row r="334" spans="1:7">
      <c r="A334" s="1748">
        <v>2</v>
      </c>
      <c r="B334" s="1750" t="s">
        <v>3316</v>
      </c>
      <c r="C334" s="1753">
        <v>11</v>
      </c>
      <c r="D334" s="1754">
        <v>0.24</v>
      </c>
      <c r="E334" s="1752">
        <f t="shared" ref="E334:E340" si="117">C334*D334*1.39</f>
        <v>3.6695999999999991</v>
      </c>
      <c r="F334" s="1747">
        <f t="shared" si="115"/>
        <v>3.9335999999999993</v>
      </c>
      <c r="G334" s="1747">
        <f t="shared" si="116"/>
        <v>3.1680000000000028</v>
      </c>
    </row>
    <row r="335" spans="1:7">
      <c r="A335" s="1748">
        <v>3</v>
      </c>
      <c r="B335" s="1750" t="s">
        <v>3317</v>
      </c>
      <c r="C335" s="1753">
        <v>11</v>
      </c>
      <c r="D335" s="1754">
        <v>0.22</v>
      </c>
      <c r="E335" s="1752">
        <f t="shared" si="117"/>
        <v>3.3637999999999995</v>
      </c>
      <c r="F335" s="1747">
        <f t="shared" si="115"/>
        <v>3.6057999999999999</v>
      </c>
      <c r="G335" s="1747">
        <f t="shared" si="116"/>
        <v>2.9040000000000052</v>
      </c>
    </row>
    <row r="336" spans="1:7">
      <c r="A336" s="1748">
        <v>4</v>
      </c>
      <c r="B336" s="1750" t="s">
        <v>3318</v>
      </c>
      <c r="C336" s="1753">
        <v>21</v>
      </c>
      <c r="D336" s="1754">
        <v>0.22</v>
      </c>
      <c r="E336" s="1752">
        <f t="shared" si="117"/>
        <v>6.4217999999999993</v>
      </c>
      <c r="F336" s="1747">
        <f t="shared" si="115"/>
        <v>6.8837999999999999</v>
      </c>
      <c r="G336" s="1747">
        <f t="shared" si="116"/>
        <v>5.5440000000000076</v>
      </c>
    </row>
    <row r="337" spans="1:7">
      <c r="A337" s="1748">
        <v>5</v>
      </c>
      <c r="B337" s="1750" t="s">
        <v>3319</v>
      </c>
      <c r="C337" s="1753">
        <v>36</v>
      </c>
      <c r="D337" s="1754">
        <v>0.1</v>
      </c>
      <c r="E337" s="1752">
        <f t="shared" si="117"/>
        <v>5.0039999999999996</v>
      </c>
      <c r="F337" s="1747">
        <f t="shared" si="115"/>
        <v>5.3639999999999999</v>
      </c>
      <c r="G337" s="1747">
        <f t="shared" si="116"/>
        <v>4.3200000000000038</v>
      </c>
    </row>
    <row r="338" spans="1:7">
      <c r="A338" s="1748">
        <v>6</v>
      </c>
      <c r="B338" s="1750" t="s">
        <v>3320</v>
      </c>
      <c r="C338" s="1753">
        <v>11</v>
      </c>
      <c r="D338" s="1754">
        <v>0.2</v>
      </c>
      <c r="E338" s="1752">
        <f t="shared" si="117"/>
        <v>3.0579999999999998</v>
      </c>
      <c r="F338" s="1747">
        <f t="shared" si="115"/>
        <v>3.278</v>
      </c>
      <c r="G338" s="1747">
        <f t="shared" si="116"/>
        <v>2.6400000000000023</v>
      </c>
    </row>
    <row r="339" spans="1:7">
      <c r="A339" s="1748">
        <v>7</v>
      </c>
      <c r="B339" s="1750" t="s">
        <v>3321</v>
      </c>
      <c r="C339" s="1753">
        <v>11</v>
      </c>
      <c r="D339" s="1754">
        <v>0.12</v>
      </c>
      <c r="E339" s="1752">
        <f t="shared" si="117"/>
        <v>1.8347999999999995</v>
      </c>
      <c r="F339" s="1747">
        <f t="shared" si="115"/>
        <v>1.9667999999999997</v>
      </c>
      <c r="G339" s="1747">
        <f t="shared" si="116"/>
        <v>1.5840000000000014</v>
      </c>
    </row>
    <row r="340" spans="1:7">
      <c r="A340" s="1748">
        <v>8</v>
      </c>
      <c r="B340" s="1750" t="s">
        <v>3425</v>
      </c>
      <c r="C340" s="1753">
        <v>67</v>
      </c>
      <c r="D340" s="1754">
        <v>0.12</v>
      </c>
      <c r="E340" s="1752">
        <f t="shared" si="117"/>
        <v>11.175599999999998</v>
      </c>
      <c r="F340" s="1747">
        <f t="shared" si="115"/>
        <v>11.979599999999998</v>
      </c>
      <c r="G340" s="1747">
        <f t="shared" si="116"/>
        <v>9.6480000000000032</v>
      </c>
    </row>
    <row r="341" spans="1:7">
      <c r="A341" s="1736" t="s">
        <v>14</v>
      </c>
      <c r="B341" s="1737" t="s">
        <v>3322</v>
      </c>
      <c r="C341" s="1743">
        <f>SUM(C342:C351)</f>
        <v>22</v>
      </c>
      <c r="D341" s="1755"/>
      <c r="E341" s="1741">
        <f t="shared" ref="E341:F341" si="118">SUM(E342:E351)</f>
        <v>2.2517999999999998</v>
      </c>
      <c r="F341" s="1741">
        <f t="shared" si="118"/>
        <v>2.4138000000000002</v>
      </c>
      <c r="G341" s="1741">
        <f>SUM(G342:G351)</f>
        <v>1.9440000000000017</v>
      </c>
    </row>
    <row r="342" spans="1:7">
      <c r="A342" s="1748"/>
      <c r="B342" s="1749" t="s">
        <v>3323</v>
      </c>
      <c r="C342" s="1750">
        <v>5</v>
      </c>
      <c r="D342" s="1756">
        <v>0.05</v>
      </c>
      <c r="E342" s="1752">
        <f t="shared" ref="E342:E351" si="119">C342*D342*1.39</f>
        <v>0.34749999999999998</v>
      </c>
      <c r="F342" s="1747">
        <f t="shared" ref="F342:F351" si="120">C342*D342*1.49</f>
        <v>0.3725</v>
      </c>
      <c r="G342" s="1747">
        <f t="shared" ref="G342:G354" si="121">(F342-E342)*12</f>
        <v>0.30000000000000027</v>
      </c>
    </row>
    <row r="343" spans="1:7">
      <c r="A343" s="1748"/>
      <c r="B343" s="1749" t="s">
        <v>3324</v>
      </c>
      <c r="C343" s="1750">
        <v>4</v>
      </c>
      <c r="D343" s="1756">
        <v>0.06</v>
      </c>
      <c r="E343" s="1752">
        <f t="shared" si="119"/>
        <v>0.33359999999999995</v>
      </c>
      <c r="F343" s="1747">
        <f t="shared" si="120"/>
        <v>0.35759999999999997</v>
      </c>
      <c r="G343" s="1747">
        <f t="shared" si="121"/>
        <v>0.28800000000000026</v>
      </c>
    </row>
    <row r="344" spans="1:7">
      <c r="A344" s="1748"/>
      <c r="B344" s="1749" t="s">
        <v>3325</v>
      </c>
      <c r="C344" s="1750">
        <v>6</v>
      </c>
      <c r="D344" s="1756">
        <v>7.0000000000000007E-2</v>
      </c>
      <c r="E344" s="1752">
        <f t="shared" si="119"/>
        <v>0.58379999999999999</v>
      </c>
      <c r="F344" s="1747">
        <f t="shared" si="120"/>
        <v>0.62580000000000002</v>
      </c>
      <c r="G344" s="1747">
        <f t="shared" si="121"/>
        <v>0.50400000000000045</v>
      </c>
    </row>
    <row r="345" spans="1:7">
      <c r="A345" s="1748"/>
      <c r="B345" s="1749" t="s">
        <v>3326</v>
      </c>
      <c r="C345" s="1750">
        <v>2</v>
      </c>
      <c r="D345" s="1756">
        <v>0.08</v>
      </c>
      <c r="E345" s="1752">
        <f t="shared" si="119"/>
        <v>0.22239999999999999</v>
      </c>
      <c r="F345" s="1747">
        <f t="shared" si="120"/>
        <v>0.2384</v>
      </c>
      <c r="G345" s="1747">
        <f t="shared" si="121"/>
        <v>0.19200000000000017</v>
      </c>
    </row>
    <row r="346" spans="1:7">
      <c r="A346" s="1748"/>
      <c r="B346" s="1749" t="s">
        <v>3327</v>
      </c>
      <c r="C346" s="1750">
        <v>1</v>
      </c>
      <c r="D346" s="1756">
        <v>0.09</v>
      </c>
      <c r="E346" s="1752">
        <f t="shared" si="119"/>
        <v>0.12509999999999999</v>
      </c>
      <c r="F346" s="1747">
        <f t="shared" si="120"/>
        <v>0.1341</v>
      </c>
      <c r="G346" s="1747">
        <f t="shared" si="121"/>
        <v>0.1080000000000001</v>
      </c>
    </row>
    <row r="347" spans="1:7">
      <c r="A347" s="1748"/>
      <c r="B347" s="1749" t="s">
        <v>3328</v>
      </c>
      <c r="C347" s="1750">
        <v>1</v>
      </c>
      <c r="D347" s="1756">
        <v>0.1</v>
      </c>
      <c r="E347" s="1752">
        <f t="shared" si="119"/>
        <v>0.13899999999999998</v>
      </c>
      <c r="F347" s="1747">
        <f t="shared" si="120"/>
        <v>0.14899999999999999</v>
      </c>
      <c r="G347" s="1747">
        <f t="shared" si="121"/>
        <v>0.12000000000000011</v>
      </c>
    </row>
    <row r="348" spans="1:7">
      <c r="A348" s="1748"/>
      <c r="B348" s="1749" t="s">
        <v>3329</v>
      </c>
      <c r="C348" s="1750">
        <v>2</v>
      </c>
      <c r="D348" s="1756">
        <v>0.11</v>
      </c>
      <c r="E348" s="1752">
        <f t="shared" si="119"/>
        <v>0.30579999999999996</v>
      </c>
      <c r="F348" s="1747">
        <f t="shared" si="120"/>
        <v>0.32779999999999998</v>
      </c>
      <c r="G348" s="1747">
        <f t="shared" si="121"/>
        <v>0.26400000000000023</v>
      </c>
    </row>
    <row r="349" spans="1:7">
      <c r="A349" s="1748"/>
      <c r="B349" s="1749" t="s">
        <v>3330</v>
      </c>
      <c r="C349" s="1750"/>
      <c r="D349" s="1756">
        <v>0.12</v>
      </c>
      <c r="E349" s="1752">
        <f t="shared" si="119"/>
        <v>0</v>
      </c>
      <c r="F349" s="1747">
        <f t="shared" si="120"/>
        <v>0</v>
      </c>
      <c r="G349" s="1747">
        <f t="shared" si="121"/>
        <v>0</v>
      </c>
    </row>
    <row r="350" spans="1:7">
      <c r="A350" s="1748"/>
      <c r="B350" s="1749" t="s">
        <v>3331</v>
      </c>
      <c r="C350" s="1750"/>
      <c r="D350" s="1756">
        <v>0.13</v>
      </c>
      <c r="E350" s="1752">
        <f t="shared" si="119"/>
        <v>0</v>
      </c>
      <c r="F350" s="1747">
        <f t="shared" si="120"/>
        <v>0</v>
      </c>
      <c r="G350" s="1747">
        <f t="shared" si="121"/>
        <v>0</v>
      </c>
    </row>
    <row r="351" spans="1:7">
      <c r="A351" s="1748"/>
      <c r="B351" s="1749" t="s">
        <v>3332</v>
      </c>
      <c r="C351" s="1750">
        <v>1</v>
      </c>
      <c r="D351" s="1756">
        <v>0.14000000000000001</v>
      </c>
      <c r="E351" s="1752">
        <f t="shared" si="119"/>
        <v>0.1946</v>
      </c>
      <c r="F351" s="1747">
        <f t="shared" si="120"/>
        <v>0.20860000000000001</v>
      </c>
      <c r="G351" s="1747">
        <f t="shared" si="121"/>
        <v>0.16800000000000015</v>
      </c>
    </row>
    <row r="352" spans="1:7" ht="28.5">
      <c r="A352" s="1736" t="s">
        <v>18</v>
      </c>
      <c r="B352" s="1757" t="s">
        <v>3424</v>
      </c>
      <c r="C352" s="1743">
        <f>C353+C354</f>
        <v>33</v>
      </c>
      <c r="D352" s="1743">
        <f>D353+D354</f>
        <v>0</v>
      </c>
      <c r="E352" s="1744"/>
      <c r="F352" s="1747"/>
      <c r="G352" s="1747">
        <f t="shared" si="121"/>
        <v>0</v>
      </c>
    </row>
    <row r="353" spans="1:7">
      <c r="A353" s="1748">
        <v>1</v>
      </c>
      <c r="B353" s="1750" t="s">
        <v>3333</v>
      </c>
      <c r="C353" s="1750">
        <v>22</v>
      </c>
      <c r="D353" s="1751"/>
      <c r="E353" s="1752"/>
      <c r="F353" s="1747">
        <f t="shared" ref="F353:F354" si="122">C353*D353*1.49</f>
        <v>0</v>
      </c>
      <c r="G353" s="1747">
        <f t="shared" si="121"/>
        <v>0</v>
      </c>
    </row>
    <row r="354" spans="1:7">
      <c r="A354" s="1748">
        <v>2</v>
      </c>
      <c r="B354" s="1750" t="s">
        <v>3334</v>
      </c>
      <c r="C354" s="1750">
        <v>11</v>
      </c>
      <c r="D354" s="1758"/>
      <c r="E354" s="1752"/>
      <c r="F354" s="1747">
        <f t="shared" si="122"/>
        <v>0</v>
      </c>
      <c r="G354" s="1747">
        <f t="shared" si="121"/>
        <v>0</v>
      </c>
    </row>
    <row r="355" spans="1:7" ht="28.5">
      <c r="A355" s="1736" t="s">
        <v>867</v>
      </c>
      <c r="B355" s="1735" t="s">
        <v>3426</v>
      </c>
      <c r="C355" s="1743"/>
      <c r="D355" s="1738"/>
      <c r="E355" s="1744"/>
      <c r="F355" s="1747"/>
      <c r="G355" s="1741">
        <f>G356+G357+G360</f>
        <v>21.120000000000019</v>
      </c>
    </row>
    <row r="356" spans="1:7">
      <c r="A356" s="1736">
        <v>1</v>
      </c>
      <c r="B356" s="1737" t="s">
        <v>3428</v>
      </c>
      <c r="C356" s="1743">
        <v>33</v>
      </c>
      <c r="D356" s="1744">
        <v>4.2999999999999997E-2</v>
      </c>
      <c r="E356" s="1744">
        <f>C356*D356</f>
        <v>1.4189999999999998</v>
      </c>
      <c r="F356" s="1744">
        <f>E356</f>
        <v>1.4189999999999998</v>
      </c>
      <c r="G356" s="1747">
        <f t="shared" ref="G356" si="123">(F356-E356)*12</f>
        <v>0</v>
      </c>
    </row>
    <row r="357" spans="1:7">
      <c r="A357" s="1736">
        <v>2</v>
      </c>
      <c r="B357" s="1348" t="s">
        <v>3335</v>
      </c>
      <c r="C357" s="1743">
        <v>220</v>
      </c>
      <c r="D357" s="1746"/>
      <c r="E357" s="1744"/>
      <c r="F357" s="1747"/>
      <c r="G357" s="1741">
        <f>G358+G359</f>
        <v>10.560000000000009</v>
      </c>
    </row>
    <row r="358" spans="1:7">
      <c r="A358" s="1748"/>
      <c r="B358" s="1349" t="s">
        <v>3336</v>
      </c>
      <c r="C358" s="1750">
        <v>110</v>
      </c>
      <c r="D358" s="1754">
        <v>0.03</v>
      </c>
      <c r="E358" s="1752">
        <f>C358*D358</f>
        <v>3.3</v>
      </c>
      <c r="F358" s="1747">
        <f>E358</f>
        <v>3.3</v>
      </c>
      <c r="G358" s="1747">
        <f t="shared" ref="G358:G359" si="124">(F358-E358)*12</f>
        <v>0</v>
      </c>
    </row>
    <row r="359" spans="1:7">
      <c r="A359" s="1748"/>
      <c r="B359" s="1349" t="s">
        <v>3337</v>
      </c>
      <c r="C359" s="1750">
        <v>110</v>
      </c>
      <c r="D359" s="1759">
        <v>0.08</v>
      </c>
      <c r="E359" s="1752">
        <f>C359*D359*1.39</f>
        <v>12.231999999999999</v>
      </c>
      <c r="F359" s="1747">
        <f>C359*D359*1.49</f>
        <v>13.112</v>
      </c>
      <c r="G359" s="1747">
        <f t="shared" si="124"/>
        <v>10.560000000000009</v>
      </c>
    </row>
    <row r="360" spans="1:7">
      <c r="A360" s="1736">
        <v>3</v>
      </c>
      <c r="B360" s="1737" t="s">
        <v>3338</v>
      </c>
      <c r="C360" s="1743"/>
      <c r="D360" s="1738"/>
      <c r="E360" s="1744"/>
      <c r="F360" s="1747"/>
      <c r="G360" s="1741">
        <f>G361+G362</f>
        <v>10.560000000000009</v>
      </c>
    </row>
    <row r="361" spans="1:7">
      <c r="A361" s="1748"/>
      <c r="B361" s="1349" t="s">
        <v>3336</v>
      </c>
      <c r="C361" s="1750">
        <v>110</v>
      </c>
      <c r="D361" s="1754">
        <v>0.03</v>
      </c>
      <c r="E361" s="1752">
        <f>C361*D361</f>
        <v>3.3</v>
      </c>
      <c r="F361" s="1747">
        <f>E361</f>
        <v>3.3</v>
      </c>
      <c r="G361" s="1747">
        <f t="shared" ref="G361:G362" si="125">(F361-E361)*12</f>
        <v>0</v>
      </c>
    </row>
    <row r="362" spans="1:7">
      <c r="A362" s="1748"/>
      <c r="B362" s="1349" t="s">
        <v>3337</v>
      </c>
      <c r="C362" s="1750">
        <v>110</v>
      </c>
      <c r="D362" s="1759">
        <v>0.08</v>
      </c>
      <c r="E362" s="1752">
        <f>C362*D362*1.39</f>
        <v>12.231999999999999</v>
      </c>
      <c r="F362" s="1747">
        <f>C362*D362*1.49</f>
        <v>13.112</v>
      </c>
      <c r="G362" s="1747">
        <f t="shared" si="125"/>
        <v>10.560000000000009</v>
      </c>
    </row>
    <row r="363" spans="1:7">
      <c r="A363" s="1736" t="s">
        <v>933</v>
      </c>
      <c r="B363" s="1743" t="s">
        <v>3427</v>
      </c>
      <c r="C363" s="1743">
        <f>C364</f>
        <v>22</v>
      </c>
      <c r="D363" s="1760">
        <f>D364</f>
        <v>0.22500000000000001</v>
      </c>
      <c r="E363" s="1761">
        <f t="shared" ref="E363:G363" si="126">E364</f>
        <v>6.8804999999999996</v>
      </c>
      <c r="F363" s="1761">
        <f t="shared" si="126"/>
        <v>7.3755000000000006</v>
      </c>
      <c r="G363" s="1761">
        <f t="shared" si="126"/>
        <v>5.9400000000000119</v>
      </c>
    </row>
    <row r="364" spans="1:7">
      <c r="A364" s="1748"/>
      <c r="B364" s="1750" t="s">
        <v>3333</v>
      </c>
      <c r="C364" s="1750">
        <v>22</v>
      </c>
      <c r="D364" s="1762">
        <v>0.22500000000000001</v>
      </c>
      <c r="E364" s="1763">
        <f>C364*D364*1.39</f>
        <v>6.8804999999999996</v>
      </c>
      <c r="F364" s="1747">
        <f>C364*D364*1.49</f>
        <v>7.3755000000000006</v>
      </c>
      <c r="G364" s="1747">
        <f t="shared" ref="G364" si="127">(F364-E364)*12</f>
        <v>5.9400000000000119</v>
      </c>
    </row>
    <row r="365" spans="1:7">
      <c r="A365" s="1748"/>
      <c r="B365" s="1769" t="s">
        <v>3333</v>
      </c>
      <c r="C365" s="1750"/>
      <c r="D365" s="1762"/>
      <c r="E365" s="1763"/>
      <c r="F365" s="1747"/>
      <c r="G365" s="1747"/>
    </row>
    <row r="366" spans="1:7">
      <c r="A366" s="1748"/>
      <c r="B366" s="1770" t="s">
        <v>3456</v>
      </c>
      <c r="C366" s="1750"/>
      <c r="D366" s="1762"/>
      <c r="E366" s="1763"/>
      <c r="F366" s="1747"/>
      <c r="G366" s="1747"/>
    </row>
    <row r="367" spans="1:7">
      <c r="A367" s="1404"/>
      <c r="B367" s="1405" t="s">
        <v>2497</v>
      </c>
      <c r="C367" s="1407">
        <f>SUM(C368,C383,C392,C403,C406,C414)</f>
        <v>365</v>
      </c>
      <c r="D367" s="1406"/>
      <c r="E367" s="1406">
        <f>SUM(E368,E383,E392,E403,E406,E414)</f>
        <v>158.55730000000003</v>
      </c>
      <c r="F367" s="1406">
        <f>SUM(F368,F383,F392,F403,F406,F414)</f>
        <v>169.96430000000001</v>
      </c>
      <c r="G367" s="1406">
        <f>SUM(G368,G383,G392,G403,G406,G414)</f>
        <v>158.00399999999996</v>
      </c>
    </row>
    <row r="368" spans="1:7">
      <c r="A368" s="1736" t="s">
        <v>13</v>
      </c>
      <c r="B368" s="1737" t="s">
        <v>3309</v>
      </c>
      <c r="C368" s="1738">
        <f>C369+C382</f>
        <v>109</v>
      </c>
      <c r="D368" s="1739"/>
      <c r="E368" s="1740">
        <f>E369+E382</f>
        <v>111.2278</v>
      </c>
      <c r="F368" s="1740">
        <f>F369+F382</f>
        <v>119.2298</v>
      </c>
      <c r="G368" s="1741">
        <f>(F368-E368)*12</f>
        <v>96.023999999999944</v>
      </c>
    </row>
    <row r="369" spans="1:7">
      <c r="A369" s="1736">
        <v>1</v>
      </c>
      <c r="B369" s="1742" t="s">
        <v>3422</v>
      </c>
      <c r="C369" s="1743">
        <f>C370+C373</f>
        <v>43</v>
      </c>
      <c r="D369" s="1739"/>
      <c r="E369" s="1744">
        <f>E370+E373</f>
        <v>65.357799999999997</v>
      </c>
      <c r="F369" s="1744">
        <f>F370+F373</f>
        <v>70.059799999999996</v>
      </c>
      <c r="G369" s="1744">
        <f>G370+G373</f>
        <v>56.424000000000063</v>
      </c>
    </row>
    <row r="370" spans="1:7">
      <c r="A370" s="1736"/>
      <c r="B370" s="1745" t="s">
        <v>3310</v>
      </c>
      <c r="C370" s="1743">
        <f>C371+C372</f>
        <v>22</v>
      </c>
      <c r="D370" s="1746"/>
      <c r="E370" s="1744">
        <f t="shared" ref="E370:F370" si="128">E371+E372</f>
        <v>30.58</v>
      </c>
      <c r="F370" s="1744">
        <f t="shared" si="128"/>
        <v>32.78</v>
      </c>
      <c r="G370" s="1747">
        <f t="shared" ref="G370:G373" si="129">(F370-E370)*12</f>
        <v>26.400000000000034</v>
      </c>
    </row>
    <row r="371" spans="1:7">
      <c r="A371" s="1748"/>
      <c r="B371" s="1749" t="s">
        <v>3311</v>
      </c>
      <c r="C371" s="1750">
        <v>11</v>
      </c>
      <c r="D371" s="1751">
        <v>1</v>
      </c>
      <c r="E371" s="1752">
        <f>C371*D371*1.39</f>
        <v>15.29</v>
      </c>
      <c r="F371" s="1747">
        <f>C371*D371*1.49</f>
        <v>16.39</v>
      </c>
      <c r="G371" s="1747">
        <f t="shared" si="129"/>
        <v>13.200000000000017</v>
      </c>
    </row>
    <row r="372" spans="1:7">
      <c r="A372" s="1748"/>
      <c r="B372" s="1749" t="s">
        <v>3312</v>
      </c>
      <c r="C372" s="1750">
        <v>11</v>
      </c>
      <c r="D372" s="1751">
        <v>1</v>
      </c>
      <c r="E372" s="1752">
        <f>C372*D372*1.39</f>
        <v>15.29</v>
      </c>
      <c r="F372" s="1747">
        <f>C372*D372*1.49</f>
        <v>16.39</v>
      </c>
      <c r="G372" s="1747">
        <f t="shared" si="129"/>
        <v>13.200000000000017</v>
      </c>
    </row>
    <row r="373" spans="1:7">
      <c r="A373" s="1736"/>
      <c r="B373" s="1745" t="s">
        <v>3423</v>
      </c>
      <c r="C373" s="1743">
        <f>C374+C378</f>
        <v>21</v>
      </c>
      <c r="D373" s="1746">
        <f>D374+D378</f>
        <v>0</v>
      </c>
      <c r="E373" s="1744">
        <f t="shared" ref="E373:F373" si="130">E374+E378</f>
        <v>34.777799999999999</v>
      </c>
      <c r="F373" s="1744">
        <f t="shared" si="130"/>
        <v>37.279800000000002</v>
      </c>
      <c r="G373" s="1747">
        <f t="shared" si="129"/>
        <v>30.024000000000029</v>
      </c>
    </row>
    <row r="374" spans="1:7">
      <c r="A374" s="1748"/>
      <c r="B374" s="1749" t="s">
        <v>3311</v>
      </c>
      <c r="C374" s="1750">
        <f>SUM(C375:C377)</f>
        <v>11</v>
      </c>
      <c r="D374" s="1734"/>
      <c r="E374" s="1752">
        <f>SUM(E375:E377)</f>
        <v>18.153400000000001</v>
      </c>
      <c r="F374" s="1752">
        <f>SUM(F375:F377)</f>
        <v>19.459400000000002</v>
      </c>
      <c r="G374" s="1752">
        <f>SUM(G375:G377)</f>
        <v>15.672000000000017</v>
      </c>
    </row>
    <row r="375" spans="1:7">
      <c r="A375" s="1748"/>
      <c r="B375" s="1342" t="s">
        <v>129</v>
      </c>
      <c r="C375" s="1750">
        <v>6</v>
      </c>
      <c r="D375" s="1734">
        <v>1.34</v>
      </c>
      <c r="E375" s="1752">
        <f>C375*D375*1.39</f>
        <v>11.175600000000001</v>
      </c>
      <c r="F375" s="1747">
        <f>C375*D375*1.49</f>
        <v>11.979600000000001</v>
      </c>
      <c r="G375" s="1747">
        <f t="shared" ref="G375:G377" si="131">(F375-E375)*12</f>
        <v>9.6480000000000032</v>
      </c>
    </row>
    <row r="376" spans="1:7">
      <c r="A376" s="1748"/>
      <c r="B376" s="1342" t="s">
        <v>1312</v>
      </c>
      <c r="C376" s="1750">
        <v>3</v>
      </c>
      <c r="D376" s="1734">
        <v>1.1000000000000001</v>
      </c>
      <c r="E376" s="1752">
        <f>C376*D376*1.39</f>
        <v>4.5869999999999997</v>
      </c>
      <c r="F376" s="1747">
        <f>C376*D376*1.49</f>
        <v>4.9170000000000007</v>
      </c>
      <c r="G376" s="1747">
        <f t="shared" si="131"/>
        <v>3.9600000000000115</v>
      </c>
    </row>
    <row r="377" spans="1:7">
      <c r="A377" s="1748"/>
      <c r="B377" s="1342" t="s">
        <v>3435</v>
      </c>
      <c r="C377" s="1750">
        <v>2</v>
      </c>
      <c r="D377" s="1734">
        <v>0.86</v>
      </c>
      <c r="E377" s="1752">
        <f>C377*D377*1.39</f>
        <v>2.3907999999999996</v>
      </c>
      <c r="F377" s="1747">
        <f>C377*D377*1.49</f>
        <v>2.5627999999999997</v>
      </c>
      <c r="G377" s="1747">
        <f t="shared" si="131"/>
        <v>2.0640000000000018</v>
      </c>
    </row>
    <row r="378" spans="1:7">
      <c r="A378" s="1748"/>
      <c r="B378" s="1749" t="s">
        <v>3312</v>
      </c>
      <c r="C378" s="1750">
        <f>SUM(C379:C381)</f>
        <v>10</v>
      </c>
      <c r="D378" s="1734"/>
      <c r="E378" s="1752">
        <f>SUM(E379:E381)</f>
        <v>16.624400000000001</v>
      </c>
      <c r="F378" s="1752">
        <f>SUM(F379:F381)</f>
        <v>17.820399999999999</v>
      </c>
      <c r="G378" s="1752">
        <f>SUM(G379:G381)</f>
        <v>14.352000000000013</v>
      </c>
    </row>
    <row r="379" spans="1:7">
      <c r="A379" s="1748"/>
      <c r="B379" s="1342" t="s">
        <v>129</v>
      </c>
      <c r="C379" s="1750">
        <v>7</v>
      </c>
      <c r="D379" s="1734">
        <v>1.34</v>
      </c>
      <c r="E379" s="1752">
        <f>C379*D379*1.39</f>
        <v>13.0382</v>
      </c>
      <c r="F379" s="1747">
        <f>C379*D379*1.49</f>
        <v>13.9762</v>
      </c>
      <c r="G379" s="1747">
        <f t="shared" ref="G379:G382" si="132">(F379-E379)*12</f>
        <v>11.256000000000007</v>
      </c>
    </row>
    <row r="380" spans="1:7">
      <c r="A380" s="1748"/>
      <c r="B380" s="1342" t="s">
        <v>1312</v>
      </c>
      <c r="C380" s="1750"/>
      <c r="D380" s="1734">
        <v>1.1000000000000001</v>
      </c>
      <c r="E380" s="1752">
        <f>C380*D380*1.39</f>
        <v>0</v>
      </c>
      <c r="F380" s="1747">
        <f>C380*D380*1.49</f>
        <v>0</v>
      </c>
      <c r="G380" s="1747">
        <f t="shared" si="132"/>
        <v>0</v>
      </c>
    </row>
    <row r="381" spans="1:7">
      <c r="A381" s="1748"/>
      <c r="B381" s="1342" t="s">
        <v>3435</v>
      </c>
      <c r="C381" s="1750">
        <v>3</v>
      </c>
      <c r="D381" s="1734">
        <v>0.86</v>
      </c>
      <c r="E381" s="1752">
        <f>C381*D381*1.39</f>
        <v>3.5861999999999998</v>
      </c>
      <c r="F381" s="1747">
        <f>C381*D381*1.49</f>
        <v>3.8442000000000003</v>
      </c>
      <c r="G381" s="1747">
        <f t="shared" si="132"/>
        <v>3.0960000000000054</v>
      </c>
    </row>
    <row r="382" spans="1:7">
      <c r="A382" s="1736">
        <v>2</v>
      </c>
      <c r="B382" s="1743" t="s">
        <v>3313</v>
      </c>
      <c r="C382" s="1743">
        <v>66</v>
      </c>
      <c r="D382" s="1739">
        <v>0.5</v>
      </c>
      <c r="E382" s="1744">
        <f>C382*D382*1.39</f>
        <v>45.87</v>
      </c>
      <c r="F382" s="1741">
        <f>C382*D382*1.49</f>
        <v>49.17</v>
      </c>
      <c r="G382" s="1741">
        <f t="shared" si="132"/>
        <v>39.600000000000051</v>
      </c>
    </row>
    <row r="383" spans="1:7">
      <c r="A383" s="1736" t="s">
        <v>65</v>
      </c>
      <c r="B383" s="1737" t="s">
        <v>3314</v>
      </c>
      <c r="C383" s="1743">
        <f>SUM(C384:C391)</f>
        <v>179</v>
      </c>
      <c r="D383" s="1739"/>
      <c r="E383" s="1741">
        <f t="shared" ref="E383:F383" si="133">SUM(E384:E391)</f>
        <v>38.197199999999995</v>
      </c>
      <c r="F383" s="1741">
        <f t="shared" si="133"/>
        <v>40.9452</v>
      </c>
      <c r="G383" s="1741">
        <f>SUM(G384:G391)</f>
        <v>32.976000000000028</v>
      </c>
    </row>
    <row r="384" spans="1:7">
      <c r="A384" s="1748">
        <v>1</v>
      </c>
      <c r="B384" s="1750" t="s">
        <v>3315</v>
      </c>
      <c r="C384" s="1753">
        <v>11</v>
      </c>
      <c r="D384" s="1754">
        <v>0.24</v>
      </c>
      <c r="E384" s="1752">
        <f>C384*D384*1.39</f>
        <v>3.6695999999999991</v>
      </c>
      <c r="F384" s="1747">
        <f t="shared" ref="F384:F391" si="134">C384*D384*1.49</f>
        <v>3.9335999999999993</v>
      </c>
      <c r="G384" s="1747">
        <f t="shared" ref="G384:G391" si="135">(F384-E384)*12</f>
        <v>3.1680000000000028</v>
      </c>
    </row>
    <row r="385" spans="1:7">
      <c r="A385" s="1748">
        <v>2</v>
      </c>
      <c r="B385" s="1750" t="s">
        <v>3316</v>
      </c>
      <c r="C385" s="1753">
        <v>11</v>
      </c>
      <c r="D385" s="1754">
        <v>0.24</v>
      </c>
      <c r="E385" s="1752">
        <f t="shared" ref="E385:E391" si="136">C385*D385*1.39</f>
        <v>3.6695999999999991</v>
      </c>
      <c r="F385" s="1747">
        <f t="shared" si="134"/>
        <v>3.9335999999999993</v>
      </c>
      <c r="G385" s="1747">
        <f t="shared" si="135"/>
        <v>3.1680000000000028</v>
      </c>
    </row>
    <row r="386" spans="1:7">
      <c r="A386" s="1748">
        <v>3</v>
      </c>
      <c r="B386" s="1750" t="s">
        <v>3317</v>
      </c>
      <c r="C386" s="1753">
        <v>11</v>
      </c>
      <c r="D386" s="1754">
        <v>0.22</v>
      </c>
      <c r="E386" s="1752">
        <f t="shared" si="136"/>
        <v>3.3637999999999995</v>
      </c>
      <c r="F386" s="1747">
        <f t="shared" si="134"/>
        <v>3.6057999999999999</v>
      </c>
      <c r="G386" s="1747">
        <f t="shared" si="135"/>
        <v>2.9040000000000052</v>
      </c>
    </row>
    <row r="387" spans="1:7">
      <c r="A387" s="1748">
        <v>4</v>
      </c>
      <c r="B387" s="1750" t="s">
        <v>3318</v>
      </c>
      <c r="C387" s="1753">
        <v>21</v>
      </c>
      <c r="D387" s="1754">
        <v>0.22</v>
      </c>
      <c r="E387" s="1752">
        <f t="shared" si="136"/>
        <v>6.4217999999999993</v>
      </c>
      <c r="F387" s="1747">
        <f t="shared" si="134"/>
        <v>6.8837999999999999</v>
      </c>
      <c r="G387" s="1747">
        <f t="shared" si="135"/>
        <v>5.5440000000000076</v>
      </c>
    </row>
    <row r="388" spans="1:7">
      <c r="A388" s="1748">
        <v>5</v>
      </c>
      <c r="B388" s="1750" t="s">
        <v>3319</v>
      </c>
      <c r="C388" s="1753">
        <v>36</v>
      </c>
      <c r="D388" s="1754">
        <v>0.1</v>
      </c>
      <c r="E388" s="1752">
        <f t="shared" si="136"/>
        <v>5.0039999999999996</v>
      </c>
      <c r="F388" s="1747">
        <f t="shared" si="134"/>
        <v>5.3639999999999999</v>
      </c>
      <c r="G388" s="1747">
        <f t="shared" si="135"/>
        <v>4.3200000000000038</v>
      </c>
    </row>
    <row r="389" spans="1:7">
      <c r="A389" s="1748">
        <v>6</v>
      </c>
      <c r="B389" s="1750" t="s">
        <v>3320</v>
      </c>
      <c r="C389" s="1753">
        <v>11</v>
      </c>
      <c r="D389" s="1754">
        <v>0.2</v>
      </c>
      <c r="E389" s="1752">
        <f t="shared" si="136"/>
        <v>3.0579999999999998</v>
      </c>
      <c r="F389" s="1747">
        <f t="shared" si="134"/>
        <v>3.278</v>
      </c>
      <c r="G389" s="1747">
        <f t="shared" si="135"/>
        <v>2.6400000000000023</v>
      </c>
    </row>
    <row r="390" spans="1:7">
      <c r="A390" s="1748">
        <v>7</v>
      </c>
      <c r="B390" s="1750" t="s">
        <v>3321</v>
      </c>
      <c r="C390" s="1753">
        <v>11</v>
      </c>
      <c r="D390" s="1754">
        <v>0.12</v>
      </c>
      <c r="E390" s="1752">
        <f t="shared" si="136"/>
        <v>1.8347999999999995</v>
      </c>
      <c r="F390" s="1747">
        <f t="shared" si="134"/>
        <v>1.9667999999999997</v>
      </c>
      <c r="G390" s="1747">
        <f t="shared" si="135"/>
        <v>1.5840000000000014</v>
      </c>
    </row>
    <row r="391" spans="1:7">
      <c r="A391" s="1748">
        <v>8</v>
      </c>
      <c r="B391" s="1750" t="s">
        <v>3425</v>
      </c>
      <c r="C391" s="1753">
        <v>67</v>
      </c>
      <c r="D391" s="1754">
        <v>0.12</v>
      </c>
      <c r="E391" s="1752">
        <f t="shared" si="136"/>
        <v>11.175599999999998</v>
      </c>
      <c r="F391" s="1747">
        <f t="shared" si="134"/>
        <v>11.979599999999998</v>
      </c>
      <c r="G391" s="1747">
        <f t="shared" si="135"/>
        <v>9.6480000000000032</v>
      </c>
    </row>
    <row r="392" spans="1:7">
      <c r="A392" s="1736" t="s">
        <v>14</v>
      </c>
      <c r="B392" s="1737" t="s">
        <v>3322</v>
      </c>
      <c r="C392" s="1743">
        <f>SUM(C393:C402)</f>
        <v>22</v>
      </c>
      <c r="D392" s="1755"/>
      <c r="E392" s="1741">
        <f t="shared" ref="E392:F392" si="137">SUM(E393:E402)</f>
        <v>2.2517999999999998</v>
      </c>
      <c r="F392" s="1741">
        <f t="shared" si="137"/>
        <v>2.4138000000000002</v>
      </c>
      <c r="G392" s="1741">
        <f>SUM(G393:G402)</f>
        <v>1.9440000000000017</v>
      </c>
    </row>
    <row r="393" spans="1:7">
      <c r="A393" s="1748"/>
      <c r="B393" s="1749" t="s">
        <v>3323</v>
      </c>
      <c r="C393" s="1750">
        <v>5</v>
      </c>
      <c r="D393" s="1756">
        <v>0.05</v>
      </c>
      <c r="E393" s="1752">
        <f t="shared" ref="E393:E402" si="138">C393*D393*1.39</f>
        <v>0.34749999999999998</v>
      </c>
      <c r="F393" s="1747">
        <f t="shared" ref="F393:F402" si="139">C393*D393*1.49</f>
        <v>0.3725</v>
      </c>
      <c r="G393" s="1747">
        <f t="shared" ref="G393:G405" si="140">(F393-E393)*12</f>
        <v>0.30000000000000027</v>
      </c>
    </row>
    <row r="394" spans="1:7">
      <c r="A394" s="1748"/>
      <c r="B394" s="1749" t="s">
        <v>3324</v>
      </c>
      <c r="C394" s="1750">
        <v>4</v>
      </c>
      <c r="D394" s="1756">
        <v>0.06</v>
      </c>
      <c r="E394" s="1752">
        <f t="shared" si="138"/>
        <v>0.33359999999999995</v>
      </c>
      <c r="F394" s="1747">
        <f t="shared" si="139"/>
        <v>0.35759999999999997</v>
      </c>
      <c r="G394" s="1747">
        <f t="shared" si="140"/>
        <v>0.28800000000000026</v>
      </c>
    </row>
    <row r="395" spans="1:7">
      <c r="A395" s="1748"/>
      <c r="B395" s="1749" t="s">
        <v>3325</v>
      </c>
      <c r="C395" s="1750">
        <v>6</v>
      </c>
      <c r="D395" s="1756">
        <v>7.0000000000000007E-2</v>
      </c>
      <c r="E395" s="1752">
        <f t="shared" si="138"/>
        <v>0.58379999999999999</v>
      </c>
      <c r="F395" s="1747">
        <f t="shared" si="139"/>
        <v>0.62580000000000002</v>
      </c>
      <c r="G395" s="1747">
        <f t="shared" si="140"/>
        <v>0.50400000000000045</v>
      </c>
    </row>
    <row r="396" spans="1:7">
      <c r="A396" s="1748"/>
      <c r="B396" s="1749" t="s">
        <v>3326</v>
      </c>
      <c r="C396" s="1750">
        <v>2</v>
      </c>
      <c r="D396" s="1756">
        <v>0.08</v>
      </c>
      <c r="E396" s="1752">
        <f t="shared" si="138"/>
        <v>0.22239999999999999</v>
      </c>
      <c r="F396" s="1747">
        <f t="shared" si="139"/>
        <v>0.2384</v>
      </c>
      <c r="G396" s="1747">
        <f t="shared" si="140"/>
        <v>0.19200000000000017</v>
      </c>
    </row>
    <row r="397" spans="1:7">
      <c r="A397" s="1748"/>
      <c r="B397" s="1749" t="s">
        <v>3327</v>
      </c>
      <c r="C397" s="1750">
        <v>1</v>
      </c>
      <c r="D397" s="1756">
        <v>0.09</v>
      </c>
      <c r="E397" s="1752">
        <f t="shared" si="138"/>
        <v>0.12509999999999999</v>
      </c>
      <c r="F397" s="1747">
        <f t="shared" si="139"/>
        <v>0.1341</v>
      </c>
      <c r="G397" s="1747">
        <f t="shared" si="140"/>
        <v>0.1080000000000001</v>
      </c>
    </row>
    <row r="398" spans="1:7">
      <c r="A398" s="1748"/>
      <c r="B398" s="1749" t="s">
        <v>3328</v>
      </c>
      <c r="C398" s="1750">
        <v>1</v>
      </c>
      <c r="D398" s="1756">
        <v>0.1</v>
      </c>
      <c r="E398" s="1752">
        <f t="shared" si="138"/>
        <v>0.13899999999999998</v>
      </c>
      <c r="F398" s="1747">
        <f t="shared" si="139"/>
        <v>0.14899999999999999</v>
      </c>
      <c r="G398" s="1747">
        <f t="shared" si="140"/>
        <v>0.12000000000000011</v>
      </c>
    </row>
    <row r="399" spans="1:7">
      <c r="A399" s="1748"/>
      <c r="B399" s="1749" t="s">
        <v>3329</v>
      </c>
      <c r="C399" s="1750">
        <v>2</v>
      </c>
      <c r="D399" s="1756">
        <v>0.11</v>
      </c>
      <c r="E399" s="1752">
        <f t="shared" si="138"/>
        <v>0.30579999999999996</v>
      </c>
      <c r="F399" s="1747">
        <f t="shared" si="139"/>
        <v>0.32779999999999998</v>
      </c>
      <c r="G399" s="1747">
        <f t="shared" si="140"/>
        <v>0.26400000000000023</v>
      </c>
    </row>
    <row r="400" spans="1:7">
      <c r="A400" s="1748"/>
      <c r="B400" s="1749" t="s">
        <v>3330</v>
      </c>
      <c r="C400" s="1750"/>
      <c r="D400" s="1756">
        <v>0.12</v>
      </c>
      <c r="E400" s="1752">
        <f t="shared" si="138"/>
        <v>0</v>
      </c>
      <c r="F400" s="1747">
        <f t="shared" si="139"/>
        <v>0</v>
      </c>
      <c r="G400" s="1747">
        <f t="shared" si="140"/>
        <v>0</v>
      </c>
    </row>
    <row r="401" spans="1:7">
      <c r="A401" s="1748"/>
      <c r="B401" s="1749" t="s">
        <v>3331</v>
      </c>
      <c r="C401" s="1750"/>
      <c r="D401" s="1756">
        <v>0.13</v>
      </c>
      <c r="E401" s="1752">
        <f t="shared" si="138"/>
        <v>0</v>
      </c>
      <c r="F401" s="1747">
        <f t="shared" si="139"/>
        <v>0</v>
      </c>
      <c r="G401" s="1747">
        <f t="shared" si="140"/>
        <v>0</v>
      </c>
    </row>
    <row r="402" spans="1:7">
      <c r="A402" s="1748"/>
      <c r="B402" s="1749" t="s">
        <v>3332</v>
      </c>
      <c r="C402" s="1750">
        <v>1</v>
      </c>
      <c r="D402" s="1756">
        <v>0.14000000000000001</v>
      </c>
      <c r="E402" s="1752">
        <f t="shared" si="138"/>
        <v>0.1946</v>
      </c>
      <c r="F402" s="1747">
        <f t="shared" si="139"/>
        <v>0.20860000000000001</v>
      </c>
      <c r="G402" s="1747">
        <f t="shared" si="140"/>
        <v>0.16800000000000015</v>
      </c>
    </row>
    <row r="403" spans="1:7" ht="28.5">
      <c r="A403" s="1736" t="s">
        <v>18</v>
      </c>
      <c r="B403" s="1757" t="s">
        <v>3424</v>
      </c>
      <c r="C403" s="1743">
        <f>C404+C405</f>
        <v>33</v>
      </c>
      <c r="D403" s="1743">
        <f>D404+D405</f>
        <v>0</v>
      </c>
      <c r="E403" s="1744"/>
      <c r="F403" s="1747"/>
      <c r="G403" s="1747">
        <f t="shared" si="140"/>
        <v>0</v>
      </c>
    </row>
    <row r="404" spans="1:7">
      <c r="A404" s="1748">
        <v>1</v>
      </c>
      <c r="B404" s="1750" t="s">
        <v>3333</v>
      </c>
      <c r="C404" s="1750">
        <v>22</v>
      </c>
      <c r="D404" s="1751"/>
      <c r="E404" s="1752"/>
      <c r="F404" s="1747">
        <f t="shared" ref="F404:F405" si="141">C404*D404*1.49</f>
        <v>0</v>
      </c>
      <c r="G404" s="1747">
        <f t="shared" si="140"/>
        <v>0</v>
      </c>
    </row>
    <row r="405" spans="1:7">
      <c r="A405" s="1748">
        <v>2</v>
      </c>
      <c r="B405" s="1750" t="s">
        <v>3334</v>
      </c>
      <c r="C405" s="1750">
        <v>11</v>
      </c>
      <c r="D405" s="1758"/>
      <c r="E405" s="1752"/>
      <c r="F405" s="1747">
        <f t="shared" si="141"/>
        <v>0</v>
      </c>
      <c r="G405" s="1747">
        <f t="shared" si="140"/>
        <v>0</v>
      </c>
    </row>
    <row r="406" spans="1:7" ht="28.5">
      <c r="A406" s="1736" t="s">
        <v>867</v>
      </c>
      <c r="B406" s="1735" t="s">
        <v>3426</v>
      </c>
      <c r="C406" s="1743"/>
      <c r="D406" s="1738"/>
      <c r="E406" s="1744"/>
      <c r="F406" s="1747"/>
      <c r="G406" s="1741">
        <f>G407+G408+G411</f>
        <v>21.120000000000019</v>
      </c>
    </row>
    <row r="407" spans="1:7">
      <c r="A407" s="1736">
        <v>1</v>
      </c>
      <c r="B407" s="1737" t="s">
        <v>3428</v>
      </c>
      <c r="C407" s="1743">
        <v>33</v>
      </c>
      <c r="D407" s="1744">
        <v>4.2999999999999997E-2</v>
      </c>
      <c r="E407" s="1744">
        <f>C407*D407</f>
        <v>1.4189999999999998</v>
      </c>
      <c r="F407" s="1744">
        <f>E407</f>
        <v>1.4189999999999998</v>
      </c>
      <c r="G407" s="1747">
        <f t="shared" ref="G407" si="142">(F407-E407)*12</f>
        <v>0</v>
      </c>
    </row>
    <row r="408" spans="1:7">
      <c r="A408" s="1736">
        <v>2</v>
      </c>
      <c r="B408" s="1348" t="s">
        <v>3335</v>
      </c>
      <c r="C408" s="1743">
        <v>220</v>
      </c>
      <c r="D408" s="1746"/>
      <c r="E408" s="1744"/>
      <c r="F408" s="1747"/>
      <c r="G408" s="1741">
        <f>G409+G410</f>
        <v>10.560000000000009</v>
      </c>
    </row>
    <row r="409" spans="1:7">
      <c r="A409" s="1748"/>
      <c r="B409" s="1349" t="s">
        <v>3336</v>
      </c>
      <c r="C409" s="1750">
        <v>110</v>
      </c>
      <c r="D409" s="1754">
        <v>0.03</v>
      </c>
      <c r="E409" s="1752">
        <f>C409*D409</f>
        <v>3.3</v>
      </c>
      <c r="F409" s="1747">
        <f>E409</f>
        <v>3.3</v>
      </c>
      <c r="G409" s="1747">
        <f t="shared" ref="G409:G410" si="143">(F409-E409)*12</f>
        <v>0</v>
      </c>
    </row>
    <row r="410" spans="1:7">
      <c r="A410" s="1748"/>
      <c r="B410" s="1349" t="s">
        <v>3337</v>
      </c>
      <c r="C410" s="1750">
        <v>110</v>
      </c>
      <c r="D410" s="1759">
        <v>0.08</v>
      </c>
      <c r="E410" s="1752">
        <f>C410*D410*1.39</f>
        <v>12.231999999999999</v>
      </c>
      <c r="F410" s="1747">
        <f>C410*D410*1.49</f>
        <v>13.112</v>
      </c>
      <c r="G410" s="1747">
        <f t="shared" si="143"/>
        <v>10.560000000000009</v>
      </c>
    </row>
    <row r="411" spans="1:7">
      <c r="A411" s="1736">
        <v>3</v>
      </c>
      <c r="B411" s="1737" t="s">
        <v>3338</v>
      </c>
      <c r="C411" s="1743"/>
      <c r="D411" s="1738"/>
      <c r="E411" s="1744"/>
      <c r="F411" s="1747"/>
      <c r="G411" s="1741">
        <f>G412+G413</f>
        <v>10.560000000000009</v>
      </c>
    </row>
    <row r="412" spans="1:7">
      <c r="A412" s="1748"/>
      <c r="B412" s="1349" t="s">
        <v>3336</v>
      </c>
      <c r="C412" s="1750">
        <v>110</v>
      </c>
      <c r="D412" s="1754">
        <v>0.03</v>
      </c>
      <c r="E412" s="1752">
        <f>C412*D412</f>
        <v>3.3</v>
      </c>
      <c r="F412" s="1747">
        <f>E412</f>
        <v>3.3</v>
      </c>
      <c r="G412" s="1747">
        <f t="shared" ref="G412:G413" si="144">(F412-E412)*12</f>
        <v>0</v>
      </c>
    </row>
    <row r="413" spans="1:7">
      <c r="A413" s="1748"/>
      <c r="B413" s="1349" t="s">
        <v>3337</v>
      </c>
      <c r="C413" s="1750">
        <v>110</v>
      </c>
      <c r="D413" s="1759">
        <v>0.08</v>
      </c>
      <c r="E413" s="1752">
        <f>C413*D413*1.39</f>
        <v>12.231999999999999</v>
      </c>
      <c r="F413" s="1747">
        <f>C413*D413*1.49</f>
        <v>13.112</v>
      </c>
      <c r="G413" s="1747">
        <f t="shared" si="144"/>
        <v>10.560000000000009</v>
      </c>
    </row>
    <row r="414" spans="1:7">
      <c r="A414" s="1736" t="s">
        <v>933</v>
      </c>
      <c r="B414" s="1743" t="s">
        <v>3427</v>
      </c>
      <c r="C414" s="1743">
        <f>C415</f>
        <v>22</v>
      </c>
      <c r="D414" s="1760">
        <f>D415</f>
        <v>0.22500000000000001</v>
      </c>
      <c r="E414" s="1761">
        <f t="shared" ref="E414:G414" si="145">E415</f>
        <v>6.8804999999999996</v>
      </c>
      <c r="F414" s="1761">
        <f t="shared" si="145"/>
        <v>7.3755000000000006</v>
      </c>
      <c r="G414" s="1761">
        <f t="shared" si="145"/>
        <v>5.9400000000000119</v>
      </c>
    </row>
    <row r="415" spans="1:7">
      <c r="A415" s="1748"/>
      <c r="B415" s="1750" t="s">
        <v>3333</v>
      </c>
      <c r="C415" s="1750">
        <v>22</v>
      </c>
      <c r="D415" s="1762">
        <v>0.22500000000000001</v>
      </c>
      <c r="E415" s="1763">
        <f>C415*D415*1.39</f>
        <v>6.8804999999999996</v>
      </c>
      <c r="F415" s="1747">
        <f>C415*D415*1.49</f>
        <v>7.3755000000000006</v>
      </c>
      <c r="G415" s="1747">
        <f t="shared" ref="G415" si="146">(F415-E415)*12</f>
        <v>5.9400000000000119</v>
      </c>
    </row>
    <row r="416" spans="1:7">
      <c r="A416" s="1748"/>
      <c r="B416" s="1769" t="s">
        <v>3333</v>
      </c>
      <c r="C416" s="1750"/>
      <c r="D416" s="1762"/>
      <c r="E416" s="1763"/>
      <c r="F416" s="1747"/>
      <c r="G416" s="1747"/>
    </row>
    <row r="417" spans="1:7">
      <c r="A417" s="1748"/>
      <c r="B417" s="1770" t="s">
        <v>3456</v>
      </c>
      <c r="C417" s="1750"/>
      <c r="D417" s="1762"/>
      <c r="E417" s="1763"/>
      <c r="F417" s="1747"/>
      <c r="G417" s="1747"/>
    </row>
    <row r="418" spans="1:7">
      <c r="A418" s="1404"/>
      <c r="B418" s="1405" t="s">
        <v>2498</v>
      </c>
      <c r="C418" s="1407">
        <f>SUM(C419,C434,C443,C454,C457,C465)</f>
        <v>365</v>
      </c>
      <c r="D418" s="1406"/>
      <c r="E418" s="1406">
        <f>SUM(E419,E434,E443,E454,E457,E465)</f>
        <v>158.55730000000003</v>
      </c>
      <c r="F418" s="1406">
        <f>SUM(F419,F434,F443,F454,F457,F465)</f>
        <v>169.96430000000001</v>
      </c>
      <c r="G418" s="1406">
        <f>SUM(G419,G434,G443,G454,G457,G465)</f>
        <v>158.00399999999996</v>
      </c>
    </row>
    <row r="419" spans="1:7">
      <c r="A419" s="1736" t="s">
        <v>13</v>
      </c>
      <c r="B419" s="1737" t="s">
        <v>3309</v>
      </c>
      <c r="C419" s="1738">
        <f>C420+C433</f>
        <v>109</v>
      </c>
      <c r="D419" s="1739"/>
      <c r="E419" s="1740">
        <f>E420+E433</f>
        <v>111.2278</v>
      </c>
      <c r="F419" s="1740">
        <f>F420+F433</f>
        <v>119.2298</v>
      </c>
      <c r="G419" s="1741">
        <f>(F419-E419)*12</f>
        <v>96.023999999999944</v>
      </c>
    </row>
    <row r="420" spans="1:7">
      <c r="A420" s="1736">
        <v>1</v>
      </c>
      <c r="B420" s="1742" t="s">
        <v>3422</v>
      </c>
      <c r="C420" s="1743">
        <f>C421+C424</f>
        <v>43</v>
      </c>
      <c r="D420" s="1739"/>
      <c r="E420" s="1744">
        <f>E421+E424</f>
        <v>65.357799999999997</v>
      </c>
      <c r="F420" s="1744">
        <f>F421+F424</f>
        <v>70.059799999999996</v>
      </c>
      <c r="G420" s="1744">
        <f>G421+G424</f>
        <v>56.424000000000063</v>
      </c>
    </row>
    <row r="421" spans="1:7">
      <c r="A421" s="1736"/>
      <c r="B421" s="1745" t="s">
        <v>3310</v>
      </c>
      <c r="C421" s="1743">
        <f>C422+C423</f>
        <v>22</v>
      </c>
      <c r="D421" s="1746"/>
      <c r="E421" s="1744">
        <f t="shared" ref="E421:F421" si="147">E422+E423</f>
        <v>30.58</v>
      </c>
      <c r="F421" s="1744">
        <f t="shared" si="147"/>
        <v>32.78</v>
      </c>
      <c r="G421" s="1747">
        <f t="shared" ref="G421:G424" si="148">(F421-E421)*12</f>
        <v>26.400000000000034</v>
      </c>
    </row>
    <row r="422" spans="1:7">
      <c r="A422" s="1748"/>
      <c r="B422" s="1749" t="s">
        <v>3311</v>
      </c>
      <c r="C422" s="1750">
        <v>11</v>
      </c>
      <c r="D422" s="1751">
        <v>1</v>
      </c>
      <c r="E422" s="1752">
        <f>C422*D422*1.39</f>
        <v>15.29</v>
      </c>
      <c r="F422" s="1747">
        <f>C422*D422*1.49</f>
        <v>16.39</v>
      </c>
      <c r="G422" s="1747">
        <f t="shared" si="148"/>
        <v>13.200000000000017</v>
      </c>
    </row>
    <row r="423" spans="1:7">
      <c r="A423" s="1748"/>
      <c r="B423" s="1749" t="s">
        <v>3312</v>
      </c>
      <c r="C423" s="1750">
        <v>11</v>
      </c>
      <c r="D423" s="1751">
        <v>1</v>
      </c>
      <c r="E423" s="1752">
        <f>C423*D423*1.39</f>
        <v>15.29</v>
      </c>
      <c r="F423" s="1747">
        <f>C423*D423*1.49</f>
        <v>16.39</v>
      </c>
      <c r="G423" s="1747">
        <f t="shared" si="148"/>
        <v>13.200000000000017</v>
      </c>
    </row>
    <row r="424" spans="1:7">
      <c r="A424" s="1736"/>
      <c r="B424" s="1745" t="s">
        <v>3423</v>
      </c>
      <c r="C424" s="1743">
        <f>C425+C429</f>
        <v>21</v>
      </c>
      <c r="D424" s="1746">
        <f>D425+D429</f>
        <v>0</v>
      </c>
      <c r="E424" s="1744">
        <f t="shared" ref="E424:F424" si="149">E425+E429</f>
        <v>34.777799999999999</v>
      </c>
      <c r="F424" s="1744">
        <f t="shared" si="149"/>
        <v>37.279800000000002</v>
      </c>
      <c r="G424" s="1747">
        <f t="shared" si="148"/>
        <v>30.024000000000029</v>
      </c>
    </row>
    <row r="425" spans="1:7">
      <c r="A425" s="1748"/>
      <c r="B425" s="1749" t="s">
        <v>3311</v>
      </c>
      <c r="C425" s="1750">
        <f>SUM(C426:C428)</f>
        <v>11</v>
      </c>
      <c r="D425" s="1734"/>
      <c r="E425" s="1752">
        <f>SUM(E426:E428)</f>
        <v>18.153400000000001</v>
      </c>
      <c r="F425" s="1752">
        <f>SUM(F426:F428)</f>
        <v>19.459400000000002</v>
      </c>
      <c r="G425" s="1752">
        <f>SUM(G426:G428)</f>
        <v>15.672000000000017</v>
      </c>
    </row>
    <row r="426" spans="1:7">
      <c r="A426" s="1748"/>
      <c r="B426" s="1342" t="s">
        <v>129</v>
      </c>
      <c r="C426" s="1750">
        <v>6</v>
      </c>
      <c r="D426" s="1734">
        <v>1.34</v>
      </c>
      <c r="E426" s="1752">
        <f>C426*D426*1.39</f>
        <v>11.175600000000001</v>
      </c>
      <c r="F426" s="1747">
        <f>C426*D426*1.49</f>
        <v>11.979600000000001</v>
      </c>
      <c r="G426" s="1747">
        <f t="shared" ref="G426:G428" si="150">(F426-E426)*12</f>
        <v>9.6480000000000032</v>
      </c>
    </row>
    <row r="427" spans="1:7">
      <c r="A427" s="1748"/>
      <c r="B427" s="1342" t="s">
        <v>1312</v>
      </c>
      <c r="C427" s="1750">
        <v>3</v>
      </c>
      <c r="D427" s="1734">
        <v>1.1000000000000001</v>
      </c>
      <c r="E427" s="1752">
        <f>C427*D427*1.39</f>
        <v>4.5869999999999997</v>
      </c>
      <c r="F427" s="1747">
        <f>C427*D427*1.49</f>
        <v>4.9170000000000007</v>
      </c>
      <c r="G427" s="1747">
        <f t="shared" si="150"/>
        <v>3.9600000000000115</v>
      </c>
    </row>
    <row r="428" spans="1:7">
      <c r="A428" s="1748"/>
      <c r="B428" s="1342" t="s">
        <v>3435</v>
      </c>
      <c r="C428" s="1750">
        <v>2</v>
      </c>
      <c r="D428" s="1734">
        <v>0.86</v>
      </c>
      <c r="E428" s="1752">
        <f>C428*D428*1.39</f>
        <v>2.3907999999999996</v>
      </c>
      <c r="F428" s="1747">
        <f>C428*D428*1.49</f>
        <v>2.5627999999999997</v>
      </c>
      <c r="G428" s="1747">
        <f t="shared" si="150"/>
        <v>2.0640000000000018</v>
      </c>
    </row>
    <row r="429" spans="1:7">
      <c r="A429" s="1748"/>
      <c r="B429" s="1749" t="s">
        <v>3312</v>
      </c>
      <c r="C429" s="1750">
        <f>SUM(C430:C432)</f>
        <v>10</v>
      </c>
      <c r="D429" s="1734"/>
      <c r="E429" s="1752">
        <f>SUM(E430:E432)</f>
        <v>16.624400000000001</v>
      </c>
      <c r="F429" s="1752">
        <f>SUM(F430:F432)</f>
        <v>17.820399999999999</v>
      </c>
      <c r="G429" s="1752">
        <f>SUM(G430:G432)</f>
        <v>14.352000000000013</v>
      </c>
    </row>
    <row r="430" spans="1:7">
      <c r="A430" s="1748"/>
      <c r="B430" s="1342" t="s">
        <v>129</v>
      </c>
      <c r="C430" s="1750">
        <v>7</v>
      </c>
      <c r="D430" s="1734">
        <v>1.34</v>
      </c>
      <c r="E430" s="1752">
        <f>C430*D430*1.39</f>
        <v>13.0382</v>
      </c>
      <c r="F430" s="1747">
        <f>C430*D430*1.49</f>
        <v>13.9762</v>
      </c>
      <c r="G430" s="1747">
        <f t="shared" ref="G430:G433" si="151">(F430-E430)*12</f>
        <v>11.256000000000007</v>
      </c>
    </row>
    <row r="431" spans="1:7">
      <c r="A431" s="1748"/>
      <c r="B431" s="1342" t="s">
        <v>1312</v>
      </c>
      <c r="C431" s="1750"/>
      <c r="D431" s="1734">
        <v>1.1000000000000001</v>
      </c>
      <c r="E431" s="1752">
        <f>C431*D431*1.39</f>
        <v>0</v>
      </c>
      <c r="F431" s="1747">
        <f>C431*D431*1.49</f>
        <v>0</v>
      </c>
      <c r="G431" s="1747">
        <f t="shared" si="151"/>
        <v>0</v>
      </c>
    </row>
    <row r="432" spans="1:7">
      <c r="A432" s="1748"/>
      <c r="B432" s="1342" t="s">
        <v>3435</v>
      </c>
      <c r="C432" s="1750">
        <v>3</v>
      </c>
      <c r="D432" s="1734">
        <v>0.86</v>
      </c>
      <c r="E432" s="1752">
        <f>C432*D432*1.39</f>
        <v>3.5861999999999998</v>
      </c>
      <c r="F432" s="1747">
        <f>C432*D432*1.49</f>
        <v>3.8442000000000003</v>
      </c>
      <c r="G432" s="1747">
        <f t="shared" si="151"/>
        <v>3.0960000000000054</v>
      </c>
    </row>
    <row r="433" spans="1:7">
      <c r="A433" s="1736">
        <v>2</v>
      </c>
      <c r="B433" s="1743" t="s">
        <v>3313</v>
      </c>
      <c r="C433" s="1743">
        <v>66</v>
      </c>
      <c r="D433" s="1739">
        <v>0.5</v>
      </c>
      <c r="E433" s="1744">
        <f>C433*D433*1.39</f>
        <v>45.87</v>
      </c>
      <c r="F433" s="1741">
        <f>C433*D433*1.49</f>
        <v>49.17</v>
      </c>
      <c r="G433" s="1741">
        <f t="shared" si="151"/>
        <v>39.600000000000051</v>
      </c>
    </row>
    <row r="434" spans="1:7">
      <c r="A434" s="1736" t="s">
        <v>65</v>
      </c>
      <c r="B434" s="1737" t="s">
        <v>3314</v>
      </c>
      <c r="C434" s="1743">
        <f>SUM(C435:C442)</f>
        <v>179</v>
      </c>
      <c r="D434" s="1739"/>
      <c r="E434" s="1741">
        <f t="shared" ref="E434:F434" si="152">SUM(E435:E442)</f>
        <v>38.197199999999995</v>
      </c>
      <c r="F434" s="1741">
        <f t="shared" si="152"/>
        <v>40.9452</v>
      </c>
      <c r="G434" s="1741">
        <f>SUM(G435:G442)</f>
        <v>32.976000000000028</v>
      </c>
    </row>
    <row r="435" spans="1:7">
      <c r="A435" s="1748">
        <v>1</v>
      </c>
      <c r="B435" s="1750" t="s">
        <v>3315</v>
      </c>
      <c r="C435" s="1753">
        <v>11</v>
      </c>
      <c r="D435" s="1754">
        <v>0.24</v>
      </c>
      <c r="E435" s="1752">
        <f>C435*D435*1.39</f>
        <v>3.6695999999999991</v>
      </c>
      <c r="F435" s="1747">
        <f t="shared" ref="F435:F442" si="153">C435*D435*1.49</f>
        <v>3.9335999999999993</v>
      </c>
      <c r="G435" s="1747">
        <f t="shared" ref="G435:G442" si="154">(F435-E435)*12</f>
        <v>3.1680000000000028</v>
      </c>
    </row>
    <row r="436" spans="1:7">
      <c r="A436" s="1748">
        <v>2</v>
      </c>
      <c r="B436" s="1750" t="s">
        <v>3316</v>
      </c>
      <c r="C436" s="1753">
        <v>11</v>
      </c>
      <c r="D436" s="1754">
        <v>0.24</v>
      </c>
      <c r="E436" s="1752">
        <f t="shared" ref="E436:E442" si="155">C436*D436*1.39</f>
        <v>3.6695999999999991</v>
      </c>
      <c r="F436" s="1747">
        <f t="shared" si="153"/>
        <v>3.9335999999999993</v>
      </c>
      <c r="G436" s="1747">
        <f t="shared" si="154"/>
        <v>3.1680000000000028</v>
      </c>
    </row>
    <row r="437" spans="1:7">
      <c r="A437" s="1748">
        <v>3</v>
      </c>
      <c r="B437" s="1750" t="s">
        <v>3317</v>
      </c>
      <c r="C437" s="1753">
        <v>11</v>
      </c>
      <c r="D437" s="1754">
        <v>0.22</v>
      </c>
      <c r="E437" s="1752">
        <f t="shared" si="155"/>
        <v>3.3637999999999995</v>
      </c>
      <c r="F437" s="1747">
        <f t="shared" si="153"/>
        <v>3.6057999999999999</v>
      </c>
      <c r="G437" s="1747">
        <f t="shared" si="154"/>
        <v>2.9040000000000052</v>
      </c>
    </row>
    <row r="438" spans="1:7">
      <c r="A438" s="1748">
        <v>4</v>
      </c>
      <c r="B438" s="1750" t="s">
        <v>3318</v>
      </c>
      <c r="C438" s="1753">
        <v>21</v>
      </c>
      <c r="D438" s="1754">
        <v>0.22</v>
      </c>
      <c r="E438" s="1752">
        <f t="shared" si="155"/>
        <v>6.4217999999999993</v>
      </c>
      <c r="F438" s="1747">
        <f t="shared" si="153"/>
        <v>6.8837999999999999</v>
      </c>
      <c r="G438" s="1747">
        <f t="shared" si="154"/>
        <v>5.5440000000000076</v>
      </c>
    </row>
    <row r="439" spans="1:7">
      <c r="A439" s="1748">
        <v>5</v>
      </c>
      <c r="B439" s="1750" t="s">
        <v>3319</v>
      </c>
      <c r="C439" s="1753">
        <v>36</v>
      </c>
      <c r="D439" s="1754">
        <v>0.1</v>
      </c>
      <c r="E439" s="1752">
        <f t="shared" si="155"/>
        <v>5.0039999999999996</v>
      </c>
      <c r="F439" s="1747">
        <f t="shared" si="153"/>
        <v>5.3639999999999999</v>
      </c>
      <c r="G439" s="1747">
        <f t="shared" si="154"/>
        <v>4.3200000000000038</v>
      </c>
    </row>
    <row r="440" spans="1:7">
      <c r="A440" s="1748">
        <v>6</v>
      </c>
      <c r="B440" s="1750" t="s">
        <v>3320</v>
      </c>
      <c r="C440" s="1753">
        <v>11</v>
      </c>
      <c r="D440" s="1754">
        <v>0.2</v>
      </c>
      <c r="E440" s="1752">
        <f t="shared" si="155"/>
        <v>3.0579999999999998</v>
      </c>
      <c r="F440" s="1747">
        <f t="shared" si="153"/>
        <v>3.278</v>
      </c>
      <c r="G440" s="1747">
        <f t="shared" si="154"/>
        <v>2.6400000000000023</v>
      </c>
    </row>
    <row r="441" spans="1:7">
      <c r="A441" s="1748">
        <v>7</v>
      </c>
      <c r="B441" s="1750" t="s">
        <v>3321</v>
      </c>
      <c r="C441" s="1753">
        <v>11</v>
      </c>
      <c r="D441" s="1754">
        <v>0.12</v>
      </c>
      <c r="E441" s="1752">
        <f t="shared" si="155"/>
        <v>1.8347999999999995</v>
      </c>
      <c r="F441" s="1747">
        <f t="shared" si="153"/>
        <v>1.9667999999999997</v>
      </c>
      <c r="G441" s="1747">
        <f t="shared" si="154"/>
        <v>1.5840000000000014</v>
      </c>
    </row>
    <row r="442" spans="1:7">
      <c r="A442" s="1748">
        <v>8</v>
      </c>
      <c r="B442" s="1750" t="s">
        <v>3425</v>
      </c>
      <c r="C442" s="1753">
        <v>67</v>
      </c>
      <c r="D442" s="1754">
        <v>0.12</v>
      </c>
      <c r="E442" s="1752">
        <f t="shared" si="155"/>
        <v>11.175599999999998</v>
      </c>
      <c r="F442" s="1747">
        <f t="shared" si="153"/>
        <v>11.979599999999998</v>
      </c>
      <c r="G442" s="1747">
        <f t="shared" si="154"/>
        <v>9.6480000000000032</v>
      </c>
    </row>
    <row r="443" spans="1:7">
      <c r="A443" s="1736" t="s">
        <v>14</v>
      </c>
      <c r="B443" s="1737" t="s">
        <v>3322</v>
      </c>
      <c r="C443" s="1743">
        <f>SUM(C444:C453)</f>
        <v>22</v>
      </c>
      <c r="D443" s="1755"/>
      <c r="E443" s="1741">
        <f t="shared" ref="E443:F443" si="156">SUM(E444:E453)</f>
        <v>2.2517999999999998</v>
      </c>
      <c r="F443" s="1741">
        <f t="shared" si="156"/>
        <v>2.4138000000000002</v>
      </c>
      <c r="G443" s="1741">
        <f>SUM(G444:G453)</f>
        <v>1.9440000000000017</v>
      </c>
    </row>
    <row r="444" spans="1:7">
      <c r="A444" s="1748"/>
      <c r="B444" s="1749" t="s">
        <v>3323</v>
      </c>
      <c r="C444" s="1750">
        <v>5</v>
      </c>
      <c r="D444" s="1756">
        <v>0.05</v>
      </c>
      <c r="E444" s="1752">
        <f t="shared" ref="E444:E453" si="157">C444*D444*1.39</f>
        <v>0.34749999999999998</v>
      </c>
      <c r="F444" s="1747">
        <f t="shared" ref="F444:F453" si="158">C444*D444*1.49</f>
        <v>0.3725</v>
      </c>
      <c r="G444" s="1747">
        <f t="shared" ref="G444:G456" si="159">(F444-E444)*12</f>
        <v>0.30000000000000027</v>
      </c>
    </row>
    <row r="445" spans="1:7">
      <c r="A445" s="1748"/>
      <c r="B445" s="1749" t="s">
        <v>3324</v>
      </c>
      <c r="C445" s="1750">
        <v>4</v>
      </c>
      <c r="D445" s="1756">
        <v>0.06</v>
      </c>
      <c r="E445" s="1752">
        <f t="shared" si="157"/>
        <v>0.33359999999999995</v>
      </c>
      <c r="F445" s="1747">
        <f t="shared" si="158"/>
        <v>0.35759999999999997</v>
      </c>
      <c r="G445" s="1747">
        <f t="shared" si="159"/>
        <v>0.28800000000000026</v>
      </c>
    </row>
    <row r="446" spans="1:7">
      <c r="A446" s="1748"/>
      <c r="B446" s="1749" t="s">
        <v>3325</v>
      </c>
      <c r="C446" s="1750">
        <v>6</v>
      </c>
      <c r="D446" s="1756">
        <v>7.0000000000000007E-2</v>
      </c>
      <c r="E446" s="1752">
        <f t="shared" si="157"/>
        <v>0.58379999999999999</v>
      </c>
      <c r="F446" s="1747">
        <f t="shared" si="158"/>
        <v>0.62580000000000002</v>
      </c>
      <c r="G446" s="1747">
        <f t="shared" si="159"/>
        <v>0.50400000000000045</v>
      </c>
    </row>
    <row r="447" spans="1:7">
      <c r="A447" s="1748"/>
      <c r="B447" s="1749" t="s">
        <v>3326</v>
      </c>
      <c r="C447" s="1750">
        <v>2</v>
      </c>
      <c r="D447" s="1756">
        <v>0.08</v>
      </c>
      <c r="E447" s="1752">
        <f t="shared" si="157"/>
        <v>0.22239999999999999</v>
      </c>
      <c r="F447" s="1747">
        <f t="shared" si="158"/>
        <v>0.2384</v>
      </c>
      <c r="G447" s="1747">
        <f t="shared" si="159"/>
        <v>0.19200000000000017</v>
      </c>
    </row>
    <row r="448" spans="1:7">
      <c r="A448" s="1748"/>
      <c r="B448" s="1749" t="s">
        <v>3327</v>
      </c>
      <c r="C448" s="1750">
        <v>1</v>
      </c>
      <c r="D448" s="1756">
        <v>0.09</v>
      </c>
      <c r="E448" s="1752">
        <f t="shared" si="157"/>
        <v>0.12509999999999999</v>
      </c>
      <c r="F448" s="1747">
        <f t="shared" si="158"/>
        <v>0.1341</v>
      </c>
      <c r="G448" s="1747">
        <f t="shared" si="159"/>
        <v>0.1080000000000001</v>
      </c>
    </row>
    <row r="449" spans="1:7">
      <c r="A449" s="1748"/>
      <c r="B449" s="1749" t="s">
        <v>3328</v>
      </c>
      <c r="C449" s="1750">
        <v>1</v>
      </c>
      <c r="D449" s="1756">
        <v>0.1</v>
      </c>
      <c r="E449" s="1752">
        <f t="shared" si="157"/>
        <v>0.13899999999999998</v>
      </c>
      <c r="F449" s="1747">
        <f t="shared" si="158"/>
        <v>0.14899999999999999</v>
      </c>
      <c r="G449" s="1747">
        <f t="shared" si="159"/>
        <v>0.12000000000000011</v>
      </c>
    </row>
    <row r="450" spans="1:7">
      <c r="A450" s="1748"/>
      <c r="B450" s="1749" t="s">
        <v>3329</v>
      </c>
      <c r="C450" s="1750">
        <v>2</v>
      </c>
      <c r="D450" s="1756">
        <v>0.11</v>
      </c>
      <c r="E450" s="1752">
        <f t="shared" si="157"/>
        <v>0.30579999999999996</v>
      </c>
      <c r="F450" s="1747">
        <f t="shared" si="158"/>
        <v>0.32779999999999998</v>
      </c>
      <c r="G450" s="1747">
        <f t="shared" si="159"/>
        <v>0.26400000000000023</v>
      </c>
    </row>
    <row r="451" spans="1:7">
      <c r="A451" s="1748"/>
      <c r="B451" s="1749" t="s">
        <v>3330</v>
      </c>
      <c r="C451" s="1750"/>
      <c r="D451" s="1756">
        <v>0.12</v>
      </c>
      <c r="E451" s="1752">
        <f t="shared" si="157"/>
        <v>0</v>
      </c>
      <c r="F451" s="1747">
        <f t="shared" si="158"/>
        <v>0</v>
      </c>
      <c r="G451" s="1747">
        <f t="shared" si="159"/>
        <v>0</v>
      </c>
    </row>
    <row r="452" spans="1:7">
      <c r="A452" s="1748"/>
      <c r="B452" s="1749" t="s">
        <v>3331</v>
      </c>
      <c r="C452" s="1750"/>
      <c r="D452" s="1756">
        <v>0.13</v>
      </c>
      <c r="E452" s="1752">
        <f t="shared" si="157"/>
        <v>0</v>
      </c>
      <c r="F452" s="1747">
        <f t="shared" si="158"/>
        <v>0</v>
      </c>
      <c r="G452" s="1747">
        <f t="shared" si="159"/>
        <v>0</v>
      </c>
    </row>
    <row r="453" spans="1:7">
      <c r="A453" s="1748"/>
      <c r="B453" s="1749" t="s">
        <v>3332</v>
      </c>
      <c r="C453" s="1750">
        <v>1</v>
      </c>
      <c r="D453" s="1756">
        <v>0.14000000000000001</v>
      </c>
      <c r="E453" s="1752">
        <f t="shared" si="157"/>
        <v>0.1946</v>
      </c>
      <c r="F453" s="1747">
        <f t="shared" si="158"/>
        <v>0.20860000000000001</v>
      </c>
      <c r="G453" s="1747">
        <f t="shared" si="159"/>
        <v>0.16800000000000015</v>
      </c>
    </row>
    <row r="454" spans="1:7" ht="28.5">
      <c r="A454" s="1736" t="s">
        <v>18</v>
      </c>
      <c r="B454" s="1757" t="s">
        <v>3424</v>
      </c>
      <c r="C454" s="1743">
        <f>C455+C456</f>
        <v>33</v>
      </c>
      <c r="D454" s="1743">
        <f>D455+D456</f>
        <v>0</v>
      </c>
      <c r="E454" s="1744"/>
      <c r="F454" s="1747"/>
      <c r="G454" s="1747">
        <f t="shared" si="159"/>
        <v>0</v>
      </c>
    </row>
    <row r="455" spans="1:7">
      <c r="A455" s="1748">
        <v>1</v>
      </c>
      <c r="B455" s="1750" t="s">
        <v>3333</v>
      </c>
      <c r="C455" s="1750">
        <v>22</v>
      </c>
      <c r="D455" s="1751"/>
      <c r="E455" s="1752"/>
      <c r="F455" s="1747">
        <f t="shared" ref="F455:F456" si="160">C455*D455*1.49</f>
        <v>0</v>
      </c>
      <c r="G455" s="1747">
        <f t="shared" si="159"/>
        <v>0</v>
      </c>
    </row>
    <row r="456" spans="1:7">
      <c r="A456" s="1748">
        <v>2</v>
      </c>
      <c r="B456" s="1750" t="s">
        <v>3334</v>
      </c>
      <c r="C456" s="1750">
        <v>11</v>
      </c>
      <c r="D456" s="1758"/>
      <c r="E456" s="1752"/>
      <c r="F456" s="1747">
        <f t="shared" si="160"/>
        <v>0</v>
      </c>
      <c r="G456" s="1747">
        <f t="shared" si="159"/>
        <v>0</v>
      </c>
    </row>
    <row r="457" spans="1:7" ht="28.5">
      <c r="A457" s="1736" t="s">
        <v>867</v>
      </c>
      <c r="B457" s="1735" t="s">
        <v>3426</v>
      </c>
      <c r="C457" s="1743"/>
      <c r="D457" s="1738"/>
      <c r="E457" s="1744"/>
      <c r="F457" s="1747"/>
      <c r="G457" s="1741">
        <f>G458+G459+G462</f>
        <v>21.120000000000019</v>
      </c>
    </row>
    <row r="458" spans="1:7">
      <c r="A458" s="1736">
        <v>1</v>
      </c>
      <c r="B458" s="1737" t="s">
        <v>3428</v>
      </c>
      <c r="C458" s="1743">
        <v>33</v>
      </c>
      <c r="D458" s="1744">
        <v>4.2999999999999997E-2</v>
      </c>
      <c r="E458" s="1744">
        <f>C458*D458</f>
        <v>1.4189999999999998</v>
      </c>
      <c r="F458" s="1744">
        <f>E458</f>
        <v>1.4189999999999998</v>
      </c>
      <c r="G458" s="1747">
        <f t="shared" ref="G458" si="161">(F458-E458)*12</f>
        <v>0</v>
      </c>
    </row>
    <row r="459" spans="1:7">
      <c r="A459" s="1736">
        <v>2</v>
      </c>
      <c r="B459" s="1348" t="s">
        <v>3335</v>
      </c>
      <c r="C459" s="1743">
        <v>220</v>
      </c>
      <c r="D459" s="1746"/>
      <c r="E459" s="1744"/>
      <c r="F459" s="1747"/>
      <c r="G459" s="1741">
        <f>G460+G461</f>
        <v>10.560000000000009</v>
      </c>
    </row>
    <row r="460" spans="1:7">
      <c r="A460" s="1748"/>
      <c r="B460" s="1349" t="s">
        <v>3336</v>
      </c>
      <c r="C460" s="1750">
        <v>110</v>
      </c>
      <c r="D460" s="1754">
        <v>0.03</v>
      </c>
      <c r="E460" s="1752">
        <f>C460*D460</f>
        <v>3.3</v>
      </c>
      <c r="F460" s="1747">
        <f>E460</f>
        <v>3.3</v>
      </c>
      <c r="G460" s="1747">
        <f t="shared" ref="G460:G461" si="162">(F460-E460)*12</f>
        <v>0</v>
      </c>
    </row>
    <row r="461" spans="1:7">
      <c r="A461" s="1748"/>
      <c r="B461" s="1349" t="s">
        <v>3337</v>
      </c>
      <c r="C461" s="1750">
        <v>110</v>
      </c>
      <c r="D461" s="1759">
        <v>0.08</v>
      </c>
      <c r="E461" s="1752">
        <f>C461*D461*1.39</f>
        <v>12.231999999999999</v>
      </c>
      <c r="F461" s="1747">
        <f>C461*D461*1.49</f>
        <v>13.112</v>
      </c>
      <c r="G461" s="1747">
        <f t="shared" si="162"/>
        <v>10.560000000000009</v>
      </c>
    </row>
    <row r="462" spans="1:7">
      <c r="A462" s="1736">
        <v>3</v>
      </c>
      <c r="B462" s="1737" t="s">
        <v>3338</v>
      </c>
      <c r="C462" s="1743"/>
      <c r="D462" s="1738"/>
      <c r="E462" s="1744"/>
      <c r="F462" s="1747"/>
      <c r="G462" s="1741">
        <f>G463+G464</f>
        <v>10.560000000000009</v>
      </c>
    </row>
    <row r="463" spans="1:7">
      <c r="A463" s="1748"/>
      <c r="B463" s="1349" t="s">
        <v>3336</v>
      </c>
      <c r="C463" s="1750">
        <v>110</v>
      </c>
      <c r="D463" s="1754">
        <v>0.03</v>
      </c>
      <c r="E463" s="1752">
        <f>C463*D463</f>
        <v>3.3</v>
      </c>
      <c r="F463" s="1747">
        <f>E463</f>
        <v>3.3</v>
      </c>
      <c r="G463" s="1747">
        <f t="shared" ref="G463:G464" si="163">(F463-E463)*12</f>
        <v>0</v>
      </c>
    </row>
    <row r="464" spans="1:7">
      <c r="A464" s="1748"/>
      <c r="B464" s="1349" t="s">
        <v>3337</v>
      </c>
      <c r="C464" s="1750">
        <v>110</v>
      </c>
      <c r="D464" s="1759">
        <v>0.08</v>
      </c>
      <c r="E464" s="1752">
        <f>C464*D464*1.39</f>
        <v>12.231999999999999</v>
      </c>
      <c r="F464" s="1747">
        <f>C464*D464*1.49</f>
        <v>13.112</v>
      </c>
      <c r="G464" s="1747">
        <f t="shared" si="163"/>
        <v>10.560000000000009</v>
      </c>
    </row>
    <row r="465" spans="1:7">
      <c r="A465" s="1736" t="s">
        <v>933</v>
      </c>
      <c r="B465" s="1743" t="s">
        <v>3427</v>
      </c>
      <c r="C465" s="1743">
        <f>C466</f>
        <v>22</v>
      </c>
      <c r="D465" s="1760">
        <f>D466</f>
        <v>0.22500000000000001</v>
      </c>
      <c r="E465" s="1761">
        <f t="shared" ref="E465:G465" si="164">E466</f>
        <v>6.8804999999999996</v>
      </c>
      <c r="F465" s="1761">
        <f t="shared" si="164"/>
        <v>7.3755000000000006</v>
      </c>
      <c r="G465" s="1761">
        <f t="shared" si="164"/>
        <v>5.9400000000000119</v>
      </c>
    </row>
    <row r="466" spans="1:7">
      <c r="A466" s="1748"/>
      <c r="B466" s="1750" t="s">
        <v>3333</v>
      </c>
      <c r="C466" s="1750">
        <v>22</v>
      </c>
      <c r="D466" s="1762">
        <v>0.22500000000000001</v>
      </c>
      <c r="E466" s="1763">
        <f>C466*D466*1.39</f>
        <v>6.8804999999999996</v>
      </c>
      <c r="F466" s="1747">
        <f>C466*D466*1.49</f>
        <v>7.3755000000000006</v>
      </c>
      <c r="G466" s="1747">
        <f t="shared" ref="G466" si="165">(F466-E466)*12</f>
        <v>5.9400000000000119</v>
      </c>
    </row>
    <row r="467" spans="1:7">
      <c r="A467" s="1748"/>
      <c r="B467" s="1769" t="s">
        <v>3333</v>
      </c>
      <c r="C467" s="1750"/>
      <c r="D467" s="1762"/>
      <c r="E467" s="1763"/>
      <c r="F467" s="1747"/>
      <c r="G467" s="1747"/>
    </row>
    <row r="468" spans="1:7">
      <c r="A468" s="1748"/>
      <c r="B468" s="1770" t="s">
        <v>3456</v>
      </c>
      <c r="C468" s="1750"/>
      <c r="D468" s="1762"/>
      <c r="E468" s="1763"/>
      <c r="F468" s="1747"/>
      <c r="G468" s="1747"/>
    </row>
    <row r="469" spans="1:7">
      <c r="A469" s="1404"/>
      <c r="B469" s="1405" t="s">
        <v>2797</v>
      </c>
      <c r="C469" s="1407">
        <f>SUM(C470,C485,C494,C505,C508,C516)</f>
        <v>342</v>
      </c>
      <c r="D469" s="1406"/>
      <c r="E469" s="1406">
        <f>SUM(E470,E485,E494,E505,E508,E516)</f>
        <v>165.77139999999997</v>
      </c>
      <c r="F469" s="1406">
        <f>SUM(F470,F485,F494,F505,F508,F516)</f>
        <v>177.69740000000004</v>
      </c>
      <c r="G469" s="1406">
        <f>SUM(G470,G485,G494,G505,G508,G516)</f>
        <v>160.39200000000002</v>
      </c>
    </row>
    <row r="470" spans="1:7">
      <c r="A470" s="1736" t="s">
        <v>13</v>
      </c>
      <c r="B470" s="1737" t="s">
        <v>3309</v>
      </c>
      <c r="C470" s="1738">
        <f>C471+C484</f>
        <v>106</v>
      </c>
      <c r="D470" s="1739"/>
      <c r="E470" s="1740">
        <f>E471+E484</f>
        <v>103.2492</v>
      </c>
      <c r="F470" s="1740">
        <f>F471+F484</f>
        <v>110.6772</v>
      </c>
      <c r="G470" s="1741">
        <f>(F470-E470)*12</f>
        <v>89.135999999999967</v>
      </c>
    </row>
    <row r="471" spans="1:7">
      <c r="A471" s="1736">
        <v>1</v>
      </c>
      <c r="B471" s="1742" t="s">
        <v>3422</v>
      </c>
      <c r="C471" s="1743">
        <f>C472+C475</f>
        <v>40</v>
      </c>
      <c r="D471" s="1739"/>
      <c r="E471" s="1744">
        <f>E472+E475</f>
        <v>57.379199999999997</v>
      </c>
      <c r="F471" s="1744">
        <f>F472+F475</f>
        <v>61.507199999999997</v>
      </c>
      <c r="G471" s="1744">
        <f>G472+G475</f>
        <v>49.536000000000044</v>
      </c>
    </row>
    <row r="472" spans="1:7">
      <c r="A472" s="1736"/>
      <c r="B472" s="1745" t="s">
        <v>3310</v>
      </c>
      <c r="C472" s="1743">
        <f>C473+C474</f>
        <v>20</v>
      </c>
      <c r="D472" s="1746"/>
      <c r="E472" s="1744">
        <f t="shared" ref="E472:F472" si="166">E473+E474</f>
        <v>27.799999999999997</v>
      </c>
      <c r="F472" s="1744">
        <f t="shared" si="166"/>
        <v>29.8</v>
      </c>
      <c r="G472" s="1747">
        <f t="shared" ref="G472:G475" si="167">(F472-E472)*12</f>
        <v>24.000000000000043</v>
      </c>
    </row>
    <row r="473" spans="1:7">
      <c r="A473" s="1748"/>
      <c r="B473" s="1749" t="s">
        <v>3311</v>
      </c>
      <c r="C473" s="1750">
        <v>10</v>
      </c>
      <c r="D473" s="1751">
        <v>1</v>
      </c>
      <c r="E473" s="1752">
        <f>C473*D473*1.39</f>
        <v>13.899999999999999</v>
      </c>
      <c r="F473" s="1747">
        <f>C473*D473*1.49</f>
        <v>14.9</v>
      </c>
      <c r="G473" s="1747">
        <f t="shared" si="167"/>
        <v>12.000000000000021</v>
      </c>
    </row>
    <row r="474" spans="1:7">
      <c r="A474" s="1748"/>
      <c r="B474" s="1749" t="s">
        <v>3312</v>
      </c>
      <c r="C474" s="1750">
        <v>10</v>
      </c>
      <c r="D474" s="1751">
        <v>1</v>
      </c>
      <c r="E474" s="1752">
        <f>C474*D474*1.39</f>
        <v>13.899999999999999</v>
      </c>
      <c r="F474" s="1747">
        <f>C474*D474*1.49</f>
        <v>14.9</v>
      </c>
      <c r="G474" s="1747">
        <f t="shared" si="167"/>
        <v>12.000000000000021</v>
      </c>
    </row>
    <row r="475" spans="1:7">
      <c r="A475" s="1736"/>
      <c r="B475" s="1745" t="s">
        <v>3423</v>
      </c>
      <c r="C475" s="1743">
        <f>C476+C480</f>
        <v>20</v>
      </c>
      <c r="D475" s="1746">
        <f>D476+D480</f>
        <v>0</v>
      </c>
      <c r="E475" s="1744">
        <f t="shared" ref="E475:F475" si="168">E476+E480</f>
        <v>29.5792</v>
      </c>
      <c r="F475" s="1744">
        <f t="shared" si="168"/>
        <v>31.7072</v>
      </c>
      <c r="G475" s="1747">
        <f t="shared" si="167"/>
        <v>25.536000000000001</v>
      </c>
    </row>
    <row r="476" spans="1:7">
      <c r="A476" s="1748"/>
      <c r="B476" s="1749" t="s">
        <v>3311</v>
      </c>
      <c r="C476" s="1750">
        <f>SUM(C477:C479)</f>
        <v>10</v>
      </c>
      <c r="D476" s="1734"/>
      <c r="E476" s="1752">
        <f>SUM(E477:E479)</f>
        <v>16.957999999999998</v>
      </c>
      <c r="F476" s="1752">
        <f>SUM(F477:F479)</f>
        <v>18.178000000000001</v>
      </c>
      <c r="G476" s="1752">
        <f>SUM(G477:G479)</f>
        <v>14.640000000000029</v>
      </c>
    </row>
    <row r="477" spans="1:7">
      <c r="A477" s="1748"/>
      <c r="B477" s="1342" t="s">
        <v>129</v>
      </c>
      <c r="C477" s="1750">
        <v>5</v>
      </c>
      <c r="D477" s="1734">
        <v>1.34</v>
      </c>
      <c r="E477" s="1752">
        <f>C477*D477*1.39</f>
        <v>9.3129999999999988</v>
      </c>
      <c r="F477" s="1747">
        <f>C477*D477*1.49</f>
        <v>9.9830000000000005</v>
      </c>
      <c r="G477" s="1747">
        <f t="shared" ref="G477:G479" si="169">(F477-E477)*12</f>
        <v>8.0400000000000205</v>
      </c>
    </row>
    <row r="478" spans="1:7">
      <c r="A478" s="1748"/>
      <c r="B478" s="1342" t="s">
        <v>1312</v>
      </c>
      <c r="C478" s="1750">
        <v>5</v>
      </c>
      <c r="D478" s="1734">
        <v>1.1000000000000001</v>
      </c>
      <c r="E478" s="1752">
        <f>C478*D478*1.39</f>
        <v>7.6449999999999996</v>
      </c>
      <c r="F478" s="1747">
        <f>C478*D478*1.49</f>
        <v>8.1950000000000003</v>
      </c>
      <c r="G478" s="1747">
        <f t="shared" si="169"/>
        <v>6.6000000000000085</v>
      </c>
    </row>
    <row r="479" spans="1:7">
      <c r="A479" s="1748"/>
      <c r="B479" s="1342" t="s">
        <v>3435</v>
      </c>
      <c r="C479" s="1750"/>
      <c r="D479" s="1734">
        <v>0.86</v>
      </c>
      <c r="E479" s="1752">
        <f>C479*D479*1.39</f>
        <v>0</v>
      </c>
      <c r="F479" s="1747">
        <f>C479*D479*1.49</f>
        <v>0</v>
      </c>
      <c r="G479" s="1747">
        <f t="shared" si="169"/>
        <v>0</v>
      </c>
    </row>
    <row r="480" spans="1:7">
      <c r="A480" s="1748"/>
      <c r="B480" s="1749" t="s">
        <v>3312</v>
      </c>
      <c r="C480" s="1750">
        <f>SUM(C481:C483)</f>
        <v>10</v>
      </c>
      <c r="D480" s="1734"/>
      <c r="E480" s="1752">
        <f>SUM(E481:E483)</f>
        <v>12.6212</v>
      </c>
      <c r="F480" s="1752">
        <f>SUM(F481:F483)</f>
        <v>13.529200000000001</v>
      </c>
      <c r="G480" s="1752">
        <f>SUM(G481:G483)</f>
        <v>10.896000000000011</v>
      </c>
    </row>
    <row r="481" spans="1:7">
      <c r="A481" s="1748"/>
      <c r="B481" s="1342" t="s">
        <v>129</v>
      </c>
      <c r="C481" s="1750">
        <v>1</v>
      </c>
      <c r="D481" s="1734">
        <v>1.34</v>
      </c>
      <c r="E481" s="1752">
        <f>C481*D481*1.39</f>
        <v>1.8626</v>
      </c>
      <c r="F481" s="1747">
        <f>C481*D481*1.49</f>
        <v>1.9966000000000002</v>
      </c>
      <c r="G481" s="1747">
        <f t="shared" ref="G481:G484" si="170">(F481-E481)*12</f>
        <v>1.6080000000000014</v>
      </c>
    </row>
    <row r="482" spans="1:7">
      <c r="A482" s="1748"/>
      <c r="B482" s="1342" t="s">
        <v>1312</v>
      </c>
      <c r="C482" s="1750"/>
      <c r="D482" s="1734">
        <v>1.1000000000000001</v>
      </c>
      <c r="E482" s="1752">
        <f>C482*D482*1.39</f>
        <v>0</v>
      </c>
      <c r="F482" s="1747">
        <f>C482*D482*1.49</f>
        <v>0</v>
      </c>
      <c r="G482" s="1747">
        <f t="shared" si="170"/>
        <v>0</v>
      </c>
    </row>
    <row r="483" spans="1:7">
      <c r="A483" s="1748"/>
      <c r="B483" s="1342" t="s">
        <v>3435</v>
      </c>
      <c r="C483" s="1750">
        <v>9</v>
      </c>
      <c r="D483" s="1734">
        <v>0.86</v>
      </c>
      <c r="E483" s="1752">
        <f>C483*D483*1.39</f>
        <v>10.758599999999999</v>
      </c>
      <c r="F483" s="1747">
        <f>C483*D483*1.49</f>
        <v>11.5326</v>
      </c>
      <c r="G483" s="1747">
        <f t="shared" si="170"/>
        <v>9.2880000000000109</v>
      </c>
    </row>
    <row r="484" spans="1:7">
      <c r="A484" s="1736">
        <v>2</v>
      </c>
      <c r="B484" s="1743" t="s">
        <v>3313</v>
      </c>
      <c r="C484" s="1743">
        <v>66</v>
      </c>
      <c r="D484" s="1739">
        <v>0.5</v>
      </c>
      <c r="E484" s="1744">
        <f>C484*D484*1.39</f>
        <v>45.87</v>
      </c>
      <c r="F484" s="1741">
        <f>C484*D484*1.49</f>
        <v>49.17</v>
      </c>
      <c r="G484" s="1741">
        <f t="shared" si="170"/>
        <v>39.600000000000051</v>
      </c>
    </row>
    <row r="485" spans="1:7">
      <c r="A485" s="1736" t="s">
        <v>65</v>
      </c>
      <c r="B485" s="1737" t="s">
        <v>3314</v>
      </c>
      <c r="C485" s="1743">
        <f>SUM(C486:C493)</f>
        <v>171</v>
      </c>
      <c r="D485" s="1739"/>
      <c r="E485" s="1741">
        <f t="shared" ref="E485:F485" si="171">SUM(E486:E493)</f>
        <v>35.973199999999999</v>
      </c>
      <c r="F485" s="1741">
        <f t="shared" si="171"/>
        <v>38.561199999999999</v>
      </c>
      <c r="G485" s="1741">
        <f>SUM(G486:G493)</f>
        <v>31.056000000000033</v>
      </c>
    </row>
    <row r="486" spans="1:7">
      <c r="A486" s="1748">
        <v>1</v>
      </c>
      <c r="B486" s="1750" t="s">
        <v>3315</v>
      </c>
      <c r="C486" s="1764">
        <f>1+1+1+1+1+1+1+1+1+1</f>
        <v>10</v>
      </c>
      <c r="D486" s="1754">
        <v>0.24</v>
      </c>
      <c r="E486" s="1752">
        <f>C486*D486*1.39</f>
        <v>3.3359999999999999</v>
      </c>
      <c r="F486" s="1747">
        <f t="shared" ref="F486:F493" si="172">C486*D486*1.49</f>
        <v>3.5760000000000001</v>
      </c>
      <c r="G486" s="1747">
        <f t="shared" ref="G486:G493" si="173">(F486-E486)*12</f>
        <v>2.8800000000000026</v>
      </c>
    </row>
    <row r="487" spans="1:7">
      <c r="A487" s="1748">
        <v>2</v>
      </c>
      <c r="B487" s="1750" t="s">
        <v>3316</v>
      </c>
      <c r="C487" s="1764">
        <f>1+1+1+1+1+1+1+1+1+1</f>
        <v>10</v>
      </c>
      <c r="D487" s="1754">
        <v>0.24</v>
      </c>
      <c r="E487" s="1752">
        <f t="shared" ref="E487:E493" si="174">C487*D487*1.39</f>
        <v>3.3359999999999999</v>
      </c>
      <c r="F487" s="1747">
        <f t="shared" si="172"/>
        <v>3.5760000000000001</v>
      </c>
      <c r="G487" s="1747">
        <f t="shared" si="173"/>
        <v>2.8800000000000026</v>
      </c>
    </row>
    <row r="488" spans="1:7">
      <c r="A488" s="1748">
        <v>3</v>
      </c>
      <c r="B488" s="1750" t="s">
        <v>3317</v>
      </c>
      <c r="C488" s="1764">
        <f>1+1+1+1+1+1+1+1+1+1</f>
        <v>10</v>
      </c>
      <c r="D488" s="1754">
        <v>0.22</v>
      </c>
      <c r="E488" s="1752">
        <f t="shared" si="174"/>
        <v>3.0579999999999998</v>
      </c>
      <c r="F488" s="1747">
        <f t="shared" si="172"/>
        <v>3.278</v>
      </c>
      <c r="G488" s="1747">
        <f t="shared" si="173"/>
        <v>2.6400000000000023</v>
      </c>
    </row>
    <row r="489" spans="1:7">
      <c r="A489" s="1748">
        <v>4</v>
      </c>
      <c r="B489" s="1750" t="s">
        <v>3318</v>
      </c>
      <c r="C489" s="1764">
        <f>2+2+2+2+2+2+2+2+2+2</f>
        <v>20</v>
      </c>
      <c r="D489" s="1754">
        <v>0.22</v>
      </c>
      <c r="E489" s="1752">
        <f t="shared" si="174"/>
        <v>6.1159999999999997</v>
      </c>
      <c r="F489" s="1747">
        <f t="shared" si="172"/>
        <v>6.556</v>
      </c>
      <c r="G489" s="1747">
        <f t="shared" si="173"/>
        <v>5.2800000000000047</v>
      </c>
    </row>
    <row r="490" spans="1:7">
      <c r="A490" s="1748">
        <v>5</v>
      </c>
      <c r="B490" s="1750" t="s">
        <v>3319</v>
      </c>
      <c r="C490" s="1764">
        <f>(3+2)+(3+0)+(3+0)+(3+0)+(2+5)+(3+0)+(3+2)+(3+0)+(3+2)+(5+0)</f>
        <v>42</v>
      </c>
      <c r="D490" s="1754">
        <v>0.1</v>
      </c>
      <c r="E490" s="1752">
        <f t="shared" si="174"/>
        <v>5.8380000000000001</v>
      </c>
      <c r="F490" s="1747">
        <f t="shared" si="172"/>
        <v>6.258</v>
      </c>
      <c r="G490" s="1747">
        <f t="shared" si="173"/>
        <v>5.0399999999999991</v>
      </c>
    </row>
    <row r="491" spans="1:7">
      <c r="A491" s="1748">
        <v>6</v>
      </c>
      <c r="B491" s="1750" t="s">
        <v>3320</v>
      </c>
      <c r="C491" s="1764">
        <f>1+1+1+1+1+1+1+1+1+1</f>
        <v>10</v>
      </c>
      <c r="D491" s="1754">
        <v>0.2</v>
      </c>
      <c r="E491" s="1752">
        <f t="shared" si="174"/>
        <v>2.78</v>
      </c>
      <c r="F491" s="1747">
        <f t="shared" si="172"/>
        <v>2.98</v>
      </c>
      <c r="G491" s="1747">
        <f t="shared" si="173"/>
        <v>2.4000000000000021</v>
      </c>
    </row>
    <row r="492" spans="1:7">
      <c r="A492" s="1748">
        <v>7</v>
      </c>
      <c r="B492" s="1750" t="s">
        <v>3321</v>
      </c>
      <c r="C492" s="1764">
        <f>1+0+0+0+2+0+1+0+1+2</f>
        <v>7</v>
      </c>
      <c r="D492" s="1754">
        <v>0.12</v>
      </c>
      <c r="E492" s="1752">
        <f t="shared" si="174"/>
        <v>1.1676</v>
      </c>
      <c r="F492" s="1747">
        <f t="shared" si="172"/>
        <v>1.2516</v>
      </c>
      <c r="G492" s="1747">
        <f t="shared" si="173"/>
        <v>1.0080000000000009</v>
      </c>
    </row>
    <row r="493" spans="1:7">
      <c r="A493" s="1748">
        <v>8</v>
      </c>
      <c r="B493" s="1750" t="s">
        <v>3425</v>
      </c>
      <c r="C493" s="1764">
        <f>4+3+3+5+4+6+10+7+8+12</f>
        <v>62</v>
      </c>
      <c r="D493" s="1754">
        <v>0.12</v>
      </c>
      <c r="E493" s="1752">
        <f t="shared" si="174"/>
        <v>10.341599999999998</v>
      </c>
      <c r="F493" s="1747">
        <f t="shared" si="172"/>
        <v>11.085599999999999</v>
      </c>
      <c r="G493" s="1747">
        <f t="shared" si="173"/>
        <v>8.9280000000000186</v>
      </c>
    </row>
    <row r="494" spans="1:7">
      <c r="A494" s="1736" t="s">
        <v>14</v>
      </c>
      <c r="B494" s="1737" t="s">
        <v>3322</v>
      </c>
      <c r="C494" s="1743">
        <f>SUM(C495:C504)</f>
        <v>15</v>
      </c>
      <c r="D494" s="1755"/>
      <c r="E494" s="1741">
        <f t="shared" ref="E494:F494" si="175">SUM(E495:E504)</f>
        <v>1.946</v>
      </c>
      <c r="F494" s="1741">
        <f t="shared" si="175"/>
        <v>2.0860000000000003</v>
      </c>
      <c r="G494" s="1741">
        <f>SUM(G495:G504)</f>
        <v>1.6800000000000015</v>
      </c>
    </row>
    <row r="495" spans="1:7">
      <c r="A495" s="1748"/>
      <c r="B495" s="1749" t="s">
        <v>3323</v>
      </c>
      <c r="C495" s="1750"/>
      <c r="D495" s="1756">
        <v>0.05</v>
      </c>
      <c r="E495" s="1752">
        <f t="shared" ref="E495:E507" si="176">C495*D495*1.39</f>
        <v>0</v>
      </c>
      <c r="F495" s="1747">
        <f t="shared" ref="F495:F504" si="177">C495*D495*1.49</f>
        <v>0</v>
      </c>
      <c r="G495" s="1747">
        <f t="shared" ref="G495:G507" si="178">(F495-E495)*12</f>
        <v>0</v>
      </c>
    </row>
    <row r="496" spans="1:7">
      <c r="A496" s="1748"/>
      <c r="B496" s="1749" t="s">
        <v>3324</v>
      </c>
      <c r="C496" s="1750">
        <v>1</v>
      </c>
      <c r="D496" s="1756">
        <v>0.06</v>
      </c>
      <c r="E496" s="1752">
        <f t="shared" si="176"/>
        <v>8.3399999999999988E-2</v>
      </c>
      <c r="F496" s="1747">
        <f t="shared" si="177"/>
        <v>8.9399999999999993E-2</v>
      </c>
      <c r="G496" s="1747">
        <f t="shared" si="178"/>
        <v>7.2000000000000064E-2</v>
      </c>
    </row>
    <row r="497" spans="1:7">
      <c r="A497" s="1748"/>
      <c r="B497" s="1749" t="s">
        <v>3325</v>
      </c>
      <c r="C497" s="1750">
        <v>7</v>
      </c>
      <c r="D497" s="1756">
        <v>7.0000000000000007E-2</v>
      </c>
      <c r="E497" s="1752">
        <f t="shared" si="176"/>
        <v>0.68110000000000004</v>
      </c>
      <c r="F497" s="1747">
        <f t="shared" si="177"/>
        <v>0.73010000000000008</v>
      </c>
      <c r="G497" s="1747">
        <f t="shared" si="178"/>
        <v>0.58800000000000052</v>
      </c>
    </row>
    <row r="498" spans="1:7">
      <c r="A498" s="1748"/>
      <c r="B498" s="1749" t="s">
        <v>3326</v>
      </c>
      <c r="C498" s="1750"/>
      <c r="D498" s="1756">
        <v>0.08</v>
      </c>
      <c r="E498" s="1752">
        <f t="shared" si="176"/>
        <v>0</v>
      </c>
      <c r="F498" s="1747">
        <f t="shared" si="177"/>
        <v>0</v>
      </c>
      <c r="G498" s="1747">
        <f t="shared" si="178"/>
        <v>0</v>
      </c>
    </row>
    <row r="499" spans="1:7">
      <c r="A499" s="1748"/>
      <c r="B499" s="1749" t="s">
        <v>3327</v>
      </c>
      <c r="C499" s="1750">
        <v>1</v>
      </c>
      <c r="D499" s="1756">
        <v>0.09</v>
      </c>
      <c r="E499" s="1752">
        <f t="shared" si="176"/>
        <v>0.12509999999999999</v>
      </c>
      <c r="F499" s="1747">
        <f t="shared" si="177"/>
        <v>0.1341</v>
      </c>
      <c r="G499" s="1747">
        <f t="shared" si="178"/>
        <v>0.1080000000000001</v>
      </c>
    </row>
    <row r="500" spans="1:7">
      <c r="A500" s="1748"/>
      <c r="B500" s="1749" t="s">
        <v>3328</v>
      </c>
      <c r="C500" s="1750"/>
      <c r="D500" s="1756">
        <v>0.1</v>
      </c>
      <c r="E500" s="1752">
        <f t="shared" si="176"/>
        <v>0</v>
      </c>
      <c r="F500" s="1747">
        <f t="shared" si="177"/>
        <v>0</v>
      </c>
      <c r="G500" s="1747">
        <f t="shared" si="178"/>
        <v>0</v>
      </c>
    </row>
    <row r="501" spans="1:7">
      <c r="A501" s="1748"/>
      <c r="B501" s="1749" t="s">
        <v>3329</v>
      </c>
      <c r="C501" s="1750"/>
      <c r="D501" s="1756">
        <v>0.11</v>
      </c>
      <c r="E501" s="1752">
        <f t="shared" si="176"/>
        <v>0</v>
      </c>
      <c r="F501" s="1747">
        <f t="shared" si="177"/>
        <v>0</v>
      </c>
      <c r="G501" s="1747">
        <f t="shared" si="178"/>
        <v>0</v>
      </c>
    </row>
    <row r="502" spans="1:7">
      <c r="A502" s="1748"/>
      <c r="B502" s="1749" t="s">
        <v>3330</v>
      </c>
      <c r="C502" s="1750">
        <v>4</v>
      </c>
      <c r="D502" s="1756">
        <v>0.12</v>
      </c>
      <c r="E502" s="1752">
        <f t="shared" si="176"/>
        <v>0.6671999999999999</v>
      </c>
      <c r="F502" s="1747">
        <f t="shared" si="177"/>
        <v>0.71519999999999995</v>
      </c>
      <c r="G502" s="1747">
        <f t="shared" si="178"/>
        <v>0.57600000000000051</v>
      </c>
    </row>
    <row r="503" spans="1:7">
      <c r="A503" s="1748"/>
      <c r="B503" s="1749" t="s">
        <v>3331</v>
      </c>
      <c r="C503" s="1750"/>
      <c r="D503" s="1756">
        <v>0.13</v>
      </c>
      <c r="E503" s="1752">
        <f t="shared" si="176"/>
        <v>0</v>
      </c>
      <c r="F503" s="1747">
        <f t="shared" si="177"/>
        <v>0</v>
      </c>
      <c r="G503" s="1747">
        <f t="shared" si="178"/>
        <v>0</v>
      </c>
    </row>
    <row r="504" spans="1:7">
      <c r="A504" s="1748"/>
      <c r="B504" s="1749" t="s">
        <v>3332</v>
      </c>
      <c r="C504" s="1750">
        <v>2</v>
      </c>
      <c r="D504" s="1756">
        <v>0.14000000000000001</v>
      </c>
      <c r="E504" s="1752">
        <f t="shared" si="176"/>
        <v>0.38919999999999999</v>
      </c>
      <c r="F504" s="1747">
        <f t="shared" si="177"/>
        <v>0.41720000000000002</v>
      </c>
      <c r="G504" s="1747">
        <f t="shared" si="178"/>
        <v>0.3360000000000003</v>
      </c>
    </row>
    <row r="505" spans="1:7" ht="28.5">
      <c r="A505" s="1736" t="s">
        <v>18</v>
      </c>
      <c r="B505" s="1757" t="s">
        <v>3424</v>
      </c>
      <c r="C505" s="1743">
        <f>C506+C507</f>
        <v>30</v>
      </c>
      <c r="D505" s="1743">
        <f>D506+D507</f>
        <v>0.71</v>
      </c>
      <c r="E505" s="1743">
        <f>E506+E507</f>
        <v>18.347999999999999</v>
      </c>
      <c r="F505" s="1743">
        <f>F506+F507</f>
        <v>19.667999999999996</v>
      </c>
      <c r="G505" s="1744">
        <f>G506+G507</f>
        <v>15.839999999999987</v>
      </c>
    </row>
    <row r="506" spans="1:7">
      <c r="A506" s="1748">
        <v>1</v>
      </c>
      <c r="B506" s="1750" t="s">
        <v>3333</v>
      </c>
      <c r="C506" s="1750">
        <v>20</v>
      </c>
      <c r="D506" s="1765">
        <f>(1+0.22)*50%</f>
        <v>0.61</v>
      </c>
      <c r="E506" s="1752">
        <f t="shared" si="176"/>
        <v>16.957999999999998</v>
      </c>
      <c r="F506" s="1747">
        <f t="shared" ref="F506:F507" si="179">C506*D506*1.49</f>
        <v>18.177999999999997</v>
      </c>
      <c r="G506" s="1747">
        <f t="shared" si="178"/>
        <v>14.639999999999986</v>
      </c>
    </row>
    <row r="507" spans="1:7">
      <c r="A507" s="1748">
        <v>2</v>
      </c>
      <c r="B507" s="1750" t="s">
        <v>3334</v>
      </c>
      <c r="C507" s="1750">
        <v>10</v>
      </c>
      <c r="D507" s="1765">
        <f>0.2*50%</f>
        <v>0.1</v>
      </c>
      <c r="E507" s="1752">
        <f t="shared" si="176"/>
        <v>1.39</v>
      </c>
      <c r="F507" s="1747">
        <f t="shared" si="179"/>
        <v>1.49</v>
      </c>
      <c r="G507" s="1747">
        <f t="shared" si="178"/>
        <v>1.2000000000000011</v>
      </c>
    </row>
    <row r="508" spans="1:7" ht="28.5">
      <c r="A508" s="1736" t="s">
        <v>867</v>
      </c>
      <c r="B508" s="1735" t="s">
        <v>3426</v>
      </c>
      <c r="C508" s="1743"/>
      <c r="D508" s="1738"/>
      <c r="E508" s="1744"/>
      <c r="F508" s="1747"/>
      <c r="G508" s="1741">
        <f>G509+G510+G513</f>
        <v>17.280000000000015</v>
      </c>
    </row>
    <row r="509" spans="1:7">
      <c r="A509" s="1736">
        <v>1</v>
      </c>
      <c r="B509" s="1737" t="s">
        <v>3428</v>
      </c>
      <c r="C509" s="1743">
        <v>30</v>
      </c>
      <c r="D509" s="1744">
        <v>4.2999999999999997E-2</v>
      </c>
      <c r="E509" s="1744">
        <f>C509*D509</f>
        <v>1.2899999999999998</v>
      </c>
      <c r="F509" s="1744">
        <f>E509</f>
        <v>1.2899999999999998</v>
      </c>
      <c r="G509" s="1747">
        <f t="shared" ref="G509" si="180">(F509-E509)*12</f>
        <v>0</v>
      </c>
    </row>
    <row r="510" spans="1:7">
      <c r="A510" s="1736">
        <v>2</v>
      </c>
      <c r="B510" s="1348" t="s">
        <v>3335</v>
      </c>
      <c r="C510" s="1743">
        <v>220</v>
      </c>
      <c r="D510" s="1746"/>
      <c r="E510" s="1744"/>
      <c r="F510" s="1747"/>
      <c r="G510" s="1741">
        <f>G511+G512</f>
        <v>8.6400000000000077</v>
      </c>
    </row>
    <row r="511" spans="1:7">
      <c r="A511" s="1748"/>
      <c r="B511" s="1349" t="s">
        <v>3336</v>
      </c>
      <c r="C511" s="1750">
        <v>90</v>
      </c>
      <c r="D511" s="1754">
        <v>0.03</v>
      </c>
      <c r="E511" s="1752">
        <f>C511*D511</f>
        <v>2.6999999999999997</v>
      </c>
      <c r="F511" s="1747">
        <f>E511</f>
        <v>2.6999999999999997</v>
      </c>
      <c r="G511" s="1747">
        <f t="shared" ref="G511:G512" si="181">(F511-E511)*12</f>
        <v>0</v>
      </c>
    </row>
    <row r="512" spans="1:7">
      <c r="A512" s="1748"/>
      <c r="B512" s="1349" t="s">
        <v>3337</v>
      </c>
      <c r="C512" s="1750">
        <v>90</v>
      </c>
      <c r="D512" s="1759">
        <v>0.08</v>
      </c>
      <c r="E512" s="1752">
        <f>C512*D512*1.39</f>
        <v>10.007999999999999</v>
      </c>
      <c r="F512" s="1747">
        <f>C512*D512*1.49</f>
        <v>10.728</v>
      </c>
      <c r="G512" s="1747">
        <f t="shared" si="181"/>
        <v>8.6400000000000077</v>
      </c>
    </row>
    <row r="513" spans="1:7">
      <c r="A513" s="1736">
        <v>3</v>
      </c>
      <c r="B513" s="1737" t="s">
        <v>3338</v>
      </c>
      <c r="C513" s="1743"/>
      <c r="D513" s="1738"/>
      <c r="E513" s="1744"/>
      <c r="F513" s="1747"/>
      <c r="G513" s="1741">
        <f>G514+G515</f>
        <v>8.6400000000000077</v>
      </c>
    </row>
    <row r="514" spans="1:7">
      <c r="A514" s="1748"/>
      <c r="B514" s="1349" t="s">
        <v>3336</v>
      </c>
      <c r="C514" s="1750">
        <v>90</v>
      </c>
      <c r="D514" s="1754">
        <v>0.03</v>
      </c>
      <c r="E514" s="1752">
        <f>C514*D514</f>
        <v>2.6999999999999997</v>
      </c>
      <c r="F514" s="1747">
        <f>E514</f>
        <v>2.6999999999999997</v>
      </c>
      <c r="G514" s="1747">
        <f t="shared" ref="G514:G515" si="182">(F514-E514)*12</f>
        <v>0</v>
      </c>
    </row>
    <row r="515" spans="1:7">
      <c r="A515" s="1748"/>
      <c r="B515" s="1349" t="s">
        <v>3337</v>
      </c>
      <c r="C515" s="1750">
        <v>90</v>
      </c>
      <c r="D515" s="1759">
        <v>0.08</v>
      </c>
      <c r="E515" s="1752">
        <f>C515*D515*1.39</f>
        <v>10.007999999999999</v>
      </c>
      <c r="F515" s="1747">
        <f>C515*D515*1.49</f>
        <v>10.728</v>
      </c>
      <c r="G515" s="1747">
        <f t="shared" si="182"/>
        <v>8.6400000000000077</v>
      </c>
    </row>
    <row r="516" spans="1:7">
      <c r="A516" s="1736" t="s">
        <v>933</v>
      </c>
      <c r="B516" s="1743" t="s">
        <v>3427</v>
      </c>
      <c r="C516" s="1743">
        <f>C517</f>
        <v>20</v>
      </c>
      <c r="D516" s="1760">
        <f>D517</f>
        <v>0.22500000000000001</v>
      </c>
      <c r="E516" s="1761">
        <f t="shared" ref="E516:G516" si="183">E517</f>
        <v>6.2549999999999999</v>
      </c>
      <c r="F516" s="1761">
        <f t="shared" si="183"/>
        <v>6.7050000000000001</v>
      </c>
      <c r="G516" s="1761">
        <f t="shared" si="183"/>
        <v>5.4000000000000021</v>
      </c>
    </row>
    <row r="517" spans="1:7">
      <c r="A517" s="1748">
        <v>1</v>
      </c>
      <c r="B517" s="1750" t="s">
        <v>3333</v>
      </c>
      <c r="C517" s="1750">
        <v>20</v>
      </c>
      <c r="D517" s="1762">
        <v>0.22500000000000001</v>
      </c>
      <c r="E517" s="1763">
        <f>C517*D517*1.39</f>
        <v>6.2549999999999999</v>
      </c>
      <c r="F517" s="1747">
        <f>C517*D517*1.49</f>
        <v>6.7050000000000001</v>
      </c>
      <c r="G517" s="1747">
        <f t="shared" ref="G517" si="184">(F517-E517)*12</f>
        <v>5.4000000000000021</v>
      </c>
    </row>
    <row r="518" spans="1:7">
      <c r="A518" s="1748">
        <v>2</v>
      </c>
      <c r="B518" s="1750" t="s">
        <v>3333</v>
      </c>
      <c r="C518" s="1750"/>
      <c r="D518" s="1762"/>
      <c r="E518" s="1763"/>
      <c r="F518" s="1747"/>
      <c r="G518" s="1747"/>
    </row>
    <row r="519" spans="1:7">
      <c r="A519" s="1266">
        <v>3</v>
      </c>
      <c r="B519" s="1267" t="s">
        <v>3425</v>
      </c>
      <c r="C519" s="1267">
        <v>62</v>
      </c>
      <c r="D519" s="1766">
        <v>4.4999999999999998E-2</v>
      </c>
      <c r="E519" s="1763">
        <f>C519*D519*1.39</f>
        <v>3.8780999999999999</v>
      </c>
      <c r="F519" s="1747">
        <f>C519*D519*1.49</f>
        <v>4.1570999999999998</v>
      </c>
      <c r="G519" s="1747">
        <f t="shared" ref="G519" si="185">(F519-E519)*12</f>
        <v>3.347999999999999</v>
      </c>
    </row>
  </sheetData>
  <mergeCells count="4">
    <mergeCell ref="A3:G3"/>
    <mergeCell ref="A4:G4"/>
    <mergeCell ref="A1:B1"/>
    <mergeCell ref="A2:B2"/>
  </mergeCells>
  <pageMargins left="0.2" right="0.19" top="0.34" bottom="0.34" header="0.3" footer="0.3"/>
  <pageSetup paperSize="9" scale="6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4FB16-DF1A-4DF1-817D-63EE2318450D}">
  <sheetPr>
    <pageSetUpPr fitToPage="1"/>
  </sheetPr>
  <dimension ref="A1:X123"/>
  <sheetViews>
    <sheetView zoomScaleNormal="100" workbookViewId="0">
      <pane xSplit="2" ySplit="6" topLeftCell="M112" activePane="bottomRight" state="frozen"/>
      <selection activeCell="C18" sqref="C18"/>
      <selection pane="topRight" activeCell="C18" sqref="C18"/>
      <selection pane="bottomLeft" activeCell="C18" sqref="C18"/>
      <selection pane="bottomRight" activeCell="C18" sqref="C18"/>
    </sheetView>
  </sheetViews>
  <sheetFormatPr defaultRowHeight="15"/>
  <cols>
    <col min="1" max="1" width="6.85546875" style="1303" customWidth="1"/>
    <col min="2" max="2" width="32.42578125" style="1257" customWidth="1"/>
    <col min="3" max="3" width="9.85546875" style="1257" customWidth="1"/>
    <col min="4" max="4" width="7" style="1257" customWidth="1"/>
    <col min="5" max="5" width="7.28515625" style="1257" customWidth="1"/>
    <col min="6" max="6" width="7.7109375" style="1257" customWidth="1"/>
    <col min="7" max="7" width="9.85546875" style="1257" customWidth="1"/>
    <col min="8" max="8" width="8.28515625" style="1257" customWidth="1"/>
    <col min="9" max="9" width="8.5703125" style="1257" customWidth="1"/>
    <col min="10" max="10" width="7.42578125" style="1257" customWidth="1"/>
    <col min="11" max="11" width="7.85546875" style="1257" customWidth="1"/>
    <col min="12" max="12" width="6.5703125" style="1257" customWidth="1"/>
    <col min="13" max="13" width="10.28515625" style="1257" customWidth="1"/>
    <col min="14" max="14" width="8.140625" style="1257" customWidth="1"/>
    <col min="15" max="16" width="7.140625" style="1257" customWidth="1"/>
    <col min="17" max="17" width="14.7109375" style="1257" customWidth="1"/>
    <col min="18" max="18" width="13.28515625" style="1257" customWidth="1"/>
    <col min="19" max="19" width="17" style="1298" customWidth="1"/>
    <col min="20" max="20" width="14.85546875" style="1298" customWidth="1"/>
    <col min="21" max="21" width="15.7109375" style="1298" customWidth="1"/>
    <col min="22" max="22" width="14" style="1298" customWidth="1"/>
    <col min="23" max="23" width="15.28515625" style="1298" customWidth="1"/>
    <col min="24" max="24" width="13.140625" style="1257" customWidth="1"/>
    <col min="25" max="25" width="12.28515625" style="1257" customWidth="1"/>
    <col min="26" max="16384" width="9.140625" style="1257"/>
  </cols>
  <sheetData>
    <row r="1" spans="1:24" s="597" customFormat="1" ht="15" customHeight="1">
      <c r="A1" s="1853" t="s">
        <v>3386</v>
      </c>
      <c r="B1" s="1853"/>
      <c r="C1" s="1853"/>
      <c r="D1" s="1853"/>
      <c r="E1" s="1853"/>
      <c r="F1" s="1853"/>
      <c r="G1" s="1853"/>
      <c r="H1" s="1853"/>
      <c r="I1" s="1853"/>
      <c r="J1" s="1853"/>
      <c r="K1" s="1853"/>
      <c r="L1" s="1853"/>
      <c r="M1" s="1853"/>
      <c r="N1" s="1853"/>
      <c r="O1" s="1853"/>
      <c r="P1" s="1853"/>
      <c r="Q1" s="1853"/>
      <c r="R1" s="597" t="s">
        <v>3431</v>
      </c>
      <c r="S1" s="1281"/>
      <c r="T1" s="1281"/>
      <c r="U1" s="1281"/>
      <c r="V1" s="1281"/>
      <c r="W1" s="1281"/>
    </row>
    <row r="2" spans="1:24" s="597" customFormat="1" ht="15" customHeight="1">
      <c r="A2" s="1258"/>
      <c r="B2" s="1258"/>
      <c r="C2" s="1258"/>
      <c r="D2" s="1258"/>
      <c r="E2" s="1258"/>
      <c r="F2" s="1258"/>
      <c r="G2" s="1258"/>
      <c r="H2" s="1258"/>
      <c r="I2" s="1258"/>
      <c r="J2" s="1258"/>
      <c r="K2" s="1258"/>
      <c r="L2" s="1258"/>
      <c r="M2" s="1258"/>
      <c r="N2" s="1258"/>
      <c r="O2" s="1258"/>
      <c r="P2" s="1258"/>
      <c r="Q2" s="1258"/>
      <c r="S2" s="1281"/>
      <c r="T2" s="1281"/>
      <c r="U2" s="1281"/>
      <c r="V2" s="1281"/>
      <c r="W2" s="1281"/>
    </row>
    <row r="3" spans="1:24" s="597" customFormat="1" ht="15" customHeight="1" thickBot="1">
      <c r="A3" s="1258"/>
      <c r="C3" s="1257"/>
      <c r="D3" s="1257"/>
      <c r="E3" s="1257"/>
      <c r="F3" s="1257"/>
      <c r="G3" s="1257"/>
      <c r="H3" s="1257"/>
      <c r="I3" s="1257"/>
      <c r="J3" s="1257"/>
      <c r="K3" s="1257"/>
      <c r="L3" s="1257"/>
      <c r="M3" s="1257"/>
      <c r="N3" s="1257"/>
      <c r="O3" s="1257"/>
      <c r="P3" s="1257"/>
      <c r="Q3" s="1257"/>
      <c r="S3" s="1281"/>
      <c r="T3" s="1281"/>
      <c r="U3" s="1281"/>
      <c r="V3" s="1281"/>
      <c r="W3" s="1281"/>
    </row>
    <row r="4" spans="1:24" ht="52.5" customHeight="1">
      <c r="A4" s="2006" t="s">
        <v>3</v>
      </c>
      <c r="B4" s="2008" t="s">
        <v>3387</v>
      </c>
      <c r="C4" s="2001" t="s">
        <v>3388</v>
      </c>
      <c r="D4" s="2009" t="s">
        <v>2512</v>
      </c>
      <c r="E4" s="2010"/>
      <c r="F4" s="2011"/>
      <c r="G4" s="2001" t="s">
        <v>3389</v>
      </c>
      <c r="H4" s="2001" t="s">
        <v>3390</v>
      </c>
      <c r="I4" s="2001" t="s">
        <v>3391</v>
      </c>
      <c r="J4" s="2009" t="s">
        <v>2512</v>
      </c>
      <c r="K4" s="2010"/>
      <c r="L4" s="2011"/>
      <c r="M4" s="2001" t="s">
        <v>3392</v>
      </c>
      <c r="N4" s="2001" t="s">
        <v>3393</v>
      </c>
      <c r="O4" s="2003" t="s">
        <v>3394</v>
      </c>
      <c r="P4" s="2004"/>
      <c r="Q4" s="2001" t="s">
        <v>3395</v>
      </c>
      <c r="R4" s="2005" t="s">
        <v>3396</v>
      </c>
      <c r="S4" s="2005"/>
      <c r="T4" s="2005"/>
      <c r="U4" s="2005"/>
      <c r="V4" s="2005"/>
      <c r="W4" s="2005"/>
    </row>
    <row r="5" spans="1:24" ht="100.5" customHeight="1">
      <c r="A5" s="2007"/>
      <c r="B5" s="2002"/>
      <c r="C5" s="2002"/>
      <c r="D5" s="1282" t="s">
        <v>3203</v>
      </c>
      <c r="E5" s="1282" t="s">
        <v>3204</v>
      </c>
      <c r="F5" s="1282" t="s">
        <v>3205</v>
      </c>
      <c r="G5" s="2002"/>
      <c r="H5" s="2002"/>
      <c r="I5" s="2002"/>
      <c r="J5" s="1282" t="s">
        <v>3203</v>
      </c>
      <c r="K5" s="1282" t="s">
        <v>3204</v>
      </c>
      <c r="L5" s="1282" t="s">
        <v>3205</v>
      </c>
      <c r="M5" s="2002"/>
      <c r="N5" s="2002"/>
      <c r="O5" s="1282" t="s">
        <v>3045</v>
      </c>
      <c r="P5" s="1283" t="s">
        <v>3046</v>
      </c>
      <c r="Q5" s="2002"/>
      <c r="R5" s="1284" t="s">
        <v>3397</v>
      </c>
      <c r="S5" s="1285" t="s">
        <v>2463</v>
      </c>
      <c r="T5" s="1286" t="s">
        <v>3471</v>
      </c>
      <c r="U5" s="1286" t="s">
        <v>3398</v>
      </c>
      <c r="V5" s="1286" t="s">
        <v>3399</v>
      </c>
      <c r="W5" s="1286" t="s">
        <v>3400</v>
      </c>
      <c r="X5" s="1717" t="s">
        <v>3451</v>
      </c>
    </row>
    <row r="6" spans="1:24">
      <c r="A6" s="1282">
        <v>1</v>
      </c>
      <c r="B6" s="1287">
        <f>+A6+1</f>
        <v>2</v>
      </c>
      <c r="C6" s="1287">
        <f t="shared" ref="C6:L6" si="0">+B6+1</f>
        <v>3</v>
      </c>
      <c r="D6" s="1287">
        <f t="shared" si="0"/>
        <v>4</v>
      </c>
      <c r="E6" s="1287">
        <f t="shared" si="0"/>
        <v>5</v>
      </c>
      <c r="F6" s="1287">
        <f t="shared" si="0"/>
        <v>6</v>
      </c>
      <c r="G6" s="1287">
        <v>7</v>
      </c>
      <c r="H6" s="1287">
        <f>+G6+1</f>
        <v>8</v>
      </c>
      <c r="I6" s="1287">
        <f t="shared" si="0"/>
        <v>9</v>
      </c>
      <c r="J6" s="1287">
        <f t="shared" si="0"/>
        <v>10</v>
      </c>
      <c r="K6" s="1287">
        <f t="shared" si="0"/>
        <v>11</v>
      </c>
      <c r="L6" s="1287">
        <f t="shared" si="0"/>
        <v>12</v>
      </c>
      <c r="M6" s="1287">
        <f>+L6+1</f>
        <v>13</v>
      </c>
      <c r="N6" s="1287">
        <f>+M6+1</f>
        <v>14</v>
      </c>
      <c r="O6" s="1287">
        <f t="shared" ref="O6:Q6" si="1">+N6+1</f>
        <v>15</v>
      </c>
      <c r="P6" s="1287">
        <f t="shared" si="1"/>
        <v>16</v>
      </c>
      <c r="Q6" s="1287">
        <f t="shared" si="1"/>
        <v>17</v>
      </c>
      <c r="R6" s="1288">
        <v>18</v>
      </c>
      <c r="S6" s="1289" t="s">
        <v>3401</v>
      </c>
      <c r="T6" s="1289">
        <v>20</v>
      </c>
      <c r="U6" s="1289">
        <v>21</v>
      </c>
      <c r="V6" s="1289">
        <v>22</v>
      </c>
      <c r="W6" s="1289">
        <v>23</v>
      </c>
    </row>
    <row r="7" spans="1:24" s="1296" customFormat="1" hidden="1">
      <c r="A7" s="1290"/>
      <c r="B7" s="1291" t="s">
        <v>3402</v>
      </c>
      <c r="C7" s="1292">
        <f>SUM(D7:F7)</f>
        <v>106</v>
      </c>
      <c r="D7" s="1292">
        <v>73</v>
      </c>
      <c r="E7" s="1292">
        <v>31</v>
      </c>
      <c r="F7" s="1292">
        <v>2</v>
      </c>
      <c r="G7" s="1293">
        <f>C7*17</f>
        <v>1802</v>
      </c>
      <c r="H7" s="1292">
        <f>G7</f>
        <v>1802</v>
      </c>
      <c r="I7" s="1292">
        <f>J7+K7+L7</f>
        <v>106</v>
      </c>
      <c r="J7" s="1292">
        <v>73</v>
      </c>
      <c r="K7" s="1292">
        <v>31</v>
      </c>
      <c r="L7" s="1292">
        <v>2</v>
      </c>
      <c r="M7" s="1293">
        <f>D7*14+E7*12+F7*10</f>
        <v>1414</v>
      </c>
      <c r="N7" s="1292">
        <v>1233</v>
      </c>
      <c r="O7" s="1292"/>
      <c r="P7" s="1292">
        <f>G7-M7</f>
        <v>388</v>
      </c>
      <c r="Q7" s="1292">
        <f>H7-N7</f>
        <v>569</v>
      </c>
      <c r="R7" s="1294"/>
      <c r="S7" s="1295"/>
      <c r="T7" s="1295"/>
      <c r="U7" s="1295"/>
      <c r="V7" s="1295"/>
      <c r="W7" s="1295"/>
    </row>
    <row r="8" spans="1:24" s="1364" customFormat="1" ht="21.75" customHeight="1">
      <c r="A8" s="1360"/>
      <c r="B8" s="1361" t="s">
        <v>3434</v>
      </c>
      <c r="C8" s="1363">
        <f t="shared" ref="C8:Q8" si="2">SUM(C9,C20,C35,C47,C59,C74,C90,C108,C116)</f>
        <v>49</v>
      </c>
      <c r="D8" s="1363">
        <f t="shared" si="2"/>
        <v>31</v>
      </c>
      <c r="E8" s="1363">
        <f t="shared" si="2"/>
        <v>17</v>
      </c>
      <c r="F8" s="1363">
        <f t="shared" si="2"/>
        <v>1</v>
      </c>
      <c r="G8" s="1363">
        <f t="shared" si="2"/>
        <v>1049</v>
      </c>
      <c r="H8" s="1363">
        <f t="shared" si="2"/>
        <v>917</v>
      </c>
      <c r="I8" s="1363">
        <f t="shared" si="2"/>
        <v>56</v>
      </c>
      <c r="J8" s="1363">
        <f t="shared" si="2"/>
        <v>38</v>
      </c>
      <c r="K8" s="1363">
        <f t="shared" si="2"/>
        <v>17</v>
      </c>
      <c r="L8" s="1363">
        <f t="shared" si="2"/>
        <v>1</v>
      </c>
      <c r="M8" s="1363">
        <f t="shared" si="2"/>
        <v>670</v>
      </c>
      <c r="N8" s="1363">
        <f t="shared" si="2"/>
        <v>602</v>
      </c>
      <c r="O8" s="1363">
        <f t="shared" si="2"/>
        <v>0</v>
      </c>
      <c r="P8" s="1363">
        <f t="shared" si="2"/>
        <v>237</v>
      </c>
      <c r="Q8" s="1363">
        <f t="shared" si="2"/>
        <v>0</v>
      </c>
      <c r="R8" s="1362"/>
      <c r="S8" s="1363">
        <f>SUM(S9,S20,S35,S47,S59,S74,S90,S108,S116)</f>
        <v>75777.895166000002</v>
      </c>
      <c r="T8" s="1363">
        <f>SUM(T9,T20,T35,T47,T59,T74,T90,T108,T116)</f>
        <v>42360.035200000006</v>
      </c>
      <c r="U8" s="1363">
        <f>SUM(U9,U20,U35,U47,U59,U74,U90,U108,U116)</f>
        <v>29813.279999999999</v>
      </c>
      <c r="V8" s="1363">
        <f>SUM(V9,V20,V35,V47,V59,V74,V90,V108,V116)</f>
        <v>3578.6539659999994</v>
      </c>
      <c r="W8" s="1363">
        <f>SUM(W9,W20,W35,W47,W59,W74,W90,W108,W116)</f>
        <v>25.925999999999998</v>
      </c>
    </row>
    <row r="9" spans="1:24" ht="15.75">
      <c r="A9" s="1718" t="s">
        <v>13</v>
      </c>
      <c r="B9" s="1719" t="s">
        <v>318</v>
      </c>
      <c r="C9" s="1720">
        <f>SUM(C10:C19)</f>
        <v>10</v>
      </c>
      <c r="D9" s="1720">
        <f t="shared" ref="D9:W9" si="3">SUM(D10:D19)</f>
        <v>8</v>
      </c>
      <c r="E9" s="1720">
        <f t="shared" si="3"/>
        <v>2</v>
      </c>
      <c r="F9" s="1720">
        <f t="shared" si="3"/>
        <v>0</v>
      </c>
      <c r="G9" s="1720">
        <f t="shared" si="3"/>
        <v>216</v>
      </c>
      <c r="H9" s="1720">
        <f t="shared" si="3"/>
        <v>170</v>
      </c>
      <c r="I9" s="1720">
        <f t="shared" si="3"/>
        <v>10</v>
      </c>
      <c r="J9" s="1720">
        <f t="shared" si="3"/>
        <v>8</v>
      </c>
      <c r="K9" s="1720">
        <f t="shared" si="3"/>
        <v>2</v>
      </c>
      <c r="L9" s="1720">
        <f t="shared" si="3"/>
        <v>0</v>
      </c>
      <c r="M9" s="1720">
        <f t="shared" si="3"/>
        <v>136</v>
      </c>
      <c r="N9" s="1720">
        <f t="shared" si="3"/>
        <v>101</v>
      </c>
      <c r="O9" s="1720">
        <f t="shared" si="3"/>
        <v>0</v>
      </c>
      <c r="P9" s="1720">
        <f t="shared" si="3"/>
        <v>35</v>
      </c>
      <c r="Q9" s="1720">
        <f t="shared" si="3"/>
        <v>0</v>
      </c>
      <c r="R9" s="1720">
        <f t="shared" si="3"/>
        <v>296</v>
      </c>
      <c r="S9" s="1720">
        <f t="shared" si="3"/>
        <v>11473.62</v>
      </c>
      <c r="T9" s="1720">
        <f t="shared" si="3"/>
        <v>3970.2539999999999</v>
      </c>
      <c r="U9" s="1720">
        <f t="shared" si="3"/>
        <v>6937.4400000000005</v>
      </c>
      <c r="V9" s="1720">
        <f t="shared" si="3"/>
        <v>540</v>
      </c>
      <c r="W9" s="1720">
        <f t="shared" si="3"/>
        <v>25.925999999999998</v>
      </c>
    </row>
    <row r="10" spans="1:24" ht="15.75">
      <c r="A10" s="1721">
        <v>1</v>
      </c>
      <c r="B10" s="1722" t="s">
        <v>3189</v>
      </c>
      <c r="C10" s="1723">
        <v>1</v>
      </c>
      <c r="D10" s="1721">
        <v>1</v>
      </c>
      <c r="E10" s="1721"/>
      <c r="F10" s="1721"/>
      <c r="G10" s="1723">
        <v>22</v>
      </c>
      <c r="H10" s="1723">
        <v>17</v>
      </c>
      <c r="I10" s="1723">
        <v>1</v>
      </c>
      <c r="J10" s="1723">
        <v>1</v>
      </c>
      <c r="K10" s="1723"/>
      <c r="L10" s="1723"/>
      <c r="M10" s="1723">
        <v>14</v>
      </c>
      <c r="N10" s="1723">
        <v>11</v>
      </c>
      <c r="O10" s="1723"/>
      <c r="P10" s="1723">
        <f>M10-N10</f>
        <v>3</v>
      </c>
      <c r="Q10" s="1723" t="s">
        <v>3452</v>
      </c>
      <c r="R10" s="1724">
        <f>11+3*5</f>
        <v>26</v>
      </c>
      <c r="S10" s="1725">
        <f>SUM(T10:W10)</f>
        <v>1069.2264</v>
      </c>
      <c r="T10" s="1725">
        <f>24.78*1.49*12</f>
        <v>443.06640000000004</v>
      </c>
      <c r="U10" s="1725">
        <f>(3+3)*4*1.49*12+(3+5)*1.49*12</f>
        <v>572.16</v>
      </c>
      <c r="V10" s="1725">
        <f>(3.1+1.4)*12</f>
        <v>54</v>
      </c>
      <c r="W10" s="1725"/>
    </row>
    <row r="11" spans="1:24" ht="15.75">
      <c r="A11" s="1721">
        <v>2</v>
      </c>
      <c r="B11" s="540" t="s">
        <v>3179</v>
      </c>
      <c r="C11" s="1723">
        <v>1</v>
      </c>
      <c r="D11" s="1721">
        <v>1</v>
      </c>
      <c r="E11" s="1721"/>
      <c r="F11" s="1721"/>
      <c r="G11" s="1723">
        <v>22</v>
      </c>
      <c r="H11" s="1723">
        <v>17</v>
      </c>
      <c r="I11" s="1723">
        <v>1</v>
      </c>
      <c r="J11" s="1723">
        <v>1</v>
      </c>
      <c r="K11" s="1723"/>
      <c r="L11" s="1723"/>
      <c r="M11" s="1723">
        <v>14</v>
      </c>
      <c r="N11" s="1723">
        <v>10</v>
      </c>
      <c r="O11" s="1723"/>
      <c r="P11" s="1723">
        <f t="shared" ref="P11:P19" si="4">M11-N11</f>
        <v>4</v>
      </c>
      <c r="Q11" s="1723" t="s">
        <v>3452</v>
      </c>
      <c r="R11" s="1724">
        <f>11+3*4</f>
        <v>23</v>
      </c>
      <c r="S11" s="1725">
        <f t="shared" ref="S11:S19" si="5">SUM(T11:W11)</f>
        <v>874.197</v>
      </c>
      <c r="T11" s="1725">
        <f>21.55*1.49*12</f>
        <v>385.31400000000008</v>
      </c>
      <c r="U11" s="1725">
        <f>(3+3)*4*1.49*12</f>
        <v>429.12</v>
      </c>
      <c r="V11" s="1725">
        <f>(2.8+1.1)*12</f>
        <v>46.8</v>
      </c>
      <c r="W11" s="1725">
        <f>1.45*50%*1.49*12</f>
        <v>12.962999999999999</v>
      </c>
    </row>
    <row r="12" spans="1:24" ht="15.75">
      <c r="A12" s="1721">
        <v>3</v>
      </c>
      <c r="B12" s="1722" t="s">
        <v>3193</v>
      </c>
      <c r="C12" s="1723">
        <v>1</v>
      </c>
      <c r="D12" s="1723"/>
      <c r="E12" s="1721">
        <v>1</v>
      </c>
      <c r="F12" s="1721"/>
      <c r="G12" s="1723">
        <v>20</v>
      </c>
      <c r="H12" s="1723">
        <v>17</v>
      </c>
      <c r="I12" s="1723">
        <v>1</v>
      </c>
      <c r="J12" s="1723"/>
      <c r="K12" s="1723">
        <v>1</v>
      </c>
      <c r="L12" s="1723"/>
      <c r="M12" s="1723">
        <v>12</v>
      </c>
      <c r="N12" s="1723">
        <v>10</v>
      </c>
      <c r="O12" s="1723"/>
      <c r="P12" s="1723">
        <f t="shared" si="4"/>
        <v>2</v>
      </c>
      <c r="Q12" s="1723" t="s">
        <v>3452</v>
      </c>
      <c r="R12" s="1724">
        <f>11+3*3</f>
        <v>20</v>
      </c>
      <c r="S12" s="1725">
        <f t="shared" si="5"/>
        <v>763.76400000000012</v>
      </c>
      <c r="T12" s="1726">
        <f>22.3*1.49*12</f>
        <v>398.72400000000005</v>
      </c>
      <c r="U12" s="1725">
        <f>(3+3)*3*1.49*12</f>
        <v>321.84000000000003</v>
      </c>
      <c r="V12" s="1725">
        <f>(2.8+0.8)*12</f>
        <v>43.199999999999996</v>
      </c>
      <c r="W12" s="1725"/>
    </row>
    <row r="13" spans="1:24" ht="15.75">
      <c r="A13" s="1721">
        <v>4</v>
      </c>
      <c r="B13" s="540" t="s">
        <v>3180</v>
      </c>
      <c r="C13" s="1723">
        <v>1</v>
      </c>
      <c r="D13" s="1723"/>
      <c r="E13" s="1721">
        <v>1</v>
      </c>
      <c r="F13" s="1721"/>
      <c r="G13" s="1723">
        <v>20</v>
      </c>
      <c r="H13" s="1723">
        <v>17</v>
      </c>
      <c r="I13" s="1723">
        <v>1</v>
      </c>
      <c r="J13" s="1723"/>
      <c r="K13" s="1723">
        <v>1</v>
      </c>
      <c r="L13" s="1723"/>
      <c r="M13" s="1723">
        <v>12</v>
      </c>
      <c r="N13" s="1723">
        <v>10</v>
      </c>
      <c r="O13" s="1723"/>
      <c r="P13" s="1723">
        <f t="shared" si="4"/>
        <v>2</v>
      </c>
      <c r="Q13" s="1723" t="s">
        <v>3452</v>
      </c>
      <c r="R13" s="1724">
        <f>11+3*3</f>
        <v>20</v>
      </c>
      <c r="S13" s="1725">
        <f t="shared" si="5"/>
        <v>766.26720000000012</v>
      </c>
      <c r="T13" s="1726">
        <f>22.44*1.49*12</f>
        <v>401.22720000000004</v>
      </c>
      <c r="U13" s="1725">
        <f>(3+3)*3*1.49*12</f>
        <v>321.84000000000003</v>
      </c>
      <c r="V13" s="1725">
        <f>(2.8+0.8)*12</f>
        <v>43.199999999999996</v>
      </c>
      <c r="W13" s="1725"/>
    </row>
    <row r="14" spans="1:24" ht="15.75">
      <c r="A14" s="1721">
        <v>5</v>
      </c>
      <c r="B14" s="1722" t="s">
        <v>3194</v>
      </c>
      <c r="C14" s="1723">
        <v>1</v>
      </c>
      <c r="D14" s="1721">
        <v>1</v>
      </c>
      <c r="E14" s="1721"/>
      <c r="F14" s="1721"/>
      <c r="G14" s="1723">
        <v>22</v>
      </c>
      <c r="H14" s="1723">
        <v>17</v>
      </c>
      <c r="I14" s="1723">
        <v>1</v>
      </c>
      <c r="J14" s="1723">
        <v>1</v>
      </c>
      <c r="K14" s="1723"/>
      <c r="L14" s="1723"/>
      <c r="M14" s="1723">
        <v>14</v>
      </c>
      <c r="N14" s="1723">
        <v>10</v>
      </c>
      <c r="O14" s="1723"/>
      <c r="P14" s="1723">
        <f t="shared" si="4"/>
        <v>4</v>
      </c>
      <c r="Q14" s="1723" t="s">
        <v>3452</v>
      </c>
      <c r="R14" s="1724">
        <f>11+3*4</f>
        <v>23</v>
      </c>
      <c r="S14" s="1725">
        <f t="shared" si="5"/>
        <v>833.78819999999996</v>
      </c>
      <c r="T14" s="1726">
        <f>19.29*1.49*12</f>
        <v>344.90519999999998</v>
      </c>
      <c r="U14" s="1725">
        <f>(3+3)*4*1.49*12</f>
        <v>429.12</v>
      </c>
      <c r="V14" s="1725">
        <f>(2.8+1.1)*12</f>
        <v>46.8</v>
      </c>
      <c r="W14" s="1725">
        <f>1.45*50%*1.49*12</f>
        <v>12.962999999999999</v>
      </c>
    </row>
    <row r="15" spans="1:24" ht="15.75">
      <c r="A15" s="1721">
        <v>6</v>
      </c>
      <c r="B15" s="540" t="s">
        <v>3190</v>
      </c>
      <c r="C15" s="1723">
        <v>1</v>
      </c>
      <c r="D15" s="1721">
        <v>1</v>
      </c>
      <c r="E15" s="1721"/>
      <c r="F15" s="1721"/>
      <c r="G15" s="1723">
        <v>22</v>
      </c>
      <c r="H15" s="1723">
        <v>17</v>
      </c>
      <c r="I15" s="1723">
        <v>1</v>
      </c>
      <c r="J15" s="1723">
        <v>1</v>
      </c>
      <c r="K15" s="1723"/>
      <c r="L15" s="1723"/>
      <c r="M15" s="1723">
        <v>14</v>
      </c>
      <c r="N15" s="1723">
        <v>10</v>
      </c>
      <c r="O15" s="1723"/>
      <c r="P15" s="1723">
        <f t="shared" si="4"/>
        <v>4</v>
      </c>
      <c r="Q15" s="1723" t="s">
        <v>3452</v>
      </c>
      <c r="R15" s="1724">
        <f>11+3*6</f>
        <v>29</v>
      </c>
      <c r="S15" s="1725">
        <f t="shared" si="5"/>
        <v>1083.0456000000001</v>
      </c>
      <c r="T15" s="1726">
        <f>21.62*1.49*12</f>
        <v>386.56560000000002</v>
      </c>
      <c r="U15" s="1725">
        <f>(3+3)*6*1.49*12</f>
        <v>643.68000000000006</v>
      </c>
      <c r="V15" s="1725">
        <f>(2.8+1.6)*12</f>
        <v>52.800000000000004</v>
      </c>
      <c r="W15" s="1725"/>
    </row>
    <row r="16" spans="1:24" ht="15.75">
      <c r="A16" s="1721">
        <v>7</v>
      </c>
      <c r="B16" s="1722" t="s">
        <v>3188</v>
      </c>
      <c r="C16" s="1723">
        <v>1</v>
      </c>
      <c r="D16" s="1721">
        <v>1</v>
      </c>
      <c r="E16" s="1721"/>
      <c r="F16" s="1721"/>
      <c r="G16" s="1723">
        <v>22</v>
      </c>
      <c r="H16" s="1723">
        <v>17</v>
      </c>
      <c r="I16" s="1723">
        <v>1</v>
      </c>
      <c r="J16" s="1723">
        <v>1</v>
      </c>
      <c r="K16" s="1723"/>
      <c r="L16" s="1723"/>
      <c r="M16" s="1723">
        <v>14</v>
      </c>
      <c r="N16" s="1723">
        <v>10</v>
      </c>
      <c r="O16" s="1723"/>
      <c r="P16" s="1723">
        <f t="shared" si="4"/>
        <v>4</v>
      </c>
      <c r="Q16" s="1723" t="s">
        <v>3452</v>
      </c>
      <c r="R16" s="1724">
        <f>11+3*10</f>
        <v>41</v>
      </c>
      <c r="S16" s="1725">
        <f t="shared" si="5"/>
        <v>1531.4448000000002</v>
      </c>
      <c r="T16" s="1726">
        <f>21.96*1.49*12</f>
        <v>392.64479999999998</v>
      </c>
      <c r="U16" s="1725">
        <f>(3+3)*10*1.49*12</f>
        <v>1072.8000000000002</v>
      </c>
      <c r="V16" s="1725">
        <f>(2.8+2.7)*12</f>
        <v>66</v>
      </c>
      <c r="W16" s="1725"/>
    </row>
    <row r="17" spans="1:23" ht="15.75">
      <c r="A17" s="1721">
        <v>8</v>
      </c>
      <c r="B17" s="540" t="s">
        <v>3191</v>
      </c>
      <c r="C17" s="1723">
        <v>1</v>
      </c>
      <c r="D17" s="1721">
        <v>1</v>
      </c>
      <c r="E17" s="1721"/>
      <c r="F17" s="1721"/>
      <c r="G17" s="1723">
        <v>22</v>
      </c>
      <c r="H17" s="1723">
        <v>17</v>
      </c>
      <c r="I17" s="1723">
        <v>1</v>
      </c>
      <c r="J17" s="1723">
        <v>1</v>
      </c>
      <c r="K17" s="1723"/>
      <c r="L17" s="1723"/>
      <c r="M17" s="1723">
        <v>14</v>
      </c>
      <c r="N17" s="1723">
        <v>11</v>
      </c>
      <c r="O17" s="1723"/>
      <c r="P17" s="1723">
        <f t="shared" si="4"/>
        <v>3</v>
      </c>
      <c r="Q17" s="1723" t="s">
        <v>3452</v>
      </c>
      <c r="R17" s="1724">
        <f>11+3*7</f>
        <v>32</v>
      </c>
      <c r="S17" s="1725">
        <f t="shared" si="5"/>
        <v>1266.9000000000001</v>
      </c>
      <c r="T17" s="1726">
        <f>25.5*1.49*12</f>
        <v>455.93999999999994</v>
      </c>
      <c r="U17" s="1725">
        <f>(3+3)*7*1.49*12</f>
        <v>750.96</v>
      </c>
      <c r="V17" s="1725">
        <f>(3.1+1.9)*12</f>
        <v>60</v>
      </c>
      <c r="W17" s="1725"/>
    </row>
    <row r="18" spans="1:23" ht="15.75">
      <c r="A18" s="1721">
        <v>9</v>
      </c>
      <c r="B18" s="1722" t="s">
        <v>3192</v>
      </c>
      <c r="C18" s="1727">
        <v>1</v>
      </c>
      <c r="D18" s="1721">
        <v>1</v>
      </c>
      <c r="E18" s="539"/>
      <c r="F18" s="539"/>
      <c r="G18" s="1723">
        <v>22</v>
      </c>
      <c r="H18" s="1723">
        <v>17</v>
      </c>
      <c r="I18" s="1727">
        <v>1</v>
      </c>
      <c r="J18" s="1723">
        <v>1</v>
      </c>
      <c r="K18" s="1727"/>
      <c r="L18" s="1727"/>
      <c r="M18" s="1723">
        <v>14</v>
      </c>
      <c r="N18" s="1723">
        <v>10</v>
      </c>
      <c r="O18" s="1727"/>
      <c r="P18" s="1723">
        <f t="shared" si="4"/>
        <v>4</v>
      </c>
      <c r="Q18" s="1723" t="s">
        <v>3452</v>
      </c>
      <c r="R18" s="1724">
        <f>11+3*8</f>
        <v>35</v>
      </c>
      <c r="S18" s="1725">
        <f t="shared" si="5"/>
        <v>1319.5188000000001</v>
      </c>
      <c r="T18" s="1726">
        <f>22.51*1.49*12</f>
        <v>402.47880000000004</v>
      </c>
      <c r="U18" s="1725">
        <f>(3+3)*8*1.49*12</f>
        <v>858.24</v>
      </c>
      <c r="V18" s="1725">
        <f>(2.8+2.1)*12</f>
        <v>58.800000000000004</v>
      </c>
      <c r="W18" s="1725"/>
    </row>
    <row r="19" spans="1:23" ht="15.75">
      <c r="A19" s="1721">
        <v>10</v>
      </c>
      <c r="B19" s="540" t="s">
        <v>3187</v>
      </c>
      <c r="C19" s="1727">
        <v>1</v>
      </c>
      <c r="D19" s="1721">
        <v>1</v>
      </c>
      <c r="E19" s="539"/>
      <c r="F19" s="539"/>
      <c r="G19" s="1723">
        <v>22</v>
      </c>
      <c r="H19" s="1723">
        <v>17</v>
      </c>
      <c r="I19" s="1727">
        <v>1</v>
      </c>
      <c r="J19" s="1723">
        <v>1</v>
      </c>
      <c r="K19" s="1727"/>
      <c r="L19" s="1727"/>
      <c r="M19" s="1723">
        <v>14</v>
      </c>
      <c r="N19" s="1723">
        <v>9</v>
      </c>
      <c r="O19" s="1727"/>
      <c r="P19" s="1723">
        <f t="shared" si="4"/>
        <v>5</v>
      </c>
      <c r="Q19" s="1723" t="s">
        <v>3452</v>
      </c>
      <c r="R19" s="1724">
        <f>11+3*12</f>
        <v>47</v>
      </c>
      <c r="S19" s="1725">
        <f t="shared" si="5"/>
        <v>1965.4680000000003</v>
      </c>
      <c r="T19" s="1726">
        <f>20.1*1.49*12</f>
        <v>359.38800000000003</v>
      </c>
      <c r="U19" s="1725">
        <f>(3+3)*5*1.49*12+(3+5)*7*1.49*12</f>
        <v>1537.68</v>
      </c>
      <c r="V19" s="1725">
        <f>(2.5+3.2)*12</f>
        <v>68.400000000000006</v>
      </c>
      <c r="W19" s="1725"/>
    </row>
    <row r="20" spans="1:23" s="1049" customFormat="1">
      <c r="A20" s="1378" t="s">
        <v>65</v>
      </c>
      <c r="B20" s="1379" t="s">
        <v>32</v>
      </c>
      <c r="C20" s="1412"/>
      <c r="D20" s="1412"/>
      <c r="E20" s="1412"/>
      <c r="F20" s="1412"/>
      <c r="G20" s="1412"/>
      <c r="H20" s="1412"/>
      <c r="I20" s="1412"/>
      <c r="J20" s="1412"/>
      <c r="K20" s="1412"/>
      <c r="L20" s="1412"/>
      <c r="M20" s="1412"/>
      <c r="N20" s="1412"/>
      <c r="O20" s="1412"/>
      <c r="P20" s="1412"/>
      <c r="Q20" s="1412"/>
      <c r="R20" s="1412">
        <f>SUM(R21:R34)</f>
        <v>153</v>
      </c>
      <c r="S20" s="1413">
        <f t="shared" ref="S20:W20" si="6">SUM(S21:S34)</f>
        <v>13340.804400000001</v>
      </c>
      <c r="T20" s="1413">
        <f t="shared" si="6"/>
        <v>6276.9528</v>
      </c>
      <c r="U20" s="1413">
        <f t="shared" si="6"/>
        <v>6544.08</v>
      </c>
      <c r="V20" s="1413">
        <f t="shared" si="6"/>
        <v>519.77159999999992</v>
      </c>
      <c r="W20" s="1413">
        <f t="shared" si="6"/>
        <v>0</v>
      </c>
    </row>
    <row r="21" spans="1:23" ht="15.75">
      <c r="A21" s="600">
        <v>1</v>
      </c>
      <c r="B21" s="1774" t="s">
        <v>3457</v>
      </c>
      <c r="C21" s="1301"/>
      <c r="D21" s="1301"/>
      <c r="E21" s="1301"/>
      <c r="F21" s="1301"/>
      <c r="G21" s="1301"/>
      <c r="H21" s="1301"/>
      <c r="I21" s="1301"/>
      <c r="J21" s="1301"/>
      <c r="K21" s="1301"/>
      <c r="L21" s="1301"/>
      <c r="M21" s="1301"/>
      <c r="N21" s="1301"/>
      <c r="O21" s="1301"/>
      <c r="P21" s="1301"/>
      <c r="Q21" s="1301"/>
      <c r="R21" s="663">
        <v>11</v>
      </c>
      <c r="S21" s="1300">
        <f>SUM(T21:V21)</f>
        <v>1034.0003999999999</v>
      </c>
      <c r="T21" s="1776">
        <f>(2.34*1490*12*11)/1000</f>
        <v>460.23119999999994</v>
      </c>
      <c r="U21" s="1776">
        <f>(3*1490*12*10)/1000</f>
        <v>536.4</v>
      </c>
      <c r="V21" s="1776">
        <f t="shared" ref="V21:V34" si="7">(R21*1490*19%*12)/1000</f>
        <v>37.369199999999999</v>
      </c>
      <c r="W21" s="1300"/>
    </row>
    <row r="22" spans="1:23" ht="15.75">
      <c r="A22" s="600">
        <v>2</v>
      </c>
      <c r="B22" s="1775" t="s">
        <v>3458</v>
      </c>
      <c r="C22" s="1301"/>
      <c r="D22" s="1301"/>
      <c r="E22" s="1301"/>
      <c r="F22" s="1301"/>
      <c r="G22" s="1301"/>
      <c r="H22" s="1301"/>
      <c r="I22" s="1301"/>
      <c r="J22" s="1301"/>
      <c r="K22" s="1301"/>
      <c r="L22" s="1301"/>
      <c r="M22" s="1301"/>
      <c r="N22" s="1301"/>
      <c r="O22" s="1301"/>
      <c r="P22" s="1301"/>
      <c r="Q22" s="1301"/>
      <c r="R22" s="663">
        <v>11</v>
      </c>
      <c r="S22" s="1300">
        <f t="shared" ref="S22:S34" si="8">SUM(T22:V22)</f>
        <v>1132.6980000000001</v>
      </c>
      <c r="T22" s="1776">
        <f>(2.34*1490*12*10+1.86*1490*12)/1000</f>
        <v>451.64879999999999</v>
      </c>
      <c r="U22" s="1776">
        <f>(3*1490*12*12)/1000</f>
        <v>643.67999999999995</v>
      </c>
      <c r="V22" s="1776">
        <f t="shared" si="7"/>
        <v>37.369199999999999</v>
      </c>
      <c r="W22" s="1300"/>
    </row>
    <row r="23" spans="1:23" ht="15.75">
      <c r="A23" s="600">
        <v>3</v>
      </c>
      <c r="B23" s="1775" t="s">
        <v>3459</v>
      </c>
      <c r="C23" s="1301"/>
      <c r="D23" s="1301"/>
      <c r="E23" s="1301"/>
      <c r="F23" s="1301"/>
      <c r="G23" s="1301"/>
      <c r="H23" s="1301"/>
      <c r="I23" s="1301"/>
      <c r="J23" s="1301"/>
      <c r="K23" s="1301"/>
      <c r="L23" s="1301"/>
      <c r="M23" s="1301"/>
      <c r="N23" s="1301"/>
      <c r="O23" s="1301"/>
      <c r="P23" s="1301"/>
      <c r="Q23" s="1301"/>
      <c r="R23" s="663">
        <v>11</v>
      </c>
      <c r="S23" s="1300">
        <f t="shared" si="8"/>
        <v>1025.4180000000001</v>
      </c>
      <c r="T23" s="1776">
        <f>(2.34*1490*12*10+1.86*1490*12)/1000</f>
        <v>451.64879999999999</v>
      </c>
      <c r="U23" s="1776">
        <f>(3*1490*12*10)/1000</f>
        <v>536.4</v>
      </c>
      <c r="V23" s="1776">
        <f t="shared" si="7"/>
        <v>37.369199999999999</v>
      </c>
      <c r="W23" s="1300"/>
    </row>
    <row r="24" spans="1:23" ht="15.75">
      <c r="A24" s="600">
        <v>4</v>
      </c>
      <c r="B24" s="1775" t="s">
        <v>3460</v>
      </c>
      <c r="C24" s="1301"/>
      <c r="D24" s="1301"/>
      <c r="E24" s="1301"/>
      <c r="F24" s="1301"/>
      <c r="G24" s="1301"/>
      <c r="H24" s="1301"/>
      <c r="I24" s="1301"/>
      <c r="J24" s="1301"/>
      <c r="K24" s="1301"/>
      <c r="L24" s="1301"/>
      <c r="M24" s="1301"/>
      <c r="N24" s="1301"/>
      <c r="O24" s="1301"/>
      <c r="P24" s="1301"/>
      <c r="Q24" s="1301"/>
      <c r="R24" s="663">
        <v>11</v>
      </c>
      <c r="S24" s="1300">
        <f t="shared" si="8"/>
        <v>1034.0003999999999</v>
      </c>
      <c r="T24" s="1776">
        <f>(2.34*1490*12*11)/1000</f>
        <v>460.23119999999994</v>
      </c>
      <c r="U24" s="1776">
        <f>(3*1490*12*10)/1000</f>
        <v>536.4</v>
      </c>
      <c r="V24" s="1776">
        <f t="shared" si="7"/>
        <v>37.369199999999999</v>
      </c>
      <c r="W24" s="1300"/>
    </row>
    <row r="25" spans="1:23" ht="15.75">
      <c r="A25" s="600">
        <v>5</v>
      </c>
      <c r="B25" s="1774" t="s">
        <v>3461</v>
      </c>
      <c r="C25" s="1301"/>
      <c r="D25" s="1301"/>
      <c r="E25" s="1301"/>
      <c r="F25" s="1301"/>
      <c r="G25" s="1301"/>
      <c r="H25" s="1301"/>
      <c r="I25" s="1301"/>
      <c r="J25" s="1301"/>
      <c r="K25" s="1301"/>
      <c r="L25" s="1301"/>
      <c r="M25" s="1301"/>
      <c r="N25" s="1301"/>
      <c r="O25" s="1301"/>
      <c r="P25" s="1301"/>
      <c r="Q25" s="1301"/>
      <c r="R25" s="663">
        <v>11</v>
      </c>
      <c r="S25" s="1300">
        <f t="shared" si="8"/>
        <v>1016.8356</v>
      </c>
      <c r="T25" s="1776">
        <f>(2.34*1490*12*9+1.86*1490*12*2)/1000</f>
        <v>443.06640000000004</v>
      </c>
      <c r="U25" s="1776">
        <f>(3*1490*12*10)/1000</f>
        <v>536.4</v>
      </c>
      <c r="V25" s="1776">
        <f t="shared" si="7"/>
        <v>37.369199999999999</v>
      </c>
      <c r="W25" s="1300"/>
    </row>
    <row r="26" spans="1:23" ht="15.75">
      <c r="A26" s="600">
        <v>6</v>
      </c>
      <c r="B26" s="1775" t="s">
        <v>3462</v>
      </c>
      <c r="C26" s="1301"/>
      <c r="D26" s="1301"/>
      <c r="E26" s="1301"/>
      <c r="F26" s="1301"/>
      <c r="G26" s="1301"/>
      <c r="H26" s="1301"/>
      <c r="I26" s="1301"/>
      <c r="J26" s="1301"/>
      <c r="K26" s="1301"/>
      <c r="L26" s="1301"/>
      <c r="M26" s="1301"/>
      <c r="N26" s="1301"/>
      <c r="O26" s="1301"/>
      <c r="P26" s="1301"/>
      <c r="Q26" s="1301"/>
      <c r="R26" s="663">
        <v>11</v>
      </c>
      <c r="S26" s="1300">
        <f t="shared" si="8"/>
        <v>980.36039999999991</v>
      </c>
      <c r="T26" s="1776">
        <f>(2.34*1490*12*11)/1000</f>
        <v>460.23119999999994</v>
      </c>
      <c r="U26" s="1776">
        <f>(3*1490*12*9)/1000</f>
        <v>482.76</v>
      </c>
      <c r="V26" s="1776">
        <f t="shared" si="7"/>
        <v>37.369199999999999</v>
      </c>
      <c r="W26" s="1300"/>
    </row>
    <row r="27" spans="1:23" ht="15.75">
      <c r="A27" s="600">
        <v>7</v>
      </c>
      <c r="B27" s="1775" t="s">
        <v>3463</v>
      </c>
      <c r="C27" s="1301"/>
      <c r="D27" s="1301"/>
      <c r="E27" s="1301"/>
      <c r="F27" s="1301"/>
      <c r="G27" s="1301"/>
      <c r="H27" s="1301"/>
      <c r="I27" s="1301"/>
      <c r="J27" s="1301"/>
      <c r="K27" s="1301"/>
      <c r="L27" s="1301"/>
      <c r="M27" s="1301"/>
      <c r="N27" s="1301"/>
      <c r="O27" s="1301"/>
      <c r="P27" s="1301"/>
      <c r="Q27" s="1301"/>
      <c r="R27" s="663">
        <v>11</v>
      </c>
      <c r="S27" s="1300">
        <f t="shared" si="8"/>
        <v>918.13800000000003</v>
      </c>
      <c r="T27" s="1776">
        <f>(2.34*1490*12*10+1.86*1490*12)/1000</f>
        <v>451.64879999999999</v>
      </c>
      <c r="U27" s="1776">
        <f>(3*1490*12*8)/1000</f>
        <v>429.12</v>
      </c>
      <c r="V27" s="1776">
        <f t="shared" si="7"/>
        <v>37.369199999999999</v>
      </c>
      <c r="W27" s="1300"/>
    </row>
    <row r="28" spans="1:23" ht="15.75">
      <c r="A28" s="600">
        <v>8</v>
      </c>
      <c r="B28" s="1775" t="s">
        <v>3464</v>
      </c>
      <c r="C28" s="1301"/>
      <c r="D28" s="1301"/>
      <c r="E28" s="1301"/>
      <c r="F28" s="1301"/>
      <c r="G28" s="1301"/>
      <c r="H28" s="1301"/>
      <c r="I28" s="1301"/>
      <c r="J28" s="1301"/>
      <c r="K28" s="1301"/>
      <c r="L28" s="1301"/>
      <c r="M28" s="1301"/>
      <c r="N28" s="1301"/>
      <c r="O28" s="1301"/>
      <c r="P28" s="1301"/>
      <c r="Q28" s="1301"/>
      <c r="R28" s="663">
        <v>11</v>
      </c>
      <c r="S28" s="1300">
        <f t="shared" si="8"/>
        <v>918.13800000000003</v>
      </c>
      <c r="T28" s="1776">
        <f>(2.34*1490*12*10+1.86*1490*12)/1000</f>
        <v>451.64879999999999</v>
      </c>
      <c r="U28" s="1776">
        <f>(3*1490*12*8)/1000</f>
        <v>429.12</v>
      </c>
      <c r="V28" s="1776">
        <f t="shared" si="7"/>
        <v>37.369199999999999</v>
      </c>
      <c r="W28" s="1300"/>
    </row>
    <row r="29" spans="1:23" ht="15.75">
      <c r="A29" s="600">
        <v>9</v>
      </c>
      <c r="B29" s="1775" t="s">
        <v>3465</v>
      </c>
      <c r="C29" s="1301"/>
      <c r="D29" s="1301"/>
      <c r="E29" s="1301"/>
      <c r="F29" s="1301"/>
      <c r="G29" s="1301"/>
      <c r="H29" s="1301"/>
      <c r="I29" s="1301"/>
      <c r="J29" s="1301"/>
      <c r="K29" s="1301"/>
      <c r="L29" s="1301"/>
      <c r="M29" s="1301"/>
      <c r="N29" s="1301"/>
      <c r="O29" s="1301"/>
      <c r="P29" s="1301"/>
      <c r="Q29" s="1301"/>
      <c r="R29" s="663">
        <v>11</v>
      </c>
      <c r="S29" s="1300">
        <f t="shared" si="8"/>
        <v>954.61319999999989</v>
      </c>
      <c r="T29" s="1776">
        <f>(2.34*1490*12*6+1.86*1490*12+2.1*1490*12*4)/1000</f>
        <v>434.48399999999998</v>
      </c>
      <c r="U29" s="1776">
        <f>(3*1490*12*9)/1000</f>
        <v>482.76</v>
      </c>
      <c r="V29" s="1776">
        <f t="shared" si="7"/>
        <v>37.369199999999999</v>
      </c>
      <c r="W29" s="1300"/>
    </row>
    <row r="30" spans="1:23" ht="15.75">
      <c r="A30" s="600">
        <v>10</v>
      </c>
      <c r="B30" s="1775" t="s">
        <v>3466</v>
      </c>
      <c r="C30" s="1301"/>
      <c r="D30" s="1301"/>
      <c r="E30" s="1301"/>
      <c r="F30" s="1301"/>
      <c r="G30" s="1301"/>
      <c r="H30" s="1301"/>
      <c r="I30" s="1301"/>
      <c r="J30" s="1301"/>
      <c r="K30" s="1301"/>
      <c r="L30" s="1301"/>
      <c r="M30" s="1301"/>
      <c r="N30" s="1301"/>
      <c r="O30" s="1301"/>
      <c r="P30" s="1301"/>
      <c r="Q30" s="1301"/>
      <c r="R30" s="663">
        <v>11</v>
      </c>
      <c r="S30" s="1300">
        <f t="shared" si="8"/>
        <v>860.20680000000004</v>
      </c>
      <c r="T30" s="1776">
        <f>(2.34*1490*12*9+1.86*1490*12+2.1*1490*12)/1000</f>
        <v>447.35759999999999</v>
      </c>
      <c r="U30" s="1776">
        <f>(3*1490*12*7)/1000</f>
        <v>375.48</v>
      </c>
      <c r="V30" s="1776">
        <f t="shared" si="7"/>
        <v>37.369199999999999</v>
      </c>
      <c r="W30" s="1300"/>
    </row>
    <row r="31" spans="1:23" ht="15.75">
      <c r="A31" s="600">
        <v>11</v>
      </c>
      <c r="B31" s="1775" t="s">
        <v>3467</v>
      </c>
      <c r="C31" s="1301"/>
      <c r="D31" s="1301"/>
      <c r="E31" s="1301"/>
      <c r="F31" s="1301"/>
      <c r="G31" s="1301"/>
      <c r="H31" s="1301"/>
      <c r="I31" s="1301"/>
      <c r="J31" s="1301"/>
      <c r="K31" s="1301"/>
      <c r="L31" s="1301"/>
      <c r="M31" s="1301"/>
      <c r="N31" s="1301"/>
      <c r="O31" s="1301"/>
      <c r="P31" s="1301"/>
      <c r="Q31" s="1301"/>
      <c r="R31" s="663">
        <v>11</v>
      </c>
      <c r="S31" s="1300">
        <f t="shared" si="8"/>
        <v>918.13800000000003</v>
      </c>
      <c r="T31" s="1776">
        <f>(2.34*1490*12*10+1.86*1490*12)/1000</f>
        <v>451.64879999999999</v>
      </c>
      <c r="U31" s="1776">
        <f>(3*1490*12*8)/1000</f>
        <v>429.12</v>
      </c>
      <c r="V31" s="1776">
        <f t="shared" si="7"/>
        <v>37.369199999999999</v>
      </c>
      <c r="W31" s="1300"/>
    </row>
    <row r="32" spans="1:23" ht="15.75">
      <c r="A32" s="600">
        <v>12</v>
      </c>
      <c r="B32" s="1775" t="s">
        <v>3468</v>
      </c>
      <c r="C32" s="1301"/>
      <c r="D32" s="1301"/>
      <c r="E32" s="1301"/>
      <c r="F32" s="1301"/>
      <c r="G32" s="1301"/>
      <c r="H32" s="1301"/>
      <c r="I32" s="1301"/>
      <c r="J32" s="1301"/>
      <c r="K32" s="1301"/>
      <c r="L32" s="1301"/>
      <c r="M32" s="1301"/>
      <c r="N32" s="1301"/>
      <c r="O32" s="1301"/>
      <c r="P32" s="1301"/>
      <c r="Q32" s="1301"/>
      <c r="R32" s="663">
        <v>11</v>
      </c>
      <c r="S32" s="1300">
        <f t="shared" si="8"/>
        <v>926.72039999999993</v>
      </c>
      <c r="T32" s="1776">
        <f>(2.34*1490*12*11)/1000</f>
        <v>460.23119999999994</v>
      </c>
      <c r="U32" s="1776">
        <f>(3*1490*12*8)/1000</f>
        <v>429.12</v>
      </c>
      <c r="V32" s="1776">
        <f t="shared" si="7"/>
        <v>37.369199999999999</v>
      </c>
      <c r="W32" s="1300"/>
    </row>
    <row r="33" spans="1:23" ht="15.75">
      <c r="A33" s="600">
        <v>13</v>
      </c>
      <c r="B33" s="1775" t="s">
        <v>3469</v>
      </c>
      <c r="C33" s="1301"/>
      <c r="D33" s="1301"/>
      <c r="E33" s="1301"/>
      <c r="F33" s="1301"/>
      <c r="G33" s="1301"/>
      <c r="H33" s="1301"/>
      <c r="I33" s="1301"/>
      <c r="J33" s="1301"/>
      <c r="K33" s="1301"/>
      <c r="L33" s="1301"/>
      <c r="M33" s="1301"/>
      <c r="N33" s="1301"/>
      <c r="O33" s="1301"/>
      <c r="P33" s="1301"/>
      <c r="Q33" s="1301"/>
      <c r="R33" s="663">
        <v>11</v>
      </c>
      <c r="S33" s="1300">
        <f t="shared" si="8"/>
        <v>926.72039999999993</v>
      </c>
      <c r="T33" s="1776">
        <f>(2.34*1490*12*11)/1000</f>
        <v>460.23119999999994</v>
      </c>
      <c r="U33" s="1776">
        <f>(3*1490*12*8)/1000</f>
        <v>429.12</v>
      </c>
      <c r="V33" s="1776">
        <f t="shared" si="7"/>
        <v>37.369199999999999</v>
      </c>
      <c r="W33" s="1300"/>
    </row>
    <row r="34" spans="1:23" ht="15.75">
      <c r="A34" s="600">
        <v>14</v>
      </c>
      <c r="B34" s="1775" t="s">
        <v>3470</v>
      </c>
      <c r="C34" s="1301"/>
      <c r="D34" s="1301"/>
      <c r="E34" s="1301"/>
      <c r="F34" s="1301"/>
      <c r="G34" s="1301"/>
      <c r="H34" s="1301"/>
      <c r="I34" s="1301"/>
      <c r="J34" s="1301"/>
      <c r="K34" s="1301"/>
      <c r="L34" s="1301"/>
      <c r="M34" s="1301"/>
      <c r="N34" s="1301"/>
      <c r="O34" s="1301"/>
      <c r="P34" s="1301"/>
      <c r="Q34" s="1301"/>
      <c r="R34" s="663">
        <v>10</v>
      </c>
      <c r="S34" s="1300">
        <f t="shared" si="8"/>
        <v>694.81679999999994</v>
      </c>
      <c r="T34" s="1776">
        <f>(2.34*1490*12*7+1.86*1490*12*3)/1000</f>
        <v>392.64479999999998</v>
      </c>
      <c r="U34" s="1776">
        <f>(3*1490*12*5)/1000</f>
        <v>268.2</v>
      </c>
      <c r="V34" s="1776">
        <f t="shared" si="7"/>
        <v>33.972000000000001</v>
      </c>
      <c r="W34" s="1300"/>
    </row>
    <row r="35" spans="1:23" s="1049" customFormat="1">
      <c r="A35" s="1378" t="s">
        <v>14</v>
      </c>
      <c r="B35" s="1379" t="s">
        <v>33</v>
      </c>
      <c r="C35" s="1412">
        <f>SUM(C36:C46)</f>
        <v>11</v>
      </c>
      <c r="D35" s="1412">
        <f t="shared" ref="D35:W35" si="9">SUM(D36:D46)</f>
        <v>9</v>
      </c>
      <c r="E35" s="1412">
        <f t="shared" si="9"/>
        <v>2</v>
      </c>
      <c r="F35" s="1412">
        <f t="shared" si="9"/>
        <v>0</v>
      </c>
      <c r="G35" s="1412">
        <f t="shared" si="9"/>
        <v>238</v>
      </c>
      <c r="H35" s="1412">
        <f t="shared" si="9"/>
        <v>187</v>
      </c>
      <c r="I35" s="1412">
        <f t="shared" si="9"/>
        <v>11</v>
      </c>
      <c r="J35" s="1412">
        <f t="shared" si="9"/>
        <v>9</v>
      </c>
      <c r="K35" s="1412">
        <f t="shared" si="9"/>
        <v>2</v>
      </c>
      <c r="L35" s="1412">
        <f t="shared" si="9"/>
        <v>0</v>
      </c>
      <c r="M35" s="1412">
        <f t="shared" si="9"/>
        <v>150</v>
      </c>
      <c r="N35" s="1412">
        <f t="shared" si="9"/>
        <v>121</v>
      </c>
      <c r="O35" s="1412">
        <f t="shared" si="9"/>
        <v>0</v>
      </c>
      <c r="P35" s="1412">
        <f t="shared" si="9"/>
        <v>29</v>
      </c>
      <c r="Q35" s="1412">
        <f t="shared" si="9"/>
        <v>0</v>
      </c>
      <c r="R35" s="1412">
        <f t="shared" si="9"/>
        <v>322</v>
      </c>
      <c r="S35" s="1413">
        <f t="shared" si="9"/>
        <v>14387.936765999999</v>
      </c>
      <c r="T35" s="1413">
        <f t="shared" si="9"/>
        <v>10161.382799999999</v>
      </c>
      <c r="U35" s="1413">
        <f t="shared" si="9"/>
        <v>3593.88</v>
      </c>
      <c r="V35" s="1413">
        <f t="shared" si="9"/>
        <v>632.67396600000006</v>
      </c>
      <c r="W35" s="1413">
        <f t="shared" si="9"/>
        <v>0</v>
      </c>
    </row>
    <row r="36" spans="1:23" ht="15.75">
      <c r="A36" s="1280">
        <v>1</v>
      </c>
      <c r="B36" s="1277" t="s">
        <v>3340</v>
      </c>
      <c r="C36" s="1408">
        <v>1</v>
      </c>
      <c r="D36" s="1408"/>
      <c r="E36" s="1408">
        <v>1</v>
      </c>
      <c r="F36" s="1408"/>
      <c r="G36" s="1408">
        <v>20</v>
      </c>
      <c r="H36" s="1408">
        <v>17</v>
      </c>
      <c r="I36" s="1408">
        <v>1</v>
      </c>
      <c r="J36" s="1408"/>
      <c r="K36" s="1408">
        <v>1</v>
      </c>
      <c r="L36" s="1408"/>
      <c r="M36" s="1408">
        <v>12</v>
      </c>
      <c r="N36" s="1408">
        <v>11</v>
      </c>
      <c r="O36" s="1408"/>
      <c r="P36" s="1408">
        <f t="shared" ref="P36:P46" si="10">M36-N36</f>
        <v>1</v>
      </c>
      <c r="Q36" s="1408"/>
      <c r="R36" s="1408">
        <f>11+(3*6)</f>
        <v>29</v>
      </c>
      <c r="S36" s="1414">
        <v>1220.1812640000001</v>
      </c>
      <c r="T36" s="1409">
        <v>844.29359999999997</v>
      </c>
      <c r="U36" s="1409">
        <v>321.83999999999997</v>
      </c>
      <c r="V36" s="1409">
        <v>54.047663999999997</v>
      </c>
      <c r="W36" s="1414"/>
    </row>
    <row r="37" spans="1:23" ht="15.75">
      <c r="A37" s="1280">
        <v>2</v>
      </c>
      <c r="B37" s="1278" t="s">
        <v>3341</v>
      </c>
      <c r="C37" s="1408">
        <v>1</v>
      </c>
      <c r="D37" s="1408">
        <v>1</v>
      </c>
      <c r="E37" s="1408"/>
      <c r="F37" s="1408"/>
      <c r="G37" s="1408">
        <v>22</v>
      </c>
      <c r="H37" s="1408">
        <v>17</v>
      </c>
      <c r="I37" s="1408">
        <v>1</v>
      </c>
      <c r="J37" s="1408">
        <v>1</v>
      </c>
      <c r="K37" s="1408"/>
      <c r="L37" s="1408"/>
      <c r="M37" s="1408">
        <v>14</v>
      </c>
      <c r="N37" s="1408">
        <v>11</v>
      </c>
      <c r="O37" s="1408"/>
      <c r="P37" s="1408">
        <f t="shared" si="10"/>
        <v>3</v>
      </c>
      <c r="Q37" s="1408"/>
      <c r="R37" s="1408">
        <f>11+(3*5)</f>
        <v>26</v>
      </c>
      <c r="S37" s="1414">
        <v>1165.1636100000001</v>
      </c>
      <c r="T37" s="1409">
        <v>840.18119999999999</v>
      </c>
      <c r="U37" s="1409">
        <v>268.2</v>
      </c>
      <c r="V37" s="1409">
        <v>56.782409999999999</v>
      </c>
      <c r="W37" s="1414"/>
    </row>
    <row r="38" spans="1:23" ht="15.75">
      <c r="A38" s="1280">
        <v>3</v>
      </c>
      <c r="B38" s="1277" t="s">
        <v>3342</v>
      </c>
      <c r="C38" s="1408">
        <v>1</v>
      </c>
      <c r="D38" s="1408">
        <v>1</v>
      </c>
      <c r="E38" s="1408"/>
      <c r="F38" s="1408"/>
      <c r="G38" s="1408">
        <v>22</v>
      </c>
      <c r="H38" s="1408">
        <v>17</v>
      </c>
      <c r="I38" s="1408">
        <v>1</v>
      </c>
      <c r="J38" s="1408">
        <v>1</v>
      </c>
      <c r="K38" s="1408"/>
      <c r="L38" s="1408"/>
      <c r="M38" s="1408">
        <v>14</v>
      </c>
      <c r="N38" s="1408">
        <v>11</v>
      </c>
      <c r="O38" s="1408"/>
      <c r="P38" s="1408">
        <f t="shared" si="10"/>
        <v>3</v>
      </c>
      <c r="Q38" s="1408"/>
      <c r="R38" s="1408">
        <f>11+(3*8)</f>
        <v>35</v>
      </c>
      <c r="S38" s="1414">
        <v>1522.49541</v>
      </c>
      <c r="T38" s="1409">
        <v>1034.1792</v>
      </c>
      <c r="U38" s="1409">
        <v>429.12</v>
      </c>
      <c r="V38" s="1409">
        <v>59.196210000000001</v>
      </c>
      <c r="W38" s="1414"/>
    </row>
    <row r="39" spans="1:23" ht="15.75">
      <c r="A39" s="1280">
        <v>4</v>
      </c>
      <c r="B39" s="1278" t="s">
        <v>3343</v>
      </c>
      <c r="C39" s="1408">
        <v>1</v>
      </c>
      <c r="D39" s="1408">
        <v>1</v>
      </c>
      <c r="E39" s="1408"/>
      <c r="F39" s="1408"/>
      <c r="G39" s="1408">
        <v>22</v>
      </c>
      <c r="H39" s="1408">
        <v>17</v>
      </c>
      <c r="I39" s="1408">
        <v>1</v>
      </c>
      <c r="J39" s="1408">
        <v>1</v>
      </c>
      <c r="K39" s="1408"/>
      <c r="L39" s="1408"/>
      <c r="M39" s="1408">
        <v>14</v>
      </c>
      <c r="N39" s="1408">
        <v>11</v>
      </c>
      <c r="O39" s="1408"/>
      <c r="P39" s="1408">
        <f t="shared" si="10"/>
        <v>3</v>
      </c>
      <c r="Q39" s="1408"/>
      <c r="R39" s="1408">
        <f>11+(3*6)</f>
        <v>29</v>
      </c>
      <c r="S39" s="1414">
        <v>1309.00821</v>
      </c>
      <c r="T39" s="1409">
        <v>929.58119999999997</v>
      </c>
      <c r="U39" s="1409">
        <v>321.83999999999997</v>
      </c>
      <c r="V39" s="1409">
        <v>57.587009999999999</v>
      </c>
      <c r="W39" s="1414"/>
    </row>
    <row r="40" spans="1:23" ht="15.75">
      <c r="A40" s="1280">
        <v>5</v>
      </c>
      <c r="B40" s="1277" t="s">
        <v>3344</v>
      </c>
      <c r="C40" s="1408">
        <v>1</v>
      </c>
      <c r="D40" s="1408">
        <v>1</v>
      </c>
      <c r="E40" s="1408"/>
      <c r="F40" s="1408"/>
      <c r="G40" s="1408">
        <v>22</v>
      </c>
      <c r="H40" s="1408">
        <v>17</v>
      </c>
      <c r="I40" s="1408">
        <v>1</v>
      </c>
      <c r="J40" s="1408">
        <v>1</v>
      </c>
      <c r="K40" s="1408"/>
      <c r="L40" s="1408"/>
      <c r="M40" s="1408">
        <v>14</v>
      </c>
      <c r="N40" s="1408">
        <v>11</v>
      </c>
      <c r="O40" s="1408"/>
      <c r="P40" s="1408">
        <f t="shared" si="10"/>
        <v>3</v>
      </c>
      <c r="Q40" s="1408"/>
      <c r="R40" s="1408">
        <f>11+(3*7)</f>
        <v>32</v>
      </c>
      <c r="S40" s="1414">
        <v>1532.5663199999999</v>
      </c>
      <c r="T40" s="1409">
        <v>1093.8984</v>
      </c>
      <c r="U40" s="1409">
        <v>375.48</v>
      </c>
      <c r="V40" s="1409">
        <v>63.187919999999998</v>
      </c>
      <c r="W40" s="1414"/>
    </row>
    <row r="41" spans="1:23" ht="15.75">
      <c r="A41" s="1280">
        <v>6</v>
      </c>
      <c r="B41" s="1278" t="s">
        <v>3345</v>
      </c>
      <c r="C41" s="1408">
        <v>1</v>
      </c>
      <c r="D41" s="1408">
        <v>1</v>
      </c>
      <c r="E41" s="1408"/>
      <c r="F41" s="1408"/>
      <c r="G41" s="1408">
        <v>22</v>
      </c>
      <c r="H41" s="1408">
        <v>17</v>
      </c>
      <c r="I41" s="1408">
        <v>1</v>
      </c>
      <c r="J41" s="1408">
        <v>1</v>
      </c>
      <c r="K41" s="1408"/>
      <c r="L41" s="1408"/>
      <c r="M41" s="1408">
        <v>14</v>
      </c>
      <c r="N41" s="1408">
        <v>11</v>
      </c>
      <c r="O41" s="1408"/>
      <c r="P41" s="1408">
        <f t="shared" si="10"/>
        <v>3</v>
      </c>
      <c r="Q41" s="1408"/>
      <c r="R41" s="1408">
        <f>11+(3*7)</f>
        <v>32</v>
      </c>
      <c r="S41" s="1414">
        <v>1394.20641</v>
      </c>
      <c r="T41" s="1409">
        <v>960.33479999999997</v>
      </c>
      <c r="U41" s="1409">
        <v>375.48</v>
      </c>
      <c r="V41" s="1409">
        <v>58.39161</v>
      </c>
      <c r="W41" s="1414"/>
    </row>
    <row r="42" spans="1:23" ht="15.75">
      <c r="A42" s="1280">
        <v>7</v>
      </c>
      <c r="B42" s="1277" t="s">
        <v>3346</v>
      </c>
      <c r="C42" s="1408">
        <v>1</v>
      </c>
      <c r="D42" s="1408">
        <v>1</v>
      </c>
      <c r="E42" s="1408"/>
      <c r="F42" s="1408"/>
      <c r="G42" s="1408">
        <v>22</v>
      </c>
      <c r="H42" s="1408">
        <v>17</v>
      </c>
      <c r="I42" s="1408">
        <v>1</v>
      </c>
      <c r="J42" s="1408">
        <v>1</v>
      </c>
      <c r="K42" s="1408"/>
      <c r="L42" s="1408"/>
      <c r="M42" s="1408">
        <v>14</v>
      </c>
      <c r="N42" s="1408">
        <v>11</v>
      </c>
      <c r="O42" s="1408"/>
      <c r="P42" s="1408">
        <f t="shared" si="10"/>
        <v>3</v>
      </c>
      <c r="Q42" s="1408"/>
      <c r="R42" s="1408">
        <f>11+(3*6)</f>
        <v>29</v>
      </c>
      <c r="S42" s="1414">
        <v>1372.80852</v>
      </c>
      <c r="T42" s="1409">
        <v>988.58519999999999</v>
      </c>
      <c r="U42" s="1409">
        <v>321.83999999999997</v>
      </c>
      <c r="V42" s="1409">
        <v>62.383319999999998</v>
      </c>
      <c r="W42" s="1414"/>
    </row>
    <row r="43" spans="1:23" ht="15.75">
      <c r="A43" s="1280">
        <v>8</v>
      </c>
      <c r="B43" s="1278" t="s">
        <v>3347</v>
      </c>
      <c r="C43" s="1408">
        <v>1</v>
      </c>
      <c r="D43" s="1408">
        <v>1</v>
      </c>
      <c r="E43" s="1408"/>
      <c r="F43" s="1408"/>
      <c r="G43" s="1408">
        <v>22</v>
      </c>
      <c r="H43" s="1408">
        <v>17</v>
      </c>
      <c r="I43" s="1408">
        <v>1</v>
      </c>
      <c r="J43" s="1408">
        <v>1</v>
      </c>
      <c r="K43" s="1408"/>
      <c r="L43" s="1408"/>
      <c r="M43" s="1408">
        <v>14</v>
      </c>
      <c r="N43" s="1408">
        <v>11</v>
      </c>
      <c r="O43" s="1408"/>
      <c r="P43" s="1408">
        <f t="shared" si="10"/>
        <v>3</v>
      </c>
      <c r="Q43" s="1408"/>
      <c r="R43" s="1408">
        <f>11+(3*6)</f>
        <v>29</v>
      </c>
      <c r="S43" s="1414">
        <v>1246.07061</v>
      </c>
      <c r="T43" s="1409">
        <v>866.64359999999999</v>
      </c>
      <c r="U43" s="1409">
        <v>321.83999999999997</v>
      </c>
      <c r="V43" s="1409">
        <v>57.587009999999999</v>
      </c>
      <c r="W43" s="1414"/>
    </row>
    <row r="44" spans="1:23" ht="15.75">
      <c r="A44" s="1280">
        <v>9</v>
      </c>
      <c r="B44" s="1277" t="s">
        <v>3348</v>
      </c>
      <c r="C44" s="1408">
        <v>1</v>
      </c>
      <c r="D44" s="1408">
        <v>1</v>
      </c>
      <c r="E44" s="1408"/>
      <c r="F44" s="1408"/>
      <c r="G44" s="1408">
        <v>22</v>
      </c>
      <c r="H44" s="1408">
        <v>17</v>
      </c>
      <c r="I44" s="1408">
        <v>1</v>
      </c>
      <c r="J44" s="1408">
        <v>1</v>
      </c>
      <c r="K44" s="1408"/>
      <c r="L44" s="1408"/>
      <c r="M44" s="1408">
        <v>14</v>
      </c>
      <c r="N44" s="1408">
        <v>11</v>
      </c>
      <c r="O44" s="1408"/>
      <c r="P44" s="1408">
        <f>M44-N44</f>
        <v>3</v>
      </c>
      <c r="Q44" s="1408"/>
      <c r="R44" s="1408">
        <f>11+(3*7)</f>
        <v>32</v>
      </c>
      <c r="S44" s="1414">
        <v>1408.5104100000001</v>
      </c>
      <c r="T44" s="1409">
        <v>974.63879999999995</v>
      </c>
      <c r="U44" s="1409">
        <v>375.48</v>
      </c>
      <c r="V44" s="1409">
        <v>58.39161</v>
      </c>
      <c r="W44" s="1414"/>
    </row>
    <row r="45" spans="1:23" ht="15.75">
      <c r="A45" s="1280">
        <v>10</v>
      </c>
      <c r="B45" s="1278" t="s">
        <v>3349</v>
      </c>
      <c r="C45" s="1408">
        <v>1</v>
      </c>
      <c r="D45" s="1408">
        <v>1</v>
      </c>
      <c r="E45" s="1408"/>
      <c r="F45" s="1408"/>
      <c r="G45" s="1408">
        <v>22</v>
      </c>
      <c r="H45" s="1408">
        <v>17</v>
      </c>
      <c r="I45" s="1408">
        <v>1</v>
      </c>
      <c r="J45" s="1408">
        <v>1</v>
      </c>
      <c r="K45" s="1408"/>
      <c r="L45" s="1408"/>
      <c r="M45" s="1408">
        <v>14</v>
      </c>
      <c r="N45" s="1408">
        <v>11</v>
      </c>
      <c r="O45" s="1408"/>
      <c r="P45" s="1408">
        <f t="shared" si="10"/>
        <v>3</v>
      </c>
      <c r="Q45" s="1408"/>
      <c r="R45" s="1408">
        <f>11+(3*5)</f>
        <v>26</v>
      </c>
      <c r="S45" s="1414">
        <v>1209.5060100000001</v>
      </c>
      <c r="T45" s="1409">
        <v>884.52359999999999</v>
      </c>
      <c r="U45" s="1409">
        <v>268.2</v>
      </c>
      <c r="V45" s="1409">
        <v>56.782409999999999</v>
      </c>
      <c r="W45" s="1414"/>
    </row>
    <row r="46" spans="1:23" ht="15.75">
      <c r="A46" s="1280">
        <v>11</v>
      </c>
      <c r="B46" s="1277" t="s">
        <v>3350</v>
      </c>
      <c r="C46" s="1410">
        <v>1</v>
      </c>
      <c r="D46" s="1410"/>
      <c r="E46" s="1410">
        <v>1</v>
      </c>
      <c r="F46" s="1410"/>
      <c r="G46" s="1410">
        <v>20</v>
      </c>
      <c r="H46" s="1410">
        <v>17</v>
      </c>
      <c r="I46" s="1410">
        <v>1</v>
      </c>
      <c r="J46" s="1410"/>
      <c r="K46" s="1410">
        <v>1</v>
      </c>
      <c r="L46" s="1410"/>
      <c r="M46" s="1410">
        <v>12</v>
      </c>
      <c r="N46" s="1410">
        <v>11</v>
      </c>
      <c r="O46" s="1410"/>
      <c r="P46" s="1410">
        <f t="shared" si="10"/>
        <v>1</v>
      </c>
      <c r="Q46" s="1410"/>
      <c r="R46" s="1410">
        <f>11+(3*4)</f>
        <v>23</v>
      </c>
      <c r="S46" s="1415">
        <v>1007.419992</v>
      </c>
      <c r="T46" s="1411">
        <v>744.52319999999997</v>
      </c>
      <c r="U46" s="1411">
        <v>214.56</v>
      </c>
      <c r="V46" s="1411">
        <v>48.336792000000003</v>
      </c>
      <c r="W46" s="1415"/>
    </row>
    <row r="47" spans="1:23" s="1049" customFormat="1">
      <c r="A47" s="1378" t="s">
        <v>18</v>
      </c>
      <c r="B47" s="1379" t="s">
        <v>37</v>
      </c>
      <c r="C47" s="1412">
        <f>SUM(C48:C58)</f>
        <v>11</v>
      </c>
      <c r="D47" s="1412">
        <f t="shared" ref="D47:W47" si="11">SUM(D48:D58)</f>
        <v>5</v>
      </c>
      <c r="E47" s="1412">
        <f t="shared" si="11"/>
        <v>6</v>
      </c>
      <c r="F47" s="1412">
        <f t="shared" si="11"/>
        <v>0</v>
      </c>
      <c r="G47" s="1412">
        <f t="shared" si="11"/>
        <v>187</v>
      </c>
      <c r="H47" s="1412">
        <f t="shared" si="11"/>
        <v>187</v>
      </c>
      <c r="I47" s="1412">
        <f t="shared" si="11"/>
        <v>11</v>
      </c>
      <c r="J47" s="1412">
        <f t="shared" si="11"/>
        <v>5</v>
      </c>
      <c r="K47" s="1412">
        <f t="shared" si="11"/>
        <v>6</v>
      </c>
      <c r="L47" s="1412">
        <f t="shared" si="11"/>
        <v>0</v>
      </c>
      <c r="M47" s="1412">
        <f t="shared" si="11"/>
        <v>121</v>
      </c>
      <c r="N47" s="1412">
        <f t="shared" si="11"/>
        <v>121</v>
      </c>
      <c r="O47" s="1412">
        <f t="shared" si="11"/>
        <v>0</v>
      </c>
      <c r="P47" s="1412">
        <f t="shared" si="11"/>
        <v>66</v>
      </c>
      <c r="Q47" s="1412">
        <f t="shared" si="11"/>
        <v>0</v>
      </c>
      <c r="R47" s="1412">
        <f t="shared" si="11"/>
        <v>121</v>
      </c>
      <c r="S47" s="1413">
        <f t="shared" si="11"/>
        <v>7881.4146000000001</v>
      </c>
      <c r="T47" s="1413">
        <f t="shared" si="11"/>
        <v>2889.2292000000002</v>
      </c>
      <c r="U47" s="1413">
        <f t="shared" si="11"/>
        <v>4291.2000000000007</v>
      </c>
      <c r="V47" s="1413">
        <f t="shared" si="11"/>
        <v>700.98540000000003</v>
      </c>
      <c r="W47" s="1413">
        <f t="shared" si="11"/>
        <v>0</v>
      </c>
    </row>
    <row r="48" spans="1:23" ht="17.25">
      <c r="A48" s="1728">
        <v>1</v>
      </c>
      <c r="B48" s="1729" t="s">
        <v>3351</v>
      </c>
      <c r="C48" s="1730">
        <v>1</v>
      </c>
      <c r="D48" s="1730"/>
      <c r="E48" s="1730">
        <v>1</v>
      </c>
      <c r="F48" s="1730"/>
      <c r="G48" s="1730">
        <v>17</v>
      </c>
      <c r="H48" s="1730">
        <v>17</v>
      </c>
      <c r="I48" s="1730">
        <v>1</v>
      </c>
      <c r="J48" s="1730"/>
      <c r="K48" s="1730">
        <v>1</v>
      </c>
      <c r="L48" s="1730"/>
      <c r="M48" s="1730">
        <v>11</v>
      </c>
      <c r="N48" s="1730">
        <v>11</v>
      </c>
      <c r="O48" s="1730"/>
      <c r="P48" s="1730">
        <f>H48-N48</f>
        <v>6</v>
      </c>
      <c r="Q48" s="1730"/>
      <c r="R48" s="1731">
        <v>11</v>
      </c>
      <c r="S48" s="1732">
        <f>SUM(T48:V48)</f>
        <v>568.49459999999999</v>
      </c>
      <c r="T48" s="1732">
        <f>N48*1.24*1.49*12</f>
        <v>243.88319999999999</v>
      </c>
      <c r="U48" s="1732">
        <f>3*1.49*12*5</f>
        <v>268.2</v>
      </c>
      <c r="V48" s="1732">
        <v>56.4114</v>
      </c>
      <c r="W48" s="1732"/>
    </row>
    <row r="49" spans="1:23" ht="17.25">
      <c r="A49" s="1728">
        <v>2</v>
      </c>
      <c r="B49" s="1729" t="s">
        <v>3352</v>
      </c>
      <c r="C49" s="1730">
        <v>1</v>
      </c>
      <c r="D49" s="1730"/>
      <c r="E49" s="1730">
        <v>1</v>
      </c>
      <c r="F49" s="1730"/>
      <c r="G49" s="1730">
        <v>17</v>
      </c>
      <c r="H49" s="1730">
        <v>17</v>
      </c>
      <c r="I49" s="1730">
        <v>1</v>
      </c>
      <c r="J49" s="1730"/>
      <c r="K49" s="1730">
        <v>1</v>
      </c>
      <c r="L49" s="1730"/>
      <c r="M49" s="1730">
        <v>11</v>
      </c>
      <c r="N49" s="1730">
        <v>11</v>
      </c>
      <c r="O49" s="1730"/>
      <c r="P49" s="1730">
        <f t="shared" ref="P49:P58" si="12">H49-N49</f>
        <v>6</v>
      </c>
      <c r="Q49" s="1730"/>
      <c r="R49" s="1731">
        <v>11</v>
      </c>
      <c r="S49" s="1732">
        <f t="shared" ref="S49:S58" si="13">SUM(T49:V49)</f>
        <v>625.35300000000007</v>
      </c>
      <c r="T49" s="1732">
        <f>N49*1.24*1.49*12</f>
        <v>243.88319999999999</v>
      </c>
      <c r="U49" s="1732">
        <f>3*1.49*12*6</f>
        <v>321.84000000000003</v>
      </c>
      <c r="V49" s="1732">
        <v>59.629800000000003</v>
      </c>
      <c r="W49" s="1732"/>
    </row>
    <row r="50" spans="1:23" ht="17.25">
      <c r="A50" s="1728">
        <v>3</v>
      </c>
      <c r="B50" s="1729" t="s">
        <v>3148</v>
      </c>
      <c r="C50" s="1730">
        <v>1</v>
      </c>
      <c r="D50" s="1730">
        <v>1</v>
      </c>
      <c r="E50" s="1730"/>
      <c r="F50" s="1730"/>
      <c r="G50" s="1730">
        <v>17</v>
      </c>
      <c r="H50" s="1730">
        <v>17</v>
      </c>
      <c r="I50" s="1730">
        <v>1</v>
      </c>
      <c r="J50" s="1730">
        <v>1</v>
      </c>
      <c r="K50" s="1730"/>
      <c r="L50" s="1730"/>
      <c r="M50" s="1730">
        <v>11</v>
      </c>
      <c r="N50" s="1730">
        <v>11</v>
      </c>
      <c r="O50" s="1730"/>
      <c r="P50" s="1730">
        <f t="shared" si="12"/>
        <v>6</v>
      </c>
      <c r="Q50" s="1730"/>
      <c r="R50" s="1731">
        <v>11</v>
      </c>
      <c r="S50" s="1732">
        <f t="shared" si="13"/>
        <v>780.37260000000003</v>
      </c>
      <c r="T50" s="1732">
        <f>N50*1.45*1.49*12</f>
        <v>285.18599999999998</v>
      </c>
      <c r="U50" s="1732">
        <f>3*1.49*12*8</f>
        <v>429.12</v>
      </c>
      <c r="V50" s="1732">
        <v>66.066599999999994</v>
      </c>
      <c r="W50" s="1732"/>
    </row>
    <row r="51" spans="1:23" ht="17.25">
      <c r="A51" s="1728">
        <v>4</v>
      </c>
      <c r="B51" s="1729" t="s">
        <v>3146</v>
      </c>
      <c r="C51" s="1730">
        <v>1</v>
      </c>
      <c r="D51" s="1730">
        <v>1</v>
      </c>
      <c r="E51" s="1730"/>
      <c r="F51" s="1730"/>
      <c r="G51" s="1730">
        <v>17</v>
      </c>
      <c r="H51" s="1730">
        <v>17</v>
      </c>
      <c r="I51" s="1730">
        <v>1</v>
      </c>
      <c r="J51" s="1730">
        <v>1</v>
      </c>
      <c r="K51" s="1730"/>
      <c r="L51" s="1730"/>
      <c r="M51" s="1730">
        <v>11</v>
      </c>
      <c r="N51" s="1730">
        <v>11</v>
      </c>
      <c r="O51" s="1730"/>
      <c r="P51" s="1730">
        <f t="shared" si="12"/>
        <v>6</v>
      </c>
      <c r="Q51" s="1730"/>
      <c r="R51" s="1731">
        <v>11</v>
      </c>
      <c r="S51" s="1732">
        <f t="shared" si="13"/>
        <v>723.51419999999996</v>
      </c>
      <c r="T51" s="1732">
        <f t="shared" ref="T51:T52" si="14">N51*1.45*1.49*12</f>
        <v>285.18599999999998</v>
      </c>
      <c r="U51" s="1732">
        <f>3*1.49*12*7</f>
        <v>375.48</v>
      </c>
      <c r="V51" s="1732">
        <v>62.848200000000006</v>
      </c>
      <c r="W51" s="1732"/>
    </row>
    <row r="52" spans="1:23" ht="17.25">
      <c r="A52" s="1728">
        <v>5</v>
      </c>
      <c r="B52" s="1729" t="s">
        <v>3147</v>
      </c>
      <c r="C52" s="1730">
        <v>1</v>
      </c>
      <c r="D52" s="1730">
        <v>1</v>
      </c>
      <c r="E52" s="1730"/>
      <c r="F52" s="1730"/>
      <c r="G52" s="1730">
        <v>17</v>
      </c>
      <c r="H52" s="1730">
        <v>17</v>
      </c>
      <c r="I52" s="1730">
        <v>1</v>
      </c>
      <c r="J52" s="1730">
        <v>1</v>
      </c>
      <c r="K52" s="1730"/>
      <c r="L52" s="1730"/>
      <c r="M52" s="1730">
        <v>11</v>
      </c>
      <c r="N52" s="1730">
        <v>11</v>
      </c>
      <c r="O52" s="1730"/>
      <c r="P52" s="1730">
        <f t="shared" si="12"/>
        <v>6</v>
      </c>
      <c r="Q52" s="1730"/>
      <c r="R52" s="1731">
        <v>11</v>
      </c>
      <c r="S52" s="1732">
        <f t="shared" si="13"/>
        <v>666.65580000000011</v>
      </c>
      <c r="T52" s="1732">
        <f t="shared" si="14"/>
        <v>285.18599999999998</v>
      </c>
      <c r="U52" s="1732">
        <f>3*1.49*12*6</f>
        <v>321.84000000000003</v>
      </c>
      <c r="V52" s="1732">
        <v>59.629800000000003</v>
      </c>
      <c r="W52" s="1732"/>
    </row>
    <row r="53" spans="1:23" ht="17.25">
      <c r="A53" s="1728">
        <v>6</v>
      </c>
      <c r="B53" s="1729" t="s">
        <v>3151</v>
      </c>
      <c r="C53" s="1730">
        <v>1</v>
      </c>
      <c r="D53" s="1730"/>
      <c r="E53" s="1730">
        <v>1</v>
      </c>
      <c r="F53" s="1730"/>
      <c r="G53" s="1730">
        <v>17</v>
      </c>
      <c r="H53" s="1730">
        <v>17</v>
      </c>
      <c r="I53" s="1730">
        <v>1</v>
      </c>
      <c r="J53" s="1730"/>
      <c r="K53" s="1730">
        <v>1</v>
      </c>
      <c r="L53" s="1730"/>
      <c r="M53" s="1730">
        <v>11</v>
      </c>
      <c r="N53" s="1730">
        <v>11</v>
      </c>
      <c r="O53" s="1730"/>
      <c r="P53" s="1730">
        <f t="shared" si="12"/>
        <v>6</v>
      </c>
      <c r="Q53" s="1730"/>
      <c r="R53" s="1731">
        <v>11</v>
      </c>
      <c r="S53" s="1732">
        <f t="shared" si="13"/>
        <v>739.06979999999999</v>
      </c>
      <c r="T53" s="1732">
        <f>N53*1.24*1.49*12</f>
        <v>243.88319999999999</v>
      </c>
      <c r="U53" s="1732">
        <f>3*1.49*12*8</f>
        <v>429.12</v>
      </c>
      <c r="V53" s="1732">
        <v>66.066599999999994</v>
      </c>
      <c r="W53" s="1732"/>
    </row>
    <row r="54" spans="1:23" ht="17.25">
      <c r="A54" s="1728">
        <v>7</v>
      </c>
      <c r="B54" s="1729" t="s">
        <v>3150</v>
      </c>
      <c r="C54" s="1730">
        <v>1</v>
      </c>
      <c r="D54" s="1730"/>
      <c r="E54" s="1730">
        <v>1</v>
      </c>
      <c r="F54" s="1730"/>
      <c r="G54" s="1730">
        <v>17</v>
      </c>
      <c r="H54" s="1730">
        <v>17</v>
      </c>
      <c r="I54" s="1730">
        <v>1</v>
      </c>
      <c r="J54" s="1730"/>
      <c r="K54" s="1730">
        <v>1</v>
      </c>
      <c r="L54" s="1730"/>
      <c r="M54" s="1730">
        <v>11</v>
      </c>
      <c r="N54" s="1730">
        <v>11</v>
      </c>
      <c r="O54" s="1730"/>
      <c r="P54" s="1730">
        <f t="shared" si="12"/>
        <v>6</v>
      </c>
      <c r="Q54" s="1730"/>
      <c r="R54" s="1731">
        <v>11</v>
      </c>
      <c r="S54" s="1732">
        <f t="shared" si="13"/>
        <v>682.21140000000003</v>
      </c>
      <c r="T54" s="1732">
        <f t="shared" ref="T54:T57" si="15">N54*1.24*1.49*12</f>
        <v>243.88319999999999</v>
      </c>
      <c r="U54" s="1732">
        <f>3*1.49*12*7</f>
        <v>375.48</v>
      </c>
      <c r="V54" s="1732">
        <v>62.848200000000006</v>
      </c>
      <c r="W54" s="1732"/>
    </row>
    <row r="55" spans="1:23" ht="17.25">
      <c r="A55" s="1728">
        <v>8</v>
      </c>
      <c r="B55" s="1729" t="s">
        <v>3154</v>
      </c>
      <c r="C55" s="1730">
        <v>1</v>
      </c>
      <c r="D55" s="1730"/>
      <c r="E55" s="1730">
        <v>1</v>
      </c>
      <c r="F55" s="1730"/>
      <c r="G55" s="1730">
        <v>17</v>
      </c>
      <c r="H55" s="1730">
        <v>17</v>
      </c>
      <c r="I55" s="1730">
        <v>1</v>
      </c>
      <c r="J55" s="1730"/>
      <c r="K55" s="1730">
        <v>1</v>
      </c>
      <c r="L55" s="1730"/>
      <c r="M55" s="1730">
        <v>11</v>
      </c>
      <c r="N55" s="1730">
        <v>11</v>
      </c>
      <c r="O55" s="1730"/>
      <c r="P55" s="1730">
        <f t="shared" si="12"/>
        <v>6</v>
      </c>
      <c r="Q55" s="1730"/>
      <c r="R55" s="1731">
        <v>11</v>
      </c>
      <c r="S55" s="1732">
        <f t="shared" si="13"/>
        <v>795.92819999999995</v>
      </c>
      <c r="T55" s="1732">
        <f t="shared" si="15"/>
        <v>243.88319999999999</v>
      </c>
      <c r="U55" s="1732">
        <f>3*1.49*12*9</f>
        <v>482.76</v>
      </c>
      <c r="V55" s="1732">
        <v>69.284999999999997</v>
      </c>
      <c r="W55" s="1732"/>
    </row>
    <row r="56" spans="1:23" ht="17.25">
      <c r="A56" s="1728">
        <v>9</v>
      </c>
      <c r="B56" s="1729" t="s">
        <v>3149</v>
      </c>
      <c r="C56" s="1730">
        <v>1</v>
      </c>
      <c r="D56" s="1730">
        <v>1</v>
      </c>
      <c r="E56" s="1730"/>
      <c r="F56" s="1730"/>
      <c r="G56" s="1730">
        <v>17</v>
      </c>
      <c r="H56" s="1730">
        <v>17</v>
      </c>
      <c r="I56" s="1730">
        <v>1</v>
      </c>
      <c r="J56" s="1730">
        <v>1</v>
      </c>
      <c r="K56" s="1730"/>
      <c r="L56" s="1730"/>
      <c r="M56" s="1730">
        <v>11</v>
      </c>
      <c r="N56" s="1730">
        <v>11</v>
      </c>
      <c r="O56" s="1730"/>
      <c r="P56" s="1730">
        <f t="shared" si="12"/>
        <v>6</v>
      </c>
      <c r="Q56" s="1730"/>
      <c r="R56" s="1731">
        <v>11</v>
      </c>
      <c r="S56" s="1732">
        <f t="shared" si="13"/>
        <v>837.23099999999988</v>
      </c>
      <c r="T56" s="1732">
        <f>N56*1.45*1.49*12</f>
        <v>285.18599999999998</v>
      </c>
      <c r="U56" s="1732">
        <f>3*1.49*12*9</f>
        <v>482.76</v>
      </c>
      <c r="V56" s="1732">
        <v>69.284999999999997</v>
      </c>
      <c r="W56" s="1732"/>
    </row>
    <row r="57" spans="1:23" ht="17.25">
      <c r="A57" s="1728">
        <v>10</v>
      </c>
      <c r="B57" s="1729" t="s">
        <v>3152</v>
      </c>
      <c r="C57" s="1730">
        <v>1</v>
      </c>
      <c r="D57" s="1730"/>
      <c r="E57" s="1730">
        <v>1</v>
      </c>
      <c r="F57" s="1730"/>
      <c r="G57" s="1730">
        <v>17</v>
      </c>
      <c r="H57" s="1730">
        <v>17</v>
      </c>
      <c r="I57" s="1730">
        <v>1</v>
      </c>
      <c r="J57" s="1730"/>
      <c r="K57" s="1730">
        <v>1</v>
      </c>
      <c r="L57" s="1730"/>
      <c r="M57" s="1730">
        <v>11</v>
      </c>
      <c r="N57" s="1730">
        <v>11</v>
      </c>
      <c r="O57" s="1730"/>
      <c r="P57" s="1730">
        <f t="shared" si="12"/>
        <v>6</v>
      </c>
      <c r="Q57" s="1730"/>
      <c r="R57" s="1731">
        <v>11</v>
      </c>
      <c r="S57" s="1732">
        <f t="shared" si="13"/>
        <v>682.21140000000003</v>
      </c>
      <c r="T57" s="1732">
        <f t="shared" si="15"/>
        <v>243.88319999999999</v>
      </c>
      <c r="U57" s="1732">
        <f>3*1.49*12*7</f>
        <v>375.48</v>
      </c>
      <c r="V57" s="1732">
        <v>62.848200000000006</v>
      </c>
      <c r="W57" s="1732"/>
    </row>
    <row r="58" spans="1:23" ht="17.25">
      <c r="A58" s="1728">
        <v>11</v>
      </c>
      <c r="B58" s="1729" t="s">
        <v>3153</v>
      </c>
      <c r="C58" s="1730">
        <v>1</v>
      </c>
      <c r="D58" s="1730">
        <v>1</v>
      </c>
      <c r="E58" s="1730"/>
      <c r="F58" s="1730"/>
      <c r="G58" s="1730">
        <v>17</v>
      </c>
      <c r="H58" s="1730">
        <v>17</v>
      </c>
      <c r="I58" s="1730">
        <v>1</v>
      </c>
      <c r="J58" s="1730">
        <v>1</v>
      </c>
      <c r="K58" s="1730"/>
      <c r="L58" s="1730"/>
      <c r="M58" s="1730">
        <v>11</v>
      </c>
      <c r="N58" s="1730">
        <v>11</v>
      </c>
      <c r="O58" s="1730"/>
      <c r="P58" s="1730">
        <f t="shared" si="12"/>
        <v>6</v>
      </c>
      <c r="Q58" s="1730"/>
      <c r="R58" s="1731">
        <v>11</v>
      </c>
      <c r="S58" s="1732">
        <f t="shared" si="13"/>
        <v>780.37260000000003</v>
      </c>
      <c r="T58" s="1732">
        <f>N58*1.45*1.49*12</f>
        <v>285.18599999999998</v>
      </c>
      <c r="U58" s="1732">
        <f>3*1.49*12*8</f>
        <v>429.12</v>
      </c>
      <c r="V58" s="1732">
        <v>66.066599999999994</v>
      </c>
      <c r="W58" s="1732"/>
    </row>
    <row r="59" spans="1:23" s="1049" customFormat="1">
      <c r="A59" s="1378" t="s">
        <v>867</v>
      </c>
      <c r="B59" s="1379" t="s">
        <v>35</v>
      </c>
      <c r="C59" s="1412"/>
      <c r="D59" s="1412"/>
      <c r="E59" s="1412"/>
      <c r="F59" s="1412"/>
      <c r="G59" s="1412"/>
      <c r="H59" s="1412"/>
      <c r="I59" s="1412"/>
      <c r="J59" s="1412"/>
      <c r="K59" s="1412"/>
      <c r="L59" s="1412"/>
      <c r="M59" s="1412"/>
      <c r="N59" s="1412"/>
      <c r="O59" s="1412"/>
      <c r="P59" s="1412"/>
      <c r="Q59" s="1412"/>
      <c r="R59" s="1412"/>
      <c r="S59" s="1773"/>
      <c r="T59" s="1773"/>
      <c r="U59" s="1773"/>
      <c r="V59" s="1773"/>
      <c r="W59" s="1773"/>
    </row>
    <row r="60" spans="1:23">
      <c r="A60" s="1280">
        <v>1</v>
      </c>
      <c r="B60" s="1277" t="s">
        <v>3353</v>
      </c>
      <c r="C60" s="1301"/>
      <c r="D60" s="1301"/>
      <c r="E60" s="1301"/>
      <c r="F60" s="1301"/>
      <c r="G60" s="1301"/>
      <c r="H60" s="1301"/>
      <c r="I60" s="1301"/>
      <c r="J60" s="1301"/>
      <c r="K60" s="1301"/>
      <c r="L60" s="1301"/>
      <c r="M60" s="1301"/>
      <c r="N60" s="1301"/>
      <c r="O60" s="1301"/>
      <c r="P60" s="1301"/>
      <c r="Q60" s="1301"/>
      <c r="R60" s="1299"/>
      <c r="S60" s="1300"/>
      <c r="T60" s="1300"/>
      <c r="U60" s="1300"/>
      <c r="V60" s="1300"/>
      <c r="W60" s="1300"/>
    </row>
    <row r="61" spans="1:23">
      <c r="A61" s="1280">
        <v>2</v>
      </c>
      <c r="B61" s="1278" t="s">
        <v>3354</v>
      </c>
      <c r="C61" s="1301"/>
      <c r="D61" s="1301"/>
      <c r="E61" s="1301"/>
      <c r="F61" s="1301"/>
      <c r="G61" s="1301"/>
      <c r="H61" s="1301"/>
      <c r="I61" s="1301"/>
      <c r="J61" s="1301"/>
      <c r="K61" s="1301"/>
      <c r="L61" s="1301"/>
      <c r="M61" s="1301"/>
      <c r="N61" s="1301"/>
      <c r="O61" s="1301"/>
      <c r="P61" s="1301"/>
      <c r="Q61" s="1301"/>
      <c r="R61" s="1299"/>
      <c r="S61" s="1300"/>
      <c r="T61" s="1300"/>
      <c r="U61" s="1300"/>
      <c r="V61" s="1300"/>
      <c r="W61" s="1300"/>
    </row>
    <row r="62" spans="1:23">
      <c r="A62" s="1280">
        <v>3</v>
      </c>
      <c r="B62" s="1277" t="s">
        <v>3355</v>
      </c>
      <c r="C62" s="1301"/>
      <c r="D62" s="1301"/>
      <c r="E62" s="1301"/>
      <c r="F62" s="1301"/>
      <c r="G62" s="1301"/>
      <c r="H62" s="1301"/>
      <c r="I62" s="1301"/>
      <c r="J62" s="1301"/>
      <c r="K62" s="1301"/>
      <c r="L62" s="1301"/>
      <c r="M62" s="1301"/>
      <c r="N62" s="1301"/>
      <c r="O62" s="1301"/>
      <c r="P62" s="1301"/>
      <c r="Q62" s="1301"/>
      <c r="R62" s="1299"/>
      <c r="S62" s="1300"/>
      <c r="T62" s="1300"/>
      <c r="U62" s="1300"/>
      <c r="V62" s="1300"/>
      <c r="W62" s="1300"/>
    </row>
    <row r="63" spans="1:23">
      <c r="A63" s="1280">
        <v>4</v>
      </c>
      <c r="B63" s="1278" t="s">
        <v>3356</v>
      </c>
      <c r="C63" s="1301"/>
      <c r="D63" s="1301"/>
      <c r="E63" s="1301"/>
      <c r="F63" s="1301"/>
      <c r="G63" s="1301"/>
      <c r="H63" s="1301"/>
      <c r="I63" s="1301"/>
      <c r="J63" s="1301"/>
      <c r="K63" s="1301"/>
      <c r="L63" s="1301"/>
      <c r="M63" s="1301"/>
      <c r="N63" s="1301"/>
      <c r="O63" s="1301"/>
      <c r="P63" s="1301"/>
      <c r="Q63" s="1301"/>
      <c r="R63" s="1299"/>
      <c r="S63" s="1300"/>
      <c r="T63" s="1300"/>
      <c r="U63" s="1300"/>
      <c r="V63" s="1300"/>
      <c r="W63" s="1300"/>
    </row>
    <row r="64" spans="1:23">
      <c r="A64" s="1280">
        <v>5</v>
      </c>
      <c r="B64" s="1277" t="s">
        <v>3357</v>
      </c>
      <c r="C64" s="1301"/>
      <c r="D64" s="1301"/>
      <c r="E64" s="1301"/>
      <c r="F64" s="1301"/>
      <c r="G64" s="1301"/>
      <c r="H64" s="1301"/>
      <c r="I64" s="1301"/>
      <c r="J64" s="1301"/>
      <c r="K64" s="1301"/>
      <c r="L64" s="1301"/>
      <c r="M64" s="1301"/>
      <c r="N64" s="1301"/>
      <c r="O64" s="1301"/>
      <c r="P64" s="1301"/>
      <c r="Q64" s="1301"/>
      <c r="R64" s="1299"/>
      <c r="S64" s="1300"/>
      <c r="T64" s="1300"/>
      <c r="U64" s="1300"/>
      <c r="V64" s="1300"/>
      <c r="W64" s="1300"/>
    </row>
    <row r="65" spans="1:23">
      <c r="A65" s="1280">
        <v>6</v>
      </c>
      <c r="B65" s="1278" t="s">
        <v>3358</v>
      </c>
      <c r="C65" s="1301"/>
      <c r="D65" s="1301"/>
      <c r="E65" s="1301"/>
      <c r="F65" s="1301"/>
      <c r="G65" s="1301"/>
      <c r="H65" s="1301"/>
      <c r="I65" s="1301"/>
      <c r="J65" s="1301"/>
      <c r="K65" s="1301"/>
      <c r="L65" s="1301"/>
      <c r="M65" s="1301"/>
      <c r="N65" s="1301"/>
      <c r="O65" s="1301"/>
      <c r="P65" s="1301"/>
      <c r="Q65" s="1301"/>
      <c r="R65" s="1299"/>
      <c r="S65" s="1300"/>
      <c r="T65" s="1300"/>
      <c r="U65" s="1300"/>
      <c r="V65" s="1300"/>
      <c r="W65" s="1300"/>
    </row>
    <row r="66" spans="1:23">
      <c r="A66" s="1280">
        <v>7</v>
      </c>
      <c r="B66" s="1277" t="s">
        <v>3359</v>
      </c>
      <c r="C66" s="1301"/>
      <c r="D66" s="1301"/>
      <c r="E66" s="1301"/>
      <c r="F66" s="1301"/>
      <c r="G66" s="1301"/>
      <c r="H66" s="1301"/>
      <c r="I66" s="1301"/>
      <c r="J66" s="1301"/>
      <c r="K66" s="1301"/>
      <c r="L66" s="1301"/>
      <c r="M66" s="1301"/>
      <c r="N66" s="1301"/>
      <c r="O66" s="1301"/>
      <c r="P66" s="1301"/>
      <c r="Q66" s="1301"/>
      <c r="R66" s="1299"/>
      <c r="S66" s="1300"/>
      <c r="T66" s="1300"/>
      <c r="U66" s="1300"/>
      <c r="V66" s="1300"/>
      <c r="W66" s="1300"/>
    </row>
    <row r="67" spans="1:23">
      <c r="A67" s="1280">
        <v>8</v>
      </c>
      <c r="B67" s="1278" t="s">
        <v>3360</v>
      </c>
      <c r="C67" s="1301"/>
      <c r="D67" s="1301"/>
      <c r="E67" s="1301"/>
      <c r="F67" s="1301"/>
      <c r="G67" s="1301"/>
      <c r="H67" s="1301"/>
      <c r="I67" s="1301"/>
      <c r="J67" s="1301"/>
      <c r="K67" s="1301"/>
      <c r="L67" s="1301"/>
      <c r="M67" s="1301"/>
      <c r="N67" s="1301"/>
      <c r="O67" s="1301"/>
      <c r="P67" s="1301"/>
      <c r="Q67" s="1301"/>
      <c r="R67" s="1299"/>
      <c r="S67" s="1300"/>
      <c r="T67" s="1300"/>
      <c r="U67" s="1300"/>
      <c r="V67" s="1300"/>
      <c r="W67" s="1300"/>
    </row>
    <row r="68" spans="1:23">
      <c r="A68" s="1280">
        <v>9</v>
      </c>
      <c r="B68" s="1277" t="s">
        <v>3361</v>
      </c>
      <c r="C68" s="1301"/>
      <c r="D68" s="1301"/>
      <c r="E68" s="1301"/>
      <c r="F68" s="1301"/>
      <c r="G68" s="1301"/>
      <c r="H68" s="1301"/>
      <c r="I68" s="1301"/>
      <c r="J68" s="1301"/>
      <c r="K68" s="1301"/>
      <c r="L68" s="1301"/>
      <c r="M68" s="1301"/>
      <c r="N68" s="1301"/>
      <c r="O68" s="1301"/>
      <c r="P68" s="1301"/>
      <c r="Q68" s="1301"/>
      <c r="R68" s="1299"/>
      <c r="S68" s="1300"/>
      <c r="T68" s="1300"/>
      <c r="U68" s="1300"/>
      <c r="V68" s="1300"/>
      <c r="W68" s="1300"/>
    </row>
    <row r="69" spans="1:23">
      <c r="A69" s="1280">
        <v>10</v>
      </c>
      <c r="B69" s="1278" t="s">
        <v>3362</v>
      </c>
      <c r="C69" s="1301"/>
      <c r="D69" s="1301"/>
      <c r="E69" s="1301"/>
      <c r="F69" s="1301"/>
      <c r="G69" s="1301"/>
      <c r="H69" s="1301"/>
      <c r="I69" s="1301"/>
      <c r="J69" s="1301"/>
      <c r="K69" s="1301"/>
      <c r="L69" s="1301"/>
      <c r="M69" s="1301"/>
      <c r="N69" s="1301"/>
      <c r="O69" s="1301"/>
      <c r="P69" s="1301"/>
      <c r="Q69" s="1301"/>
      <c r="R69" s="1299"/>
      <c r="S69" s="1300"/>
      <c r="T69" s="1300"/>
      <c r="U69" s="1300"/>
      <c r="V69" s="1300"/>
      <c r="W69" s="1300"/>
    </row>
    <row r="70" spans="1:23">
      <c r="A70" s="1280">
        <v>11</v>
      </c>
      <c r="B70" s="1277" t="s">
        <v>3363</v>
      </c>
      <c r="C70" s="1301"/>
      <c r="D70" s="1301"/>
      <c r="E70" s="1301"/>
      <c r="F70" s="1301"/>
      <c r="G70" s="1301"/>
      <c r="H70" s="1301"/>
      <c r="I70" s="1301"/>
      <c r="J70" s="1301"/>
      <c r="K70" s="1301"/>
      <c r="L70" s="1301"/>
      <c r="M70" s="1301"/>
      <c r="N70" s="1301"/>
      <c r="O70" s="1301"/>
      <c r="P70" s="1301"/>
      <c r="Q70" s="1301"/>
      <c r="R70" s="1299"/>
      <c r="S70" s="1300"/>
      <c r="T70" s="1300"/>
      <c r="U70" s="1300"/>
      <c r="V70" s="1300"/>
      <c r="W70" s="1300"/>
    </row>
    <row r="71" spans="1:23">
      <c r="A71" s="1280">
        <v>12</v>
      </c>
      <c r="B71" s="1278" t="s">
        <v>3364</v>
      </c>
      <c r="C71" s="1301"/>
      <c r="D71" s="1301"/>
      <c r="E71" s="1301"/>
      <c r="F71" s="1301"/>
      <c r="G71" s="1301"/>
      <c r="H71" s="1301"/>
      <c r="I71" s="1301"/>
      <c r="J71" s="1301"/>
      <c r="K71" s="1301"/>
      <c r="L71" s="1301"/>
      <c r="M71" s="1301"/>
      <c r="N71" s="1301"/>
      <c r="O71" s="1301"/>
      <c r="P71" s="1301"/>
      <c r="Q71" s="1301"/>
      <c r="R71" s="1299"/>
      <c r="S71" s="1300"/>
      <c r="T71" s="1300"/>
      <c r="U71" s="1300"/>
      <c r="V71" s="1300"/>
      <c r="W71" s="1300"/>
    </row>
    <row r="72" spans="1:23">
      <c r="A72" s="1280">
        <v>13</v>
      </c>
      <c r="B72" s="1277" t="s">
        <v>3365</v>
      </c>
      <c r="C72" s="1301"/>
      <c r="D72" s="1301"/>
      <c r="E72" s="1301"/>
      <c r="F72" s="1301"/>
      <c r="G72" s="1301"/>
      <c r="H72" s="1301"/>
      <c r="I72" s="1301"/>
      <c r="J72" s="1301"/>
      <c r="K72" s="1301"/>
      <c r="L72" s="1301"/>
      <c r="M72" s="1301"/>
      <c r="N72" s="1301"/>
      <c r="O72" s="1301"/>
      <c r="P72" s="1301"/>
      <c r="Q72" s="1301"/>
      <c r="R72" s="1299"/>
      <c r="S72" s="1300"/>
      <c r="T72" s="1300"/>
      <c r="U72" s="1300"/>
      <c r="V72" s="1300"/>
      <c r="W72" s="1300"/>
    </row>
    <row r="73" spans="1:23">
      <c r="A73" s="1280">
        <v>14</v>
      </c>
      <c r="B73" s="1278" t="s">
        <v>3366</v>
      </c>
      <c r="C73" s="1301"/>
      <c r="D73" s="1301"/>
      <c r="E73" s="1301"/>
      <c r="F73" s="1301"/>
      <c r="G73" s="1301"/>
      <c r="H73" s="1301"/>
      <c r="I73" s="1301"/>
      <c r="J73" s="1301"/>
      <c r="K73" s="1301"/>
      <c r="L73" s="1301"/>
      <c r="M73" s="1301"/>
      <c r="N73" s="1301"/>
      <c r="O73" s="1301"/>
      <c r="P73" s="1301"/>
      <c r="Q73" s="1301"/>
      <c r="R73" s="1299"/>
      <c r="S73" s="1300"/>
      <c r="T73" s="1300"/>
      <c r="U73" s="1300"/>
      <c r="V73" s="1300"/>
      <c r="W73" s="1300"/>
    </row>
    <row r="74" spans="1:23">
      <c r="A74" s="1279" t="s">
        <v>933</v>
      </c>
      <c r="B74" s="1276" t="s">
        <v>34</v>
      </c>
      <c r="C74" s="1302"/>
      <c r="D74" s="1302"/>
      <c r="E74" s="1302"/>
      <c r="F74" s="1302"/>
      <c r="G74" s="1302"/>
      <c r="H74" s="1302"/>
      <c r="I74" s="1302"/>
      <c r="J74" s="1302"/>
      <c r="K74" s="1302"/>
      <c r="L74" s="1302"/>
      <c r="M74" s="1302"/>
      <c r="N74" s="1302"/>
      <c r="O74" s="1302"/>
      <c r="P74" s="1302"/>
      <c r="Q74" s="1302"/>
      <c r="R74" s="1302"/>
      <c r="S74" s="1297"/>
      <c r="T74" s="1297"/>
      <c r="U74" s="1297"/>
      <c r="V74" s="1297"/>
      <c r="W74" s="1297"/>
    </row>
    <row r="75" spans="1:23">
      <c r="A75" s="1280">
        <v>1</v>
      </c>
      <c r="B75" s="1278" t="s">
        <v>3367</v>
      </c>
      <c r="C75" s="1301"/>
      <c r="D75" s="1301"/>
      <c r="E75" s="1301"/>
      <c r="F75" s="1301"/>
      <c r="G75" s="1301"/>
      <c r="H75" s="1301"/>
      <c r="I75" s="1301"/>
      <c r="J75" s="1301"/>
      <c r="K75" s="1301"/>
      <c r="L75" s="1301"/>
      <c r="M75" s="1301"/>
      <c r="N75" s="1301"/>
      <c r="O75" s="1301"/>
      <c r="P75" s="1301"/>
      <c r="Q75" s="1301"/>
      <c r="R75" s="1299"/>
      <c r="S75" s="1300"/>
      <c r="T75" s="1300"/>
      <c r="U75" s="1300"/>
      <c r="V75" s="1300"/>
      <c r="W75" s="1300"/>
    </row>
    <row r="76" spans="1:23">
      <c r="A76" s="1280">
        <v>2</v>
      </c>
      <c r="B76" s="1277" t="s">
        <v>3368</v>
      </c>
      <c r="C76" s="1301"/>
      <c r="D76" s="1301"/>
      <c r="E76" s="1301"/>
      <c r="F76" s="1301"/>
      <c r="G76" s="1301"/>
      <c r="H76" s="1301"/>
      <c r="I76" s="1301"/>
      <c r="J76" s="1301"/>
      <c r="K76" s="1301"/>
      <c r="L76" s="1301"/>
      <c r="M76" s="1301"/>
      <c r="N76" s="1301"/>
      <c r="O76" s="1301"/>
      <c r="P76" s="1301"/>
      <c r="Q76" s="1301"/>
      <c r="R76" s="1299"/>
      <c r="S76" s="1300"/>
      <c r="T76" s="1300"/>
      <c r="U76" s="1300"/>
      <c r="V76" s="1300"/>
      <c r="W76" s="1300"/>
    </row>
    <row r="77" spans="1:23">
      <c r="A77" s="1280">
        <v>3</v>
      </c>
      <c r="B77" s="1278" t="s">
        <v>3369</v>
      </c>
      <c r="C77" s="1301"/>
      <c r="D77" s="1301"/>
      <c r="E77" s="1301"/>
      <c r="F77" s="1301"/>
      <c r="G77" s="1301"/>
      <c r="H77" s="1301"/>
      <c r="I77" s="1301"/>
      <c r="J77" s="1301"/>
      <c r="K77" s="1301"/>
      <c r="L77" s="1301"/>
      <c r="M77" s="1301"/>
      <c r="N77" s="1301"/>
      <c r="O77" s="1301"/>
      <c r="P77" s="1301"/>
      <c r="Q77" s="1301"/>
      <c r="R77" s="1299"/>
      <c r="S77" s="1300"/>
      <c r="T77" s="1300"/>
      <c r="U77" s="1300"/>
      <c r="V77" s="1300"/>
      <c r="W77" s="1300"/>
    </row>
    <row r="78" spans="1:23">
      <c r="A78" s="1280">
        <v>4</v>
      </c>
      <c r="B78" s="1277" t="s">
        <v>3370</v>
      </c>
      <c r="C78" s="1301"/>
      <c r="D78" s="1301"/>
      <c r="E78" s="1301"/>
      <c r="F78" s="1301"/>
      <c r="G78" s="1301"/>
      <c r="H78" s="1301"/>
      <c r="I78" s="1301"/>
      <c r="J78" s="1301"/>
      <c r="K78" s="1301"/>
      <c r="L78" s="1301"/>
      <c r="M78" s="1301"/>
      <c r="N78" s="1301"/>
      <c r="O78" s="1301"/>
      <c r="P78" s="1301"/>
      <c r="Q78" s="1301"/>
      <c r="R78" s="1299"/>
      <c r="S78" s="1300"/>
      <c r="T78" s="1300"/>
      <c r="U78" s="1300"/>
      <c r="V78" s="1300"/>
      <c r="W78" s="1300"/>
    </row>
    <row r="79" spans="1:23">
      <c r="A79" s="1280">
        <v>5</v>
      </c>
      <c r="B79" s="1278" t="s">
        <v>3371</v>
      </c>
      <c r="C79" s="1301"/>
      <c r="D79" s="1301"/>
      <c r="E79" s="1301"/>
      <c r="F79" s="1301"/>
      <c r="G79" s="1301"/>
      <c r="H79" s="1301"/>
      <c r="I79" s="1301"/>
      <c r="J79" s="1301"/>
      <c r="K79" s="1301"/>
      <c r="L79" s="1301"/>
      <c r="M79" s="1301"/>
      <c r="N79" s="1301"/>
      <c r="O79" s="1301"/>
      <c r="P79" s="1301"/>
      <c r="Q79" s="1301"/>
      <c r="R79" s="1299"/>
      <c r="S79" s="1300"/>
      <c r="T79" s="1300"/>
      <c r="U79" s="1300"/>
      <c r="V79" s="1300"/>
      <c r="W79" s="1300"/>
    </row>
    <row r="80" spans="1:23">
      <c r="A80" s="1280">
        <v>6</v>
      </c>
      <c r="B80" s="1277" t="s">
        <v>3372</v>
      </c>
      <c r="C80" s="1301"/>
      <c r="D80" s="1301"/>
      <c r="E80" s="1301"/>
      <c r="F80" s="1301"/>
      <c r="G80" s="1301"/>
      <c r="H80" s="1301"/>
      <c r="I80" s="1301"/>
      <c r="J80" s="1301"/>
      <c r="K80" s="1301"/>
      <c r="L80" s="1301"/>
      <c r="M80" s="1301"/>
      <c r="N80" s="1301"/>
      <c r="O80" s="1301"/>
      <c r="P80" s="1301"/>
      <c r="Q80" s="1301"/>
      <c r="R80" s="1299"/>
      <c r="S80" s="1300"/>
      <c r="T80" s="1300"/>
      <c r="U80" s="1300"/>
      <c r="V80" s="1300"/>
      <c r="W80" s="1300"/>
    </row>
    <row r="81" spans="1:23">
      <c r="A81" s="1280">
        <v>7</v>
      </c>
      <c r="B81" s="1278" t="s">
        <v>3373</v>
      </c>
      <c r="C81" s="1301"/>
      <c r="D81" s="1301"/>
      <c r="E81" s="1301"/>
      <c r="F81" s="1301"/>
      <c r="G81" s="1301"/>
      <c r="H81" s="1301"/>
      <c r="I81" s="1301"/>
      <c r="J81" s="1301"/>
      <c r="K81" s="1301"/>
      <c r="L81" s="1301"/>
      <c r="M81" s="1301"/>
      <c r="N81" s="1301"/>
      <c r="O81" s="1301"/>
      <c r="P81" s="1301"/>
      <c r="Q81" s="1301"/>
      <c r="R81" s="1299"/>
      <c r="S81" s="1300"/>
      <c r="T81" s="1300"/>
      <c r="U81" s="1300"/>
      <c r="V81" s="1300"/>
      <c r="W81" s="1300"/>
    </row>
    <row r="82" spans="1:23">
      <c r="A82" s="1280">
        <v>8</v>
      </c>
      <c r="B82" s="1277" t="s">
        <v>3374</v>
      </c>
      <c r="C82" s="1301"/>
      <c r="D82" s="1301"/>
      <c r="E82" s="1301"/>
      <c r="F82" s="1301"/>
      <c r="G82" s="1301"/>
      <c r="H82" s="1301"/>
      <c r="I82" s="1301"/>
      <c r="J82" s="1301"/>
      <c r="K82" s="1301"/>
      <c r="L82" s="1301"/>
      <c r="M82" s="1301"/>
      <c r="N82" s="1301"/>
      <c r="O82" s="1301"/>
      <c r="P82" s="1301"/>
      <c r="Q82" s="1301"/>
      <c r="R82" s="1299"/>
      <c r="S82" s="1300"/>
      <c r="T82" s="1300"/>
      <c r="U82" s="1300"/>
      <c r="V82" s="1300"/>
      <c r="W82" s="1300"/>
    </row>
    <row r="83" spans="1:23">
      <c r="A83" s="1280">
        <v>9</v>
      </c>
      <c r="B83" s="1278" t="s">
        <v>3375</v>
      </c>
      <c r="C83" s="1301"/>
      <c r="D83" s="1301"/>
      <c r="E83" s="1301"/>
      <c r="F83" s="1301"/>
      <c r="G83" s="1301"/>
      <c r="H83" s="1301"/>
      <c r="I83" s="1301"/>
      <c r="J83" s="1301"/>
      <c r="K83" s="1301"/>
      <c r="L83" s="1301"/>
      <c r="M83" s="1301"/>
      <c r="N83" s="1301"/>
      <c r="O83" s="1301"/>
      <c r="P83" s="1301"/>
      <c r="Q83" s="1301"/>
      <c r="R83" s="1299"/>
      <c r="S83" s="1300"/>
      <c r="T83" s="1300"/>
      <c r="U83" s="1300"/>
      <c r="V83" s="1300"/>
      <c r="W83" s="1300"/>
    </row>
    <row r="84" spans="1:23">
      <c r="A84" s="1280">
        <v>10</v>
      </c>
      <c r="B84" s="1277" t="s">
        <v>3376</v>
      </c>
      <c r="C84" s="1301"/>
      <c r="D84" s="1301"/>
      <c r="E84" s="1301"/>
      <c r="F84" s="1301"/>
      <c r="G84" s="1301"/>
      <c r="H84" s="1301"/>
      <c r="I84" s="1301"/>
      <c r="J84" s="1301"/>
      <c r="K84" s="1301"/>
      <c r="L84" s="1301"/>
      <c r="M84" s="1301"/>
      <c r="N84" s="1301"/>
      <c r="O84" s="1301"/>
      <c r="P84" s="1301"/>
      <c r="Q84" s="1301"/>
      <c r="R84" s="1299"/>
      <c r="S84" s="1300"/>
      <c r="T84" s="1300"/>
      <c r="U84" s="1300"/>
      <c r="V84" s="1300"/>
      <c r="W84" s="1300"/>
    </row>
    <row r="85" spans="1:23">
      <c r="A85" s="1280">
        <v>11</v>
      </c>
      <c r="B85" s="1278" t="s">
        <v>3377</v>
      </c>
      <c r="C85" s="1301"/>
      <c r="D85" s="1301"/>
      <c r="E85" s="1301"/>
      <c r="F85" s="1301"/>
      <c r="G85" s="1301"/>
      <c r="H85" s="1301"/>
      <c r="I85" s="1301"/>
      <c r="J85" s="1301"/>
      <c r="K85" s="1301"/>
      <c r="L85" s="1301"/>
      <c r="M85" s="1301"/>
      <c r="N85" s="1301"/>
      <c r="O85" s="1301"/>
      <c r="P85" s="1301"/>
      <c r="Q85" s="1301"/>
      <c r="R85" s="1299"/>
      <c r="S85" s="1300"/>
      <c r="T85" s="1300"/>
      <c r="U85" s="1300"/>
      <c r="V85" s="1300"/>
      <c r="W85" s="1300"/>
    </row>
    <row r="86" spans="1:23">
      <c r="A86" s="1280">
        <v>12</v>
      </c>
      <c r="B86" s="1277" t="s">
        <v>3378</v>
      </c>
      <c r="C86" s="1301"/>
      <c r="D86" s="1301"/>
      <c r="E86" s="1301"/>
      <c r="F86" s="1301"/>
      <c r="G86" s="1301"/>
      <c r="H86" s="1301"/>
      <c r="I86" s="1301"/>
      <c r="J86" s="1301"/>
      <c r="K86" s="1301"/>
      <c r="L86" s="1301"/>
      <c r="M86" s="1301"/>
      <c r="N86" s="1301"/>
      <c r="O86" s="1301"/>
      <c r="P86" s="1301"/>
      <c r="Q86" s="1301"/>
      <c r="R86" s="1299"/>
      <c r="S86" s="1300"/>
      <c r="T86" s="1300"/>
      <c r="U86" s="1300"/>
      <c r="V86" s="1300"/>
      <c r="W86" s="1300"/>
    </row>
    <row r="87" spans="1:23">
      <c r="A87" s="1280">
        <v>13</v>
      </c>
      <c r="B87" s="1278" t="s">
        <v>3379</v>
      </c>
      <c r="C87" s="1301"/>
      <c r="D87" s="1301"/>
      <c r="E87" s="1301"/>
      <c r="F87" s="1301"/>
      <c r="G87" s="1301"/>
      <c r="H87" s="1301"/>
      <c r="I87" s="1301"/>
      <c r="J87" s="1301"/>
      <c r="K87" s="1301"/>
      <c r="L87" s="1301"/>
      <c r="M87" s="1301"/>
      <c r="N87" s="1301"/>
      <c r="O87" s="1301"/>
      <c r="P87" s="1301"/>
      <c r="Q87" s="1301"/>
      <c r="R87" s="1299"/>
      <c r="S87" s="1300"/>
      <c r="T87" s="1300"/>
      <c r="U87" s="1300"/>
      <c r="V87" s="1300"/>
      <c r="W87" s="1300"/>
    </row>
    <row r="88" spans="1:23">
      <c r="A88" s="1280">
        <v>14</v>
      </c>
      <c r="B88" s="1277" t="s">
        <v>3380</v>
      </c>
      <c r="C88" s="1301"/>
      <c r="D88" s="1301"/>
      <c r="E88" s="1301"/>
      <c r="F88" s="1301"/>
      <c r="G88" s="1301"/>
      <c r="H88" s="1301"/>
      <c r="I88" s="1301"/>
      <c r="J88" s="1301"/>
      <c r="K88" s="1301"/>
      <c r="L88" s="1301"/>
      <c r="M88" s="1301"/>
      <c r="N88" s="1301"/>
      <c r="O88" s="1301"/>
      <c r="P88" s="1301"/>
      <c r="Q88" s="1301"/>
      <c r="R88" s="1299"/>
      <c r="S88" s="1300"/>
      <c r="T88" s="1300"/>
      <c r="U88" s="1300"/>
      <c r="V88" s="1300"/>
      <c r="W88" s="1300"/>
    </row>
    <row r="89" spans="1:23">
      <c r="A89" s="1280">
        <v>15</v>
      </c>
      <c r="B89" s="1278" t="s">
        <v>3381</v>
      </c>
      <c r="C89" s="1301"/>
      <c r="D89" s="1301"/>
      <c r="E89" s="1301"/>
      <c r="F89" s="1301"/>
      <c r="G89" s="1301"/>
      <c r="H89" s="1301"/>
      <c r="I89" s="1301"/>
      <c r="J89" s="1301"/>
      <c r="K89" s="1301"/>
      <c r="L89" s="1301"/>
      <c r="M89" s="1301"/>
      <c r="N89" s="1301"/>
      <c r="O89" s="1301"/>
      <c r="P89" s="1301"/>
      <c r="Q89" s="1301"/>
      <c r="R89" s="1299"/>
      <c r="S89" s="1300"/>
      <c r="T89" s="1300"/>
      <c r="U89" s="1300"/>
      <c r="V89" s="1300"/>
      <c r="W89" s="1300"/>
    </row>
    <row r="90" spans="1:23">
      <c r="A90" s="1783" t="s">
        <v>1412</v>
      </c>
      <c r="B90" s="1784" t="s">
        <v>3473</v>
      </c>
      <c r="C90" s="1784">
        <f>SUM(C91:C107)</f>
        <v>17</v>
      </c>
      <c r="D90" s="1784">
        <f t="shared" ref="D90:Q90" si="16">SUM(D91:D107)</f>
        <v>9</v>
      </c>
      <c r="E90" s="1784">
        <f t="shared" si="16"/>
        <v>7</v>
      </c>
      <c r="F90" s="1784">
        <f t="shared" si="16"/>
        <v>1</v>
      </c>
      <c r="G90" s="1784">
        <f t="shared" si="16"/>
        <v>289</v>
      </c>
      <c r="H90" s="1784">
        <f t="shared" si="16"/>
        <v>254</v>
      </c>
      <c r="I90" s="1784">
        <f t="shared" si="16"/>
        <v>17</v>
      </c>
      <c r="J90" s="1784">
        <f t="shared" si="16"/>
        <v>9</v>
      </c>
      <c r="K90" s="1784">
        <f t="shared" si="16"/>
        <v>7</v>
      </c>
      <c r="L90" s="1784">
        <f t="shared" si="16"/>
        <v>1</v>
      </c>
      <c r="M90" s="1784">
        <f t="shared" si="16"/>
        <v>186</v>
      </c>
      <c r="N90" s="1784">
        <f t="shared" si="16"/>
        <v>182</v>
      </c>
      <c r="O90" s="1784">
        <f t="shared" si="16"/>
        <v>0</v>
      </c>
      <c r="P90" s="1784">
        <f t="shared" si="16"/>
        <v>72</v>
      </c>
      <c r="Q90" s="1784">
        <f t="shared" si="16"/>
        <v>0</v>
      </c>
      <c r="R90" s="1784"/>
      <c r="S90" s="1785">
        <f>SUM(S91:S107)</f>
        <v>23458.0236</v>
      </c>
      <c r="T90" s="1785">
        <f>SUM(T91:T107)</f>
        <v>15842.216400000003</v>
      </c>
      <c r="U90" s="1785">
        <f>SUM(U91:U107)</f>
        <v>6651.3599999999979</v>
      </c>
      <c r="V90" s="1785">
        <f>SUM(V91:V107)</f>
        <v>964.44719999999984</v>
      </c>
      <c r="W90" s="1785">
        <f>SUM(W91:W107)</f>
        <v>0</v>
      </c>
    </row>
    <row r="91" spans="1:23">
      <c r="A91" s="600">
        <v>1</v>
      </c>
      <c r="B91" s="1778" t="s">
        <v>3382</v>
      </c>
      <c r="C91" s="663">
        <v>1</v>
      </c>
      <c r="D91" s="663"/>
      <c r="E91" s="663">
        <v>1</v>
      </c>
      <c r="F91" s="663"/>
      <c r="G91" s="663">
        <v>17</v>
      </c>
      <c r="H91" s="1779">
        <v>15</v>
      </c>
      <c r="I91" s="663">
        <f>SUM(J91:L91)</f>
        <v>1</v>
      </c>
      <c r="J91" s="663"/>
      <c r="K91" s="663">
        <v>1</v>
      </c>
      <c r="L91" s="663"/>
      <c r="M91" s="663">
        <v>11</v>
      </c>
      <c r="N91" s="663">
        <f>+M91</f>
        <v>11</v>
      </c>
      <c r="O91" s="663"/>
      <c r="P91" s="663">
        <f>H91-N91</f>
        <v>4</v>
      </c>
      <c r="Q91" s="600" t="s">
        <v>3452</v>
      </c>
      <c r="R91" s="1779">
        <v>11</v>
      </c>
      <c r="S91" s="1780">
        <f>SUM(T91:V91)</f>
        <v>1136.2739999999999</v>
      </c>
      <c r="T91" s="1781">
        <f>(2.34*9*1.49*12)+(1.86*2*1.49*12)+(3*5*1.49*12)+(2*3*1.49*12)</f>
        <v>818.54639999999995</v>
      </c>
      <c r="U91" s="1782">
        <f>3*1.49*12*5</f>
        <v>268.2</v>
      </c>
      <c r="V91" s="1782">
        <f>(R91*17/100*1.49*12)+(4*5*4.5/100*1.49*12)</f>
        <v>49.5276</v>
      </c>
      <c r="W91" s="1780"/>
    </row>
    <row r="92" spans="1:23">
      <c r="A92" s="600">
        <v>2</v>
      </c>
      <c r="B92" s="1778" t="s">
        <v>3383</v>
      </c>
      <c r="C92" s="663">
        <v>1</v>
      </c>
      <c r="D92" s="663"/>
      <c r="E92" s="663"/>
      <c r="F92" s="663">
        <v>1</v>
      </c>
      <c r="G92" s="663">
        <v>17</v>
      </c>
      <c r="H92" s="1779">
        <v>12</v>
      </c>
      <c r="I92" s="663">
        <f t="shared" ref="I92:I107" si="17">SUM(J92:L92)</f>
        <v>1</v>
      </c>
      <c r="J92" s="663"/>
      <c r="K92" s="663"/>
      <c r="L92" s="663">
        <v>1</v>
      </c>
      <c r="M92" s="663">
        <v>10</v>
      </c>
      <c r="N92" s="663">
        <f>+M92</f>
        <v>10</v>
      </c>
      <c r="O92" s="663"/>
      <c r="P92" s="663">
        <f t="shared" ref="P92:P107" si="18">H92-N92</f>
        <v>2</v>
      </c>
      <c r="Q92" s="600" t="s">
        <v>3452</v>
      </c>
      <c r="R92" s="1779">
        <v>10</v>
      </c>
      <c r="S92" s="1780">
        <f t="shared" ref="S92:S107" si="19">SUM(T92:V92)</f>
        <v>889.7088</v>
      </c>
      <c r="T92" s="1781">
        <f>(2.34*1.49*12*9)+(1.14*1.49*12*2)+(4*3*1.49*12)</f>
        <v>631.87919999999997</v>
      </c>
      <c r="U92" s="1782">
        <f>3*1.49*12*4</f>
        <v>214.56</v>
      </c>
      <c r="V92" s="1782">
        <f>(R92*17/100*1.49*12)+(4*4*4.5/100*1.49*12)</f>
        <v>43.269599999999997</v>
      </c>
      <c r="W92" s="1780"/>
    </row>
    <row r="93" spans="1:23">
      <c r="A93" s="600">
        <v>3</v>
      </c>
      <c r="B93" s="1778" t="s">
        <v>3137</v>
      </c>
      <c r="C93" s="663">
        <v>1</v>
      </c>
      <c r="D93" s="663">
        <v>1</v>
      </c>
      <c r="E93" s="663"/>
      <c r="F93" s="663"/>
      <c r="G93" s="663">
        <v>17</v>
      </c>
      <c r="H93" s="1779">
        <v>16</v>
      </c>
      <c r="I93" s="663">
        <f t="shared" si="17"/>
        <v>1</v>
      </c>
      <c r="J93" s="663">
        <v>1</v>
      </c>
      <c r="K93" s="663"/>
      <c r="L93" s="663"/>
      <c r="M93" s="663">
        <v>11</v>
      </c>
      <c r="N93" s="663">
        <f t="shared" ref="N93:N107" si="20">+M93</f>
        <v>11</v>
      </c>
      <c r="O93" s="663"/>
      <c r="P93" s="663">
        <f>H93-N93</f>
        <v>5</v>
      </c>
      <c r="Q93" s="600" t="s">
        <v>3452</v>
      </c>
      <c r="R93" s="1779">
        <v>11</v>
      </c>
      <c r="S93" s="1780">
        <f t="shared" si="19"/>
        <v>1749.7368000000001</v>
      </c>
      <c r="T93" s="1781">
        <f>(2.34*1.49*12*9)+(1.86*1.49*12)+(1.45*1.49*12)+(8*5*1.49*12)+(1*3*1.49*12)</f>
        <v>1204.5756000000001</v>
      </c>
      <c r="U93" s="1782">
        <f>3*1.49*12*9</f>
        <v>482.76</v>
      </c>
      <c r="V93" s="1782">
        <f>(R93*17/100*1.49*12)+(4*9*4.5/100*1.49*12)</f>
        <v>62.401200000000003</v>
      </c>
      <c r="W93" s="1780"/>
    </row>
    <row r="94" spans="1:23">
      <c r="A94" s="600">
        <v>4</v>
      </c>
      <c r="B94" s="1778" t="s">
        <v>3131</v>
      </c>
      <c r="C94" s="663">
        <v>1</v>
      </c>
      <c r="D94" s="663">
        <v>1</v>
      </c>
      <c r="E94" s="663"/>
      <c r="F94" s="663"/>
      <c r="G94" s="663">
        <v>17</v>
      </c>
      <c r="H94" s="1779">
        <v>14</v>
      </c>
      <c r="I94" s="663">
        <f t="shared" si="17"/>
        <v>1</v>
      </c>
      <c r="J94" s="663">
        <v>1</v>
      </c>
      <c r="K94" s="663"/>
      <c r="L94" s="663"/>
      <c r="M94" s="663">
        <v>11</v>
      </c>
      <c r="N94" s="663">
        <f t="shared" si="20"/>
        <v>11</v>
      </c>
      <c r="O94" s="663"/>
      <c r="P94" s="663">
        <f t="shared" si="18"/>
        <v>3</v>
      </c>
      <c r="Q94" s="600" t="s">
        <v>3452</v>
      </c>
      <c r="R94" s="1779">
        <v>11</v>
      </c>
      <c r="S94" s="1780">
        <f t="shared" si="19"/>
        <v>1595.4324000000001</v>
      </c>
      <c r="T94" s="1781">
        <f>(2.34*1.49*12*11)+(3*5*1.49*12)+(6*3*1.49*12)</f>
        <v>1050.2712000000001</v>
      </c>
      <c r="U94" s="1782">
        <f>3*1.49*12*9</f>
        <v>482.76</v>
      </c>
      <c r="V94" s="1782">
        <f>(R94*17/100*1.49*12)+(4*9*4.5/100*1.49*12)</f>
        <v>62.401200000000003</v>
      </c>
      <c r="W94" s="1780"/>
    </row>
    <row r="95" spans="1:23">
      <c r="A95" s="600">
        <v>5</v>
      </c>
      <c r="B95" s="1778" t="s">
        <v>3130</v>
      </c>
      <c r="C95" s="663">
        <v>1</v>
      </c>
      <c r="D95" s="663"/>
      <c r="E95" s="663">
        <v>1</v>
      </c>
      <c r="F95" s="663"/>
      <c r="G95" s="663">
        <v>17</v>
      </c>
      <c r="H95" s="1779">
        <v>14</v>
      </c>
      <c r="I95" s="663">
        <f t="shared" si="17"/>
        <v>1</v>
      </c>
      <c r="J95" s="663"/>
      <c r="K95" s="663">
        <v>1</v>
      </c>
      <c r="L95" s="663"/>
      <c r="M95" s="663">
        <v>11</v>
      </c>
      <c r="N95" s="663">
        <f t="shared" si="20"/>
        <v>11</v>
      </c>
      <c r="O95" s="663"/>
      <c r="P95" s="663">
        <f t="shared" si="18"/>
        <v>3</v>
      </c>
      <c r="Q95" s="600" t="s">
        <v>3452</v>
      </c>
      <c r="R95" s="1779">
        <v>11</v>
      </c>
      <c r="S95" s="1780">
        <f t="shared" si="19"/>
        <v>1321.5108000000002</v>
      </c>
      <c r="T95" s="1781">
        <f>(2.34*1.49*12*9)+(1.86*1.49*12*2)+(2*5*1.49*12)+(5*3*1.49*12)</f>
        <v>890.06640000000004</v>
      </c>
      <c r="U95" s="1782">
        <f>3*1.49*12*7</f>
        <v>375.48</v>
      </c>
      <c r="V95" s="1782">
        <f>(R95*17/100*1.49*12)+(4*7*4.5/100*1.49*12)</f>
        <v>55.964399999999998</v>
      </c>
      <c r="W95" s="1780"/>
    </row>
    <row r="96" spans="1:23">
      <c r="A96" s="600">
        <v>6</v>
      </c>
      <c r="B96" s="1778" t="s">
        <v>3384</v>
      </c>
      <c r="C96" s="663">
        <v>1</v>
      </c>
      <c r="D96" s="663">
        <v>1</v>
      </c>
      <c r="E96" s="663"/>
      <c r="F96" s="663"/>
      <c r="G96" s="663">
        <v>17</v>
      </c>
      <c r="H96" s="1779">
        <v>16</v>
      </c>
      <c r="I96" s="663">
        <f t="shared" si="17"/>
        <v>1</v>
      </c>
      <c r="J96" s="663">
        <v>1</v>
      </c>
      <c r="K96" s="663"/>
      <c r="L96" s="663"/>
      <c r="M96" s="663">
        <v>11</v>
      </c>
      <c r="N96" s="663">
        <f t="shared" si="20"/>
        <v>11</v>
      </c>
      <c r="O96" s="663"/>
      <c r="P96" s="663">
        <f t="shared" si="18"/>
        <v>5</v>
      </c>
      <c r="Q96" s="600" t="s">
        <v>3452</v>
      </c>
      <c r="R96" s="1779">
        <v>11</v>
      </c>
      <c r="S96" s="1780">
        <f t="shared" si="19"/>
        <v>1654.2575999999999</v>
      </c>
      <c r="T96" s="1781">
        <f>(2.34*1.49*12*10)+(1.45*1.49*12)+(2*5*1.49*12)+(8*3*1.49*12)</f>
        <v>1052.2379999999998</v>
      </c>
      <c r="U96" s="1782">
        <f>3*1.49*12*10</f>
        <v>536.4</v>
      </c>
      <c r="V96" s="1782">
        <f>(R96*17/100*1.49*12)+(4*10*4.5/100*1.49*12)</f>
        <v>65.619599999999991</v>
      </c>
      <c r="W96" s="1780"/>
    </row>
    <row r="97" spans="1:23">
      <c r="A97" s="600">
        <v>7</v>
      </c>
      <c r="B97" s="1778" t="s">
        <v>3142</v>
      </c>
      <c r="C97" s="663">
        <v>1</v>
      </c>
      <c r="D97" s="663">
        <v>1</v>
      </c>
      <c r="E97" s="663"/>
      <c r="F97" s="663"/>
      <c r="G97" s="663">
        <v>17</v>
      </c>
      <c r="H97" s="1779">
        <v>12</v>
      </c>
      <c r="I97" s="663">
        <f t="shared" si="17"/>
        <v>1</v>
      </c>
      <c r="J97" s="663">
        <v>1</v>
      </c>
      <c r="K97" s="663"/>
      <c r="L97" s="663"/>
      <c r="M97" s="663">
        <v>11</v>
      </c>
      <c r="N97" s="663">
        <f t="shared" si="20"/>
        <v>11</v>
      </c>
      <c r="O97" s="663"/>
      <c r="P97" s="663">
        <f t="shared" si="18"/>
        <v>1</v>
      </c>
      <c r="Q97" s="600" t="s">
        <v>3452</v>
      </c>
      <c r="R97" s="1779">
        <v>11</v>
      </c>
      <c r="S97" s="1780">
        <f t="shared" si="19"/>
        <v>1559.136</v>
      </c>
      <c r="T97" s="1781">
        <f>(2.34*1.49*12*8)+(1.86*1.49*12*2)+(1.45*1.49*12)+(6*5*1.49*12)+(2*3*1.49*12)</f>
        <v>1070.8332</v>
      </c>
      <c r="U97" s="1782">
        <f>3*1.49*12*8</f>
        <v>429.12</v>
      </c>
      <c r="V97" s="1782">
        <f>(R97*17/100*1.49*12)+(4*8*4.5/100*1.49*12)</f>
        <v>59.1828</v>
      </c>
      <c r="W97" s="1780"/>
    </row>
    <row r="98" spans="1:23">
      <c r="A98" s="600">
        <v>8</v>
      </c>
      <c r="B98" s="1778" t="s">
        <v>3129</v>
      </c>
      <c r="C98" s="663">
        <v>1</v>
      </c>
      <c r="D98" s="663">
        <v>1</v>
      </c>
      <c r="E98" s="663"/>
      <c r="F98" s="663"/>
      <c r="G98" s="663">
        <v>17</v>
      </c>
      <c r="H98" s="1779">
        <v>16</v>
      </c>
      <c r="I98" s="663">
        <f t="shared" si="17"/>
        <v>1</v>
      </c>
      <c r="J98" s="663">
        <v>1</v>
      </c>
      <c r="K98" s="663"/>
      <c r="L98" s="663"/>
      <c r="M98" s="663">
        <v>11</v>
      </c>
      <c r="N98" s="663">
        <f t="shared" si="20"/>
        <v>11</v>
      </c>
      <c r="O98" s="663"/>
      <c r="P98" s="663">
        <f t="shared" si="18"/>
        <v>5</v>
      </c>
      <c r="Q98" s="600" t="s">
        <v>3452</v>
      </c>
      <c r="R98" s="1779">
        <v>11</v>
      </c>
      <c r="S98" s="1780">
        <f t="shared" si="19"/>
        <v>1341.3576</v>
      </c>
      <c r="T98" s="1781">
        <f>(2.34*1.49*12*8)+(1.86*1.49*12*2)+(1.45*1.49*12)+(3*5*1.49*12)+(3*4*1.49*12)</f>
        <v>909.91319999999996</v>
      </c>
      <c r="U98" s="1782">
        <f>3*1.49*12*7</f>
        <v>375.48</v>
      </c>
      <c r="V98" s="1782">
        <f>(R98*17/100*1.49*12)+(4*7*4.5/100*1.49*12)</f>
        <v>55.964399999999998</v>
      </c>
      <c r="W98" s="1780"/>
    </row>
    <row r="99" spans="1:23">
      <c r="A99" s="600">
        <v>9</v>
      </c>
      <c r="B99" s="1778" t="s">
        <v>3140</v>
      </c>
      <c r="C99" s="663">
        <v>1</v>
      </c>
      <c r="D99" s="663">
        <v>1</v>
      </c>
      <c r="E99" s="663"/>
      <c r="F99" s="663"/>
      <c r="G99" s="663">
        <v>17</v>
      </c>
      <c r="H99" s="1779">
        <v>17</v>
      </c>
      <c r="I99" s="663">
        <f t="shared" si="17"/>
        <v>1</v>
      </c>
      <c r="J99" s="663">
        <v>1</v>
      </c>
      <c r="K99" s="663"/>
      <c r="L99" s="663"/>
      <c r="M99" s="663">
        <v>11</v>
      </c>
      <c r="N99" s="663">
        <f t="shared" si="20"/>
        <v>11</v>
      </c>
      <c r="O99" s="663"/>
      <c r="P99" s="663">
        <f t="shared" si="18"/>
        <v>6</v>
      </c>
      <c r="Q99" s="600" t="s">
        <v>3452</v>
      </c>
      <c r="R99" s="1779">
        <v>11</v>
      </c>
      <c r="S99" s="1780">
        <f t="shared" si="19"/>
        <v>1535.1768</v>
      </c>
      <c r="T99" s="1781">
        <f>(2.34*1.49*12*9)+(1.86*1.49*12)+(1.45*1.49*12)+(2*5*1.49*12)+(7*3*1.49*12)</f>
        <v>990.01559999999995</v>
      </c>
      <c r="U99" s="1782">
        <f>3*1.49*12*9</f>
        <v>482.76</v>
      </c>
      <c r="V99" s="1782">
        <f>(R99*17/100*1.49*12)+(4*9*4.5/100*1.49*12)</f>
        <v>62.401200000000003</v>
      </c>
      <c r="W99" s="1780"/>
    </row>
    <row r="100" spans="1:23">
      <c r="A100" s="600">
        <v>10</v>
      </c>
      <c r="B100" s="1778" t="s">
        <v>3139</v>
      </c>
      <c r="C100" s="663">
        <v>1</v>
      </c>
      <c r="D100" s="663"/>
      <c r="E100" s="663">
        <v>1</v>
      </c>
      <c r="F100" s="663"/>
      <c r="G100" s="663">
        <v>17</v>
      </c>
      <c r="H100" s="1779">
        <v>12</v>
      </c>
      <c r="I100" s="663">
        <f t="shared" si="17"/>
        <v>1</v>
      </c>
      <c r="J100" s="663"/>
      <c r="K100" s="663">
        <v>1</v>
      </c>
      <c r="L100" s="663"/>
      <c r="M100" s="663">
        <v>11</v>
      </c>
      <c r="N100" s="663">
        <f t="shared" si="20"/>
        <v>11</v>
      </c>
      <c r="O100" s="663"/>
      <c r="P100" s="663">
        <f t="shared" si="18"/>
        <v>1</v>
      </c>
      <c r="Q100" s="600" t="s">
        <v>3452</v>
      </c>
      <c r="R100" s="1779">
        <v>11</v>
      </c>
      <c r="S100" s="1780">
        <f t="shared" si="19"/>
        <v>1330.0932</v>
      </c>
      <c r="T100" s="1781">
        <f>(2.34*1.49*12*10)+(1.86*1.49*12)+(2*5*1.49*12)+(5*3*1.49*12)</f>
        <v>898.64880000000005</v>
      </c>
      <c r="U100" s="1782">
        <f>3*1.49*12*7</f>
        <v>375.48</v>
      </c>
      <c r="V100" s="1782">
        <f>(R100*17/100*1.49*12)+(4*7*4.5/100*1.49*12)</f>
        <v>55.964399999999998</v>
      </c>
      <c r="W100" s="1780"/>
    </row>
    <row r="101" spans="1:23">
      <c r="A101" s="600">
        <v>11</v>
      </c>
      <c r="B101" s="1778" t="s">
        <v>3134</v>
      </c>
      <c r="C101" s="663">
        <v>1</v>
      </c>
      <c r="D101" s="663"/>
      <c r="E101" s="663">
        <v>1</v>
      </c>
      <c r="F101" s="663"/>
      <c r="G101" s="663">
        <v>17</v>
      </c>
      <c r="H101" s="1779">
        <v>16</v>
      </c>
      <c r="I101" s="663">
        <f t="shared" si="17"/>
        <v>1</v>
      </c>
      <c r="J101" s="663"/>
      <c r="K101" s="663">
        <v>1</v>
      </c>
      <c r="L101" s="663"/>
      <c r="M101" s="663">
        <v>11</v>
      </c>
      <c r="N101" s="663">
        <v>10</v>
      </c>
      <c r="O101" s="663"/>
      <c r="P101" s="663">
        <f t="shared" si="18"/>
        <v>6</v>
      </c>
      <c r="Q101" s="600" t="s">
        <v>3452</v>
      </c>
      <c r="R101" s="1779">
        <v>11</v>
      </c>
      <c r="S101" s="1780">
        <f t="shared" si="19"/>
        <v>1352.9796000000001</v>
      </c>
      <c r="T101" s="1781">
        <f>(2.34*1.49*12*8)+(2.1*1*1.49*12)+(1.86*1.49*12*2)+(3*5*1.49*12)+(4*3*1.49*12)</f>
        <v>921.53520000000003</v>
      </c>
      <c r="U101" s="1782">
        <f>3*1.49*12*7</f>
        <v>375.48</v>
      </c>
      <c r="V101" s="1782">
        <f>(R101*17/100*1.49*12)+(4*7*4.5/100*1.49*12)</f>
        <v>55.964399999999998</v>
      </c>
      <c r="W101" s="1780"/>
    </row>
    <row r="102" spans="1:23">
      <c r="A102" s="600">
        <v>12</v>
      </c>
      <c r="B102" s="1778" t="s">
        <v>3143</v>
      </c>
      <c r="C102" s="663">
        <v>1</v>
      </c>
      <c r="D102" s="663"/>
      <c r="E102" s="663">
        <v>1</v>
      </c>
      <c r="F102" s="663"/>
      <c r="G102" s="663">
        <v>17</v>
      </c>
      <c r="H102" s="1779">
        <v>17</v>
      </c>
      <c r="I102" s="663">
        <f t="shared" si="17"/>
        <v>1</v>
      </c>
      <c r="J102" s="663"/>
      <c r="K102" s="663">
        <v>1</v>
      </c>
      <c r="L102" s="663"/>
      <c r="M102" s="663">
        <v>11</v>
      </c>
      <c r="N102" s="663">
        <v>10</v>
      </c>
      <c r="O102" s="663"/>
      <c r="P102" s="663">
        <f t="shared" si="18"/>
        <v>7</v>
      </c>
      <c r="Q102" s="600" t="s">
        <v>3452</v>
      </c>
      <c r="R102" s="1779">
        <v>11</v>
      </c>
      <c r="S102" s="1780">
        <f t="shared" si="19"/>
        <v>1357.2708</v>
      </c>
      <c r="T102" s="1781">
        <f>(2.34*1.49*12*9)+(1.86*2*1.49*12)+(3*5*1.49*12)+(4*3*1.49*12)</f>
        <v>925.82639999999992</v>
      </c>
      <c r="U102" s="1782">
        <f>3*1.49*12*7</f>
        <v>375.48</v>
      </c>
      <c r="V102" s="1782">
        <f>(R102*17/100*1.49*12)+(4*7*4.5/100*1.49*12)</f>
        <v>55.964399999999998</v>
      </c>
      <c r="W102" s="1780"/>
    </row>
    <row r="103" spans="1:23">
      <c r="A103" s="600">
        <v>13</v>
      </c>
      <c r="B103" s="1778" t="s">
        <v>3133</v>
      </c>
      <c r="C103" s="663">
        <v>1</v>
      </c>
      <c r="D103" s="663">
        <v>1</v>
      </c>
      <c r="E103" s="663"/>
      <c r="F103" s="663"/>
      <c r="G103" s="663">
        <v>17</v>
      </c>
      <c r="H103" s="1779">
        <v>16</v>
      </c>
      <c r="I103" s="663">
        <f t="shared" si="17"/>
        <v>1</v>
      </c>
      <c r="J103" s="663">
        <v>1</v>
      </c>
      <c r="K103" s="663"/>
      <c r="L103" s="663"/>
      <c r="M103" s="663">
        <v>11</v>
      </c>
      <c r="N103" s="663">
        <f t="shared" si="20"/>
        <v>11</v>
      </c>
      <c r="O103" s="663"/>
      <c r="P103" s="663">
        <f t="shared" si="18"/>
        <v>5</v>
      </c>
      <c r="Q103" s="600" t="s">
        <v>3452</v>
      </c>
      <c r="R103" s="1779">
        <v>11</v>
      </c>
      <c r="S103" s="1780">
        <f t="shared" si="19"/>
        <v>1506.2112000000002</v>
      </c>
      <c r="T103" s="1781">
        <f>(2.34*1.49*12*5)+(1.86*1.49*12*3)+(2.1*1.49*12*2)+(1.45*1.49*12)+(5*5*1.49*12)+(3*3*1.49*12)</f>
        <v>1017.9084</v>
      </c>
      <c r="U103" s="1782">
        <f>3*1.49*12*8</f>
        <v>429.12</v>
      </c>
      <c r="V103" s="1782">
        <f>(R103*17/100*1.49*12)+(4*8*4.5/100*1.49*12)</f>
        <v>59.1828</v>
      </c>
      <c r="W103" s="1780"/>
    </row>
    <row r="104" spans="1:23">
      <c r="A104" s="600">
        <v>14</v>
      </c>
      <c r="B104" s="1778" t="s">
        <v>3141</v>
      </c>
      <c r="C104" s="663">
        <v>1</v>
      </c>
      <c r="D104" s="663"/>
      <c r="E104" s="663">
        <v>1</v>
      </c>
      <c r="F104" s="663"/>
      <c r="G104" s="663">
        <v>17</v>
      </c>
      <c r="H104" s="1779">
        <v>15</v>
      </c>
      <c r="I104" s="663">
        <f t="shared" si="17"/>
        <v>1</v>
      </c>
      <c r="J104" s="663"/>
      <c r="K104" s="663">
        <v>1</v>
      </c>
      <c r="L104" s="663"/>
      <c r="M104" s="663">
        <v>11</v>
      </c>
      <c r="N104" s="663">
        <f t="shared" si="20"/>
        <v>11</v>
      </c>
      <c r="O104" s="663"/>
      <c r="P104" s="663">
        <f t="shared" si="18"/>
        <v>4</v>
      </c>
      <c r="Q104" s="600" t="s">
        <v>3452</v>
      </c>
      <c r="R104" s="1779">
        <v>11</v>
      </c>
      <c r="S104" s="1780">
        <f t="shared" si="19"/>
        <v>1013.6172</v>
      </c>
      <c r="T104" s="1781">
        <f>(2.34*1.49*12*8)+(2.1*1.49*12)+(1.86*1.49*12)+(1.24*1.49*12)+(5*3*1.49*12)</f>
        <v>695.88959999999997</v>
      </c>
      <c r="U104" s="1782">
        <f>3*1.49*12*5</f>
        <v>268.2</v>
      </c>
      <c r="V104" s="1782">
        <f>(R104*17/100*1.49*12)+(4*5*4.5/100*1.49*12)</f>
        <v>49.5276</v>
      </c>
      <c r="W104" s="1780"/>
    </row>
    <row r="105" spans="1:23">
      <c r="A105" s="600">
        <v>15</v>
      </c>
      <c r="B105" s="1778" t="s">
        <v>3136</v>
      </c>
      <c r="C105" s="663">
        <v>1</v>
      </c>
      <c r="D105" s="663">
        <v>1</v>
      </c>
      <c r="E105" s="663"/>
      <c r="F105" s="663"/>
      <c r="G105" s="663">
        <v>17</v>
      </c>
      <c r="H105" s="1779">
        <v>14</v>
      </c>
      <c r="I105" s="663">
        <f t="shared" si="17"/>
        <v>1</v>
      </c>
      <c r="J105" s="663">
        <v>1</v>
      </c>
      <c r="K105" s="663"/>
      <c r="L105" s="663"/>
      <c r="M105" s="663">
        <v>11</v>
      </c>
      <c r="N105" s="663">
        <v>10</v>
      </c>
      <c r="O105" s="663"/>
      <c r="P105" s="663">
        <f t="shared" si="18"/>
        <v>4</v>
      </c>
      <c r="Q105" s="600" t="s">
        <v>3452</v>
      </c>
      <c r="R105" s="1779">
        <v>11</v>
      </c>
      <c r="S105" s="1780">
        <f t="shared" si="19"/>
        <v>1337.0664000000002</v>
      </c>
      <c r="T105" s="1781">
        <f>(2.34*1.49*12*7)+(2.1*1.49*12)+(1.86*1.49*12*2)+(1.45*1.49*12)+(3*5*1.49*12)+(4*3*1.49*12)</f>
        <v>905.62200000000007</v>
      </c>
      <c r="U105" s="1782">
        <f>3*1.49*12*7</f>
        <v>375.48</v>
      </c>
      <c r="V105" s="1782">
        <f>(R105*17/100*1.49*12)+(4*7*4.5/100*1.49*12)</f>
        <v>55.964399999999998</v>
      </c>
      <c r="W105" s="1780"/>
    </row>
    <row r="106" spans="1:23">
      <c r="A106" s="600">
        <v>16</v>
      </c>
      <c r="B106" s="1778" t="s">
        <v>3135</v>
      </c>
      <c r="C106" s="663">
        <v>1</v>
      </c>
      <c r="D106" s="663"/>
      <c r="E106" s="663">
        <v>1</v>
      </c>
      <c r="F106" s="663"/>
      <c r="G106" s="663">
        <v>17</v>
      </c>
      <c r="H106" s="1779">
        <v>17</v>
      </c>
      <c r="I106" s="663">
        <f t="shared" si="17"/>
        <v>1</v>
      </c>
      <c r="J106" s="663"/>
      <c r="K106" s="663">
        <v>1</v>
      </c>
      <c r="L106" s="663"/>
      <c r="M106" s="663">
        <v>11</v>
      </c>
      <c r="N106" s="663">
        <v>10</v>
      </c>
      <c r="O106" s="663"/>
      <c r="P106" s="663">
        <f t="shared" si="18"/>
        <v>7</v>
      </c>
      <c r="Q106" s="600" t="s">
        <v>3452</v>
      </c>
      <c r="R106" s="1779">
        <v>11</v>
      </c>
      <c r="S106" s="1780">
        <f t="shared" si="19"/>
        <v>1319.0076000000001</v>
      </c>
      <c r="T106" s="1781">
        <f>(2.34*1.49*12*10)+(1.24*1.49*12)+(2*5*1.49*12)+(5*3*1.49*12)</f>
        <v>887.56320000000005</v>
      </c>
      <c r="U106" s="1782">
        <f>3*1.49*12*7</f>
        <v>375.48</v>
      </c>
      <c r="V106" s="1782">
        <f>(R106*17/100*1.49*12)+(4*7*4.5/100*1.49*12)</f>
        <v>55.964399999999998</v>
      </c>
      <c r="W106" s="1780"/>
    </row>
    <row r="107" spans="1:23">
      <c r="A107" s="600">
        <v>17</v>
      </c>
      <c r="B107" s="1778" t="s">
        <v>3138</v>
      </c>
      <c r="C107" s="663">
        <v>1</v>
      </c>
      <c r="D107" s="663">
        <v>1</v>
      </c>
      <c r="E107" s="663"/>
      <c r="F107" s="663"/>
      <c r="G107" s="663">
        <v>17</v>
      </c>
      <c r="H107" s="1779">
        <v>15</v>
      </c>
      <c r="I107" s="663">
        <f t="shared" si="17"/>
        <v>1</v>
      </c>
      <c r="J107" s="663">
        <v>1</v>
      </c>
      <c r="K107" s="663"/>
      <c r="L107" s="663"/>
      <c r="M107" s="663">
        <v>11</v>
      </c>
      <c r="N107" s="663">
        <f t="shared" si="20"/>
        <v>11</v>
      </c>
      <c r="O107" s="663"/>
      <c r="P107" s="663">
        <f t="shared" si="18"/>
        <v>4</v>
      </c>
      <c r="Q107" s="600" t="s">
        <v>3452</v>
      </c>
      <c r="R107" s="1779">
        <v>11</v>
      </c>
      <c r="S107" s="1780">
        <f t="shared" si="19"/>
        <v>1459.1868000000002</v>
      </c>
      <c r="T107" s="1781">
        <f>(2.34*1.49*12*8)+(1.86*1.49*12*3)+(3*5*1.49*12)+(5*3*1.49*12)</f>
        <v>970.88400000000013</v>
      </c>
      <c r="U107" s="1782">
        <f>3*1.49*12*8</f>
        <v>429.12</v>
      </c>
      <c r="V107" s="1782">
        <f>(R107*17/100*1.49*12)+(4*8*4.5/100*1.49*12)</f>
        <v>59.1828</v>
      </c>
      <c r="W107" s="1780"/>
    </row>
    <row r="108" spans="1:23">
      <c r="A108" s="1279" t="s">
        <v>1612</v>
      </c>
      <c r="B108" s="1276" t="s">
        <v>36</v>
      </c>
      <c r="C108" s="1302"/>
      <c r="D108" s="1302"/>
      <c r="E108" s="1302"/>
      <c r="F108" s="1302"/>
      <c r="G108" s="1302"/>
      <c r="H108" s="1302"/>
      <c r="I108" s="1302"/>
      <c r="J108" s="1302"/>
      <c r="K108" s="1302"/>
      <c r="L108" s="1302"/>
      <c r="M108" s="1302"/>
      <c r="N108" s="1302"/>
      <c r="O108" s="1302"/>
      <c r="P108" s="1302"/>
      <c r="Q108" s="1302"/>
      <c r="R108" s="1302"/>
      <c r="S108" s="1297"/>
      <c r="T108" s="1297"/>
      <c r="U108" s="1297"/>
      <c r="V108" s="1297"/>
      <c r="W108" s="1297"/>
    </row>
    <row r="109" spans="1:23">
      <c r="A109" s="1280">
        <v>1</v>
      </c>
      <c r="B109" s="1278" t="s">
        <v>3385</v>
      </c>
      <c r="C109" s="1301"/>
      <c r="D109" s="1301"/>
      <c r="E109" s="1301"/>
      <c r="F109" s="1301"/>
      <c r="G109" s="1301"/>
      <c r="H109" s="1301"/>
      <c r="I109" s="1301"/>
      <c r="J109" s="1301"/>
      <c r="K109" s="1301"/>
      <c r="L109" s="1301"/>
      <c r="M109" s="1301"/>
      <c r="N109" s="1301"/>
      <c r="O109" s="1301"/>
      <c r="P109" s="1301"/>
      <c r="Q109" s="1301"/>
      <c r="R109" s="1299"/>
      <c r="S109" s="1300"/>
      <c r="T109" s="1300"/>
      <c r="U109" s="1300"/>
      <c r="V109" s="1300"/>
      <c r="W109" s="1300"/>
    </row>
    <row r="110" spans="1:23">
      <c r="A110" s="1280">
        <v>2</v>
      </c>
      <c r="B110" s="1277" t="s">
        <v>3177</v>
      </c>
      <c r="C110" s="1301"/>
      <c r="D110" s="1301"/>
      <c r="E110" s="1301"/>
      <c r="F110" s="1301"/>
      <c r="G110" s="1301"/>
      <c r="H110" s="1301"/>
      <c r="I110" s="1301"/>
      <c r="J110" s="1301"/>
      <c r="K110" s="1301"/>
      <c r="L110" s="1301"/>
      <c r="M110" s="1301"/>
      <c r="N110" s="1301"/>
      <c r="O110" s="1301"/>
      <c r="P110" s="1301"/>
      <c r="Q110" s="1301"/>
      <c r="R110" s="1299"/>
      <c r="S110" s="1300"/>
      <c r="T110" s="1300"/>
      <c r="U110" s="1300"/>
      <c r="V110" s="1300"/>
      <c r="W110" s="1300"/>
    </row>
    <row r="111" spans="1:23">
      <c r="A111" s="1280">
        <v>3</v>
      </c>
      <c r="B111" s="1278" t="s">
        <v>3175</v>
      </c>
      <c r="C111" s="1301"/>
      <c r="D111" s="1301"/>
      <c r="E111" s="1301"/>
      <c r="F111" s="1301"/>
      <c r="G111" s="1301"/>
      <c r="H111" s="1301"/>
      <c r="I111" s="1301"/>
      <c r="J111" s="1301"/>
      <c r="K111" s="1301"/>
      <c r="L111" s="1301"/>
      <c r="M111" s="1301"/>
      <c r="N111" s="1301"/>
      <c r="O111" s="1301"/>
      <c r="P111" s="1301"/>
      <c r="Q111" s="1301"/>
      <c r="R111" s="1299"/>
      <c r="S111" s="1300"/>
      <c r="T111" s="1300"/>
      <c r="U111" s="1300"/>
      <c r="V111" s="1300"/>
      <c r="W111" s="1300"/>
    </row>
    <row r="112" spans="1:23">
      <c r="A112" s="1280">
        <v>4</v>
      </c>
      <c r="B112" s="1277" t="s">
        <v>3176</v>
      </c>
      <c r="C112" s="1301"/>
      <c r="D112" s="1301"/>
      <c r="E112" s="1301"/>
      <c r="F112" s="1301"/>
      <c r="G112" s="1301"/>
      <c r="H112" s="1301"/>
      <c r="I112" s="1301"/>
      <c r="J112" s="1301"/>
      <c r="K112" s="1301"/>
      <c r="L112" s="1301"/>
      <c r="M112" s="1301"/>
      <c r="N112" s="1301"/>
      <c r="O112" s="1301"/>
      <c r="P112" s="1301"/>
      <c r="Q112" s="1301"/>
      <c r="R112" s="1299"/>
      <c r="S112" s="1300"/>
      <c r="T112" s="1300"/>
      <c r="U112" s="1300"/>
      <c r="V112" s="1300"/>
      <c r="W112" s="1300"/>
    </row>
    <row r="113" spans="1:23">
      <c r="A113" s="1280">
        <v>5</v>
      </c>
      <c r="B113" s="1278" t="s">
        <v>3173</v>
      </c>
      <c r="C113" s="1301"/>
      <c r="D113" s="1301"/>
      <c r="E113" s="1301"/>
      <c r="F113" s="1301"/>
      <c r="G113" s="1301"/>
      <c r="H113" s="1301"/>
      <c r="I113" s="1301"/>
      <c r="J113" s="1301"/>
      <c r="K113" s="1301"/>
      <c r="L113" s="1301"/>
      <c r="M113" s="1301"/>
      <c r="N113" s="1301"/>
      <c r="O113" s="1301"/>
      <c r="P113" s="1301"/>
      <c r="Q113" s="1301"/>
      <c r="R113" s="1299"/>
      <c r="S113" s="1300"/>
      <c r="T113" s="1300"/>
      <c r="U113" s="1300"/>
      <c r="V113" s="1300"/>
      <c r="W113" s="1300"/>
    </row>
    <row r="114" spans="1:23">
      <c r="A114" s="1280">
        <v>6</v>
      </c>
      <c r="B114" s="1277" t="s">
        <v>3172</v>
      </c>
      <c r="C114" s="1301"/>
      <c r="D114" s="1301"/>
      <c r="E114" s="1301"/>
      <c r="F114" s="1301"/>
      <c r="G114" s="1301"/>
      <c r="H114" s="1301"/>
      <c r="I114" s="1301"/>
      <c r="J114" s="1301"/>
      <c r="K114" s="1301"/>
      <c r="L114" s="1301"/>
      <c r="M114" s="1301"/>
      <c r="N114" s="1301"/>
      <c r="O114" s="1301"/>
      <c r="P114" s="1301"/>
      <c r="Q114" s="1301"/>
      <c r="R114" s="1299"/>
      <c r="S114" s="1300"/>
      <c r="T114" s="1300"/>
      <c r="U114" s="1300"/>
      <c r="V114" s="1300"/>
      <c r="W114" s="1300"/>
    </row>
    <row r="115" spans="1:23">
      <c r="A115" s="1280">
        <v>7</v>
      </c>
      <c r="B115" s="1278" t="s">
        <v>3178</v>
      </c>
      <c r="C115" s="1301"/>
      <c r="D115" s="1301"/>
      <c r="E115" s="1301"/>
      <c r="F115" s="1301"/>
      <c r="G115" s="1301"/>
      <c r="H115" s="1301"/>
      <c r="I115" s="1301"/>
      <c r="J115" s="1301"/>
      <c r="K115" s="1301"/>
      <c r="L115" s="1301"/>
      <c r="M115" s="1301"/>
      <c r="N115" s="1301"/>
      <c r="O115" s="1301"/>
      <c r="P115" s="1301"/>
      <c r="Q115" s="1301"/>
      <c r="R115" s="1299"/>
      <c r="S115" s="1300"/>
      <c r="T115" s="1300"/>
      <c r="U115" s="1300"/>
      <c r="V115" s="1300"/>
      <c r="W115" s="1300"/>
    </row>
    <row r="116" spans="1:23">
      <c r="A116" s="1378" t="s">
        <v>18</v>
      </c>
      <c r="B116" s="1379" t="s">
        <v>39</v>
      </c>
      <c r="C116" s="1799"/>
      <c r="D116" s="1799"/>
      <c r="E116" s="1799"/>
      <c r="F116" s="1799"/>
      <c r="G116" s="1799">
        <f>SUM(G117:G123)</f>
        <v>119</v>
      </c>
      <c r="H116" s="1799">
        <f>SUM(H117:H123)</f>
        <v>119</v>
      </c>
      <c r="I116" s="1799">
        <f t="shared" ref="I116:J116" si="21">SUM(I117:I123)</f>
        <v>7</v>
      </c>
      <c r="J116" s="1799">
        <f t="shared" si="21"/>
        <v>7</v>
      </c>
      <c r="K116" s="1799"/>
      <c r="L116" s="1799"/>
      <c r="M116" s="1799">
        <f>SUM(M117:M123)</f>
        <v>77</v>
      </c>
      <c r="N116" s="1799">
        <f>SUM(N117:N123)</f>
        <v>77</v>
      </c>
      <c r="O116" s="1799">
        <f>SUM(O117:O123)</f>
        <v>0</v>
      </c>
      <c r="P116" s="1799">
        <f t="shared" ref="P116" si="22">SUM(P117:P123)</f>
        <v>35</v>
      </c>
      <c r="Q116" s="1799"/>
      <c r="R116" s="1800">
        <f>SUM(R117:R123)</f>
        <v>77</v>
      </c>
      <c r="S116" s="1791">
        <f>T116+U116+V116</f>
        <v>5236.0958000000001</v>
      </c>
      <c r="T116" s="1791">
        <f>SUM(T117:T123)</f>
        <v>3220</v>
      </c>
      <c r="U116" s="1791">
        <f>SUM(U117:U123)</f>
        <v>1795.3200000000002</v>
      </c>
      <c r="V116" s="1791">
        <f>SUM(V117:V123)</f>
        <v>220.7758</v>
      </c>
      <c r="W116" s="1791"/>
    </row>
    <row r="117" spans="1:23">
      <c r="A117" s="1280">
        <v>1</v>
      </c>
      <c r="B117" s="1278" t="s">
        <v>3179</v>
      </c>
      <c r="C117" s="1301">
        <v>1</v>
      </c>
      <c r="D117" s="1301">
        <v>1</v>
      </c>
      <c r="E117" s="1301"/>
      <c r="F117" s="1301"/>
      <c r="G117" s="1301">
        <v>17</v>
      </c>
      <c r="H117" s="1301">
        <v>17</v>
      </c>
      <c r="I117" s="1301">
        <v>1</v>
      </c>
      <c r="J117" s="1301">
        <v>1</v>
      </c>
      <c r="K117" s="1301"/>
      <c r="L117" s="1301"/>
      <c r="M117" s="1301">
        <v>11</v>
      </c>
      <c r="N117" s="1301">
        <v>11</v>
      </c>
      <c r="O117" s="1301"/>
      <c r="P117" s="1301">
        <v>5</v>
      </c>
      <c r="Q117" s="1280" t="s">
        <v>3452</v>
      </c>
      <c r="R117" s="1299">
        <v>11</v>
      </c>
      <c r="S117" s="1786">
        <f>T117+U117+V117+W117</f>
        <v>487.64</v>
      </c>
      <c r="T117" s="1787">
        <v>460</v>
      </c>
      <c r="U117" s="1788">
        <v>25.2</v>
      </c>
      <c r="V117" s="1789">
        <v>2.44</v>
      </c>
      <c r="W117" s="1790"/>
    </row>
    <row r="118" spans="1:23">
      <c r="A118" s="1280">
        <v>2</v>
      </c>
      <c r="B118" s="1277" t="s">
        <v>3184</v>
      </c>
      <c r="C118" s="1301">
        <v>1</v>
      </c>
      <c r="D118" s="1301">
        <v>1</v>
      </c>
      <c r="E118" s="1301"/>
      <c r="F118" s="1301"/>
      <c r="G118" s="1301">
        <v>17</v>
      </c>
      <c r="H118" s="1301">
        <v>17</v>
      </c>
      <c r="I118" s="1301">
        <v>1</v>
      </c>
      <c r="J118" s="1301">
        <v>1</v>
      </c>
      <c r="K118" s="1301"/>
      <c r="L118" s="1301"/>
      <c r="M118" s="1301">
        <v>11</v>
      </c>
      <c r="N118" s="1301">
        <v>11</v>
      </c>
      <c r="O118" s="1301"/>
      <c r="P118" s="1301">
        <v>5</v>
      </c>
      <c r="Q118" s="1280" t="s">
        <v>3452</v>
      </c>
      <c r="R118" s="1299">
        <v>11</v>
      </c>
      <c r="S118" s="1786">
        <f>T118+U118+V118+W118</f>
        <v>925.51</v>
      </c>
      <c r="T118" s="1787">
        <v>460</v>
      </c>
      <c r="U118" s="1788">
        <v>429.12</v>
      </c>
      <c r="V118" s="1789">
        <v>36.39</v>
      </c>
      <c r="W118" s="1300"/>
    </row>
    <row r="119" spans="1:23">
      <c r="A119" s="1280">
        <v>3</v>
      </c>
      <c r="B119" s="1278" t="s">
        <v>3180</v>
      </c>
      <c r="C119" s="1301">
        <v>1</v>
      </c>
      <c r="D119" s="1301">
        <v>1</v>
      </c>
      <c r="E119" s="1301"/>
      <c r="F119" s="1301"/>
      <c r="G119" s="1301">
        <v>17</v>
      </c>
      <c r="H119" s="1301">
        <v>17</v>
      </c>
      <c r="I119" s="1301">
        <v>1</v>
      </c>
      <c r="J119" s="1301">
        <v>1</v>
      </c>
      <c r="K119" s="1301"/>
      <c r="L119" s="1301"/>
      <c r="M119" s="1301">
        <v>11</v>
      </c>
      <c r="N119" s="1301">
        <v>11</v>
      </c>
      <c r="O119" s="1301"/>
      <c r="P119" s="1301">
        <v>5</v>
      </c>
      <c r="Q119" s="1280" t="s">
        <v>3452</v>
      </c>
      <c r="R119" s="1299">
        <v>11</v>
      </c>
      <c r="S119" s="1791">
        <f t="shared" ref="S119" si="23">SUM(T119:V119)</f>
        <v>710.94999999999993</v>
      </c>
      <c r="T119" s="1787">
        <v>460</v>
      </c>
      <c r="U119" s="1300">
        <v>214.56</v>
      </c>
      <c r="V119" s="1792">
        <v>36.39</v>
      </c>
      <c r="W119" s="1300"/>
    </row>
    <row r="120" spans="1:23">
      <c r="A120" s="1280">
        <v>4</v>
      </c>
      <c r="B120" s="1277" t="s">
        <v>3183</v>
      </c>
      <c r="C120" s="1301">
        <v>1</v>
      </c>
      <c r="D120" s="1301">
        <v>1</v>
      </c>
      <c r="E120" s="1301"/>
      <c r="F120" s="1301"/>
      <c r="G120" s="1301">
        <v>17</v>
      </c>
      <c r="H120" s="1301">
        <v>17</v>
      </c>
      <c r="I120" s="1301">
        <v>1</v>
      </c>
      <c r="J120" s="1301">
        <v>1</v>
      </c>
      <c r="K120" s="1301"/>
      <c r="L120" s="1301"/>
      <c r="M120" s="1301">
        <v>11</v>
      </c>
      <c r="N120" s="1301">
        <v>11</v>
      </c>
      <c r="O120" s="1301"/>
      <c r="P120" s="1301">
        <v>5</v>
      </c>
      <c r="Q120" s="1280" t="s">
        <v>3452</v>
      </c>
      <c r="R120" s="1299">
        <v>11</v>
      </c>
      <c r="S120" s="1791">
        <f>SUM(T120:V120)</f>
        <v>925.51</v>
      </c>
      <c r="T120" s="1787">
        <v>460</v>
      </c>
      <c r="U120" s="1300">
        <v>429.12</v>
      </c>
      <c r="V120" s="1792">
        <v>36.39</v>
      </c>
      <c r="W120" s="1793"/>
    </row>
    <row r="121" spans="1:23">
      <c r="A121" s="1280">
        <v>5</v>
      </c>
      <c r="B121" s="1278" t="s">
        <v>3181</v>
      </c>
      <c r="C121" s="1301">
        <v>1</v>
      </c>
      <c r="D121" s="1301">
        <v>1</v>
      </c>
      <c r="E121" s="1301"/>
      <c r="F121" s="1301"/>
      <c r="G121" s="1301">
        <v>17</v>
      </c>
      <c r="H121" s="1301">
        <v>17</v>
      </c>
      <c r="I121" s="1301">
        <v>1</v>
      </c>
      <c r="J121" s="1301">
        <v>1</v>
      </c>
      <c r="K121" s="1301"/>
      <c r="L121" s="1301"/>
      <c r="M121" s="1301">
        <v>11</v>
      </c>
      <c r="N121" s="1301">
        <v>11</v>
      </c>
      <c r="O121" s="1301"/>
      <c r="P121" s="1301">
        <v>5</v>
      </c>
      <c r="Q121" s="1280" t="s">
        <v>3452</v>
      </c>
      <c r="R121" s="1299">
        <v>11</v>
      </c>
      <c r="S121" s="1786">
        <f>T121+U121+V121+W121</f>
        <v>871.86580000000004</v>
      </c>
      <c r="T121" s="1787">
        <v>460</v>
      </c>
      <c r="U121" s="1788">
        <v>375.48</v>
      </c>
      <c r="V121" s="1789">
        <v>36.385800000000003</v>
      </c>
      <c r="W121" s="1790"/>
    </row>
    <row r="122" spans="1:23">
      <c r="A122" s="1280">
        <v>6</v>
      </c>
      <c r="B122" s="1277" t="s">
        <v>3185</v>
      </c>
      <c r="C122" s="1301">
        <v>1</v>
      </c>
      <c r="D122" s="1301">
        <v>1</v>
      </c>
      <c r="E122" s="1301"/>
      <c r="F122" s="1301"/>
      <c r="G122" s="1301">
        <v>17</v>
      </c>
      <c r="H122" s="1301">
        <v>17</v>
      </c>
      <c r="I122" s="1301">
        <v>1</v>
      </c>
      <c r="J122" s="1301">
        <v>1</v>
      </c>
      <c r="K122" s="1301"/>
      <c r="L122" s="1301"/>
      <c r="M122" s="1301">
        <v>11</v>
      </c>
      <c r="N122" s="1301">
        <v>11</v>
      </c>
      <c r="O122" s="1301"/>
      <c r="P122" s="1301">
        <v>5</v>
      </c>
      <c r="Q122" s="1280" t="s">
        <v>3452</v>
      </c>
      <c r="R122" s="1794">
        <v>11</v>
      </c>
      <c r="S122" s="1795">
        <f>T122+U122+V122+W122</f>
        <v>657.31</v>
      </c>
      <c r="T122" s="1787">
        <v>460</v>
      </c>
      <c r="U122" s="1796">
        <v>160.91999999999999</v>
      </c>
      <c r="V122" s="1797">
        <v>36.39</v>
      </c>
      <c r="W122" s="1798"/>
    </row>
    <row r="123" spans="1:23">
      <c r="A123" s="1280">
        <v>7</v>
      </c>
      <c r="B123" s="1278" t="s">
        <v>3182</v>
      </c>
      <c r="C123" s="1301">
        <v>1</v>
      </c>
      <c r="D123" s="1301">
        <v>1</v>
      </c>
      <c r="E123" s="1301"/>
      <c r="F123" s="1301"/>
      <c r="G123" s="1301">
        <v>17</v>
      </c>
      <c r="H123" s="1301">
        <v>17</v>
      </c>
      <c r="I123" s="1301">
        <v>1</v>
      </c>
      <c r="J123" s="1301">
        <v>1</v>
      </c>
      <c r="K123" s="1301"/>
      <c r="L123" s="1301"/>
      <c r="M123" s="1301">
        <v>11</v>
      </c>
      <c r="N123" s="1301">
        <v>11</v>
      </c>
      <c r="O123" s="1301"/>
      <c r="P123" s="1301">
        <v>5</v>
      </c>
      <c r="Q123" s="1280" t="s">
        <v>3452</v>
      </c>
      <c r="R123" s="1299">
        <v>11</v>
      </c>
      <c r="S123" s="1791">
        <f t="shared" ref="S123" si="24">SUM(T123:V123)</f>
        <v>657.31</v>
      </c>
      <c r="T123" s="1787">
        <v>460</v>
      </c>
      <c r="U123" s="1300">
        <v>160.91999999999999</v>
      </c>
      <c r="V123" s="1792">
        <v>36.39</v>
      </c>
      <c r="W123" s="1300"/>
    </row>
  </sheetData>
  <mergeCells count="14">
    <mergeCell ref="N4:N5"/>
    <mergeCell ref="O4:P4"/>
    <mergeCell ref="Q4:Q5"/>
    <mergeCell ref="R4:W4"/>
    <mergeCell ref="A1:Q1"/>
    <mergeCell ref="A4:A5"/>
    <mergeCell ref="B4:B5"/>
    <mergeCell ref="C4:C5"/>
    <mergeCell ref="D4:F4"/>
    <mergeCell ref="G4:G5"/>
    <mergeCell ref="H4:H5"/>
    <mergeCell ref="I4:I5"/>
    <mergeCell ref="J4:L4"/>
    <mergeCell ref="M4:M5"/>
  </mergeCells>
  <printOptions horizontalCentered="1"/>
  <pageMargins left="0.7" right="0.5" top="0.75" bottom="0.75" header="0.3" footer="0.3"/>
  <pageSetup paperSize="9" scale="5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2:L132"/>
  <sheetViews>
    <sheetView workbookViewId="0">
      <selection activeCell="C18" sqref="C18"/>
    </sheetView>
  </sheetViews>
  <sheetFormatPr defaultColWidth="9.140625" defaultRowHeight="16.5"/>
  <cols>
    <col min="1" max="1" width="9.140625" style="200"/>
    <col min="2" max="2" width="27.5703125" style="200" customWidth="1"/>
    <col min="3" max="4" width="9.140625" style="200" hidden="1" customWidth="1"/>
    <col min="5" max="5" width="19.42578125" style="201" hidden="1" customWidth="1"/>
    <col min="6" max="6" width="19.28515625" style="201" hidden="1" customWidth="1"/>
    <col min="7" max="7" width="16.28515625" style="201" hidden="1" customWidth="1"/>
    <col min="8" max="8" width="16.85546875" style="201" hidden="1" customWidth="1"/>
    <col min="9" max="11" width="9.140625" style="202"/>
    <col min="12" max="16384" width="9.140625" style="200"/>
  </cols>
  <sheetData>
    <row r="2" spans="1:12" s="199" customFormat="1">
      <c r="A2" s="2018" t="s">
        <v>3195</v>
      </c>
      <c r="B2" s="2018"/>
      <c r="C2" s="2018"/>
      <c r="D2" s="2018"/>
      <c r="E2" s="2018"/>
      <c r="F2" s="2018"/>
      <c r="G2" s="2018"/>
      <c r="H2" s="2018"/>
      <c r="I2" s="2018"/>
      <c r="J2" s="2018"/>
      <c r="K2" s="2018"/>
    </row>
    <row r="3" spans="1:12">
      <c r="E3" s="200"/>
      <c r="F3" s="200"/>
    </row>
    <row r="5" spans="1:12" ht="16.5" customHeight="1">
      <c r="A5" s="2019" t="s">
        <v>3196</v>
      </c>
      <c r="B5" s="2019"/>
      <c r="C5" s="2019" t="s">
        <v>3197</v>
      </c>
      <c r="D5" s="2019" t="s">
        <v>3198</v>
      </c>
      <c r="E5" s="2021" t="s">
        <v>3199</v>
      </c>
      <c r="F5" s="2021" t="s">
        <v>3200</v>
      </c>
      <c r="G5" s="2021" t="s">
        <v>3201</v>
      </c>
      <c r="H5" s="2021" t="s">
        <v>3202</v>
      </c>
      <c r="I5" s="2013" t="s">
        <v>3203</v>
      </c>
      <c r="J5" s="2013" t="s">
        <v>3204</v>
      </c>
      <c r="K5" s="2013" t="s">
        <v>3205</v>
      </c>
    </row>
    <row r="6" spans="1:12">
      <c r="A6" s="2020"/>
      <c r="B6" s="2020"/>
      <c r="C6" s="2020"/>
      <c r="D6" s="2020"/>
      <c r="E6" s="2020"/>
      <c r="F6" s="2020"/>
      <c r="G6" s="2022"/>
      <c r="H6" s="2022"/>
      <c r="I6" s="2014"/>
      <c r="J6" s="2014"/>
      <c r="K6" s="2014"/>
    </row>
    <row r="7" spans="1:12" s="199" customFormat="1">
      <c r="A7" s="2015" t="s">
        <v>2509</v>
      </c>
      <c r="B7" s="2015"/>
      <c r="C7" s="1169">
        <f t="shared" ref="C7:K7" si="0">C8+C23+C35+C50+C68+C80+C96+C104+C112</f>
        <v>106</v>
      </c>
      <c r="D7" s="1169">
        <f t="shared" si="0"/>
        <v>816</v>
      </c>
      <c r="E7" s="1169">
        <f t="shared" si="0"/>
        <v>65</v>
      </c>
      <c r="F7" s="1169">
        <f t="shared" si="0"/>
        <v>41</v>
      </c>
      <c r="G7" s="1169">
        <f t="shared" si="0"/>
        <v>57</v>
      </c>
      <c r="H7" s="1169">
        <f t="shared" si="0"/>
        <v>49</v>
      </c>
      <c r="I7" s="1169">
        <f t="shared" si="0"/>
        <v>73</v>
      </c>
      <c r="J7" s="1169">
        <f t="shared" si="0"/>
        <v>31</v>
      </c>
      <c r="K7" s="1169">
        <f t="shared" si="0"/>
        <v>2</v>
      </c>
      <c r="L7" s="199">
        <f>SUM(I7,J7,K7)</f>
        <v>106</v>
      </c>
    </row>
    <row r="8" spans="1:12" s="199" customFormat="1">
      <c r="A8" s="203" t="s">
        <v>3206</v>
      </c>
      <c r="B8" s="203"/>
      <c r="C8" s="204">
        <v>14</v>
      </c>
      <c r="D8" s="204">
        <f>SUM(D9:D22)</f>
        <v>108</v>
      </c>
      <c r="E8" s="204">
        <v>10</v>
      </c>
      <c r="F8" s="204">
        <v>4</v>
      </c>
      <c r="G8" s="204">
        <v>11</v>
      </c>
      <c r="H8" s="204">
        <v>3</v>
      </c>
      <c r="I8" s="205">
        <v>9</v>
      </c>
      <c r="J8" s="205">
        <v>5</v>
      </c>
      <c r="K8" s="205"/>
    </row>
    <row r="9" spans="1:12">
      <c r="A9" s="206">
        <v>1</v>
      </c>
      <c r="B9" s="203" t="s">
        <v>3090</v>
      </c>
      <c r="C9" s="204"/>
      <c r="D9" s="204">
        <v>6</v>
      </c>
      <c r="E9" s="206" t="s">
        <v>3207</v>
      </c>
      <c r="F9" s="206"/>
      <c r="G9" s="206" t="s">
        <v>3207</v>
      </c>
      <c r="H9" s="206"/>
      <c r="I9" s="198"/>
      <c r="J9" s="198">
        <v>2</v>
      </c>
      <c r="K9" s="198"/>
    </row>
    <row r="10" spans="1:12">
      <c r="A10" s="206">
        <v>2</v>
      </c>
      <c r="B10" s="203" t="s">
        <v>3091</v>
      </c>
      <c r="C10" s="204"/>
      <c r="D10" s="204">
        <v>8</v>
      </c>
      <c r="E10" s="206" t="s">
        <v>3207</v>
      </c>
      <c r="F10" s="206"/>
      <c r="G10" s="206" t="s">
        <v>3207</v>
      </c>
      <c r="H10" s="206"/>
      <c r="I10" s="198"/>
      <c r="J10" s="198">
        <v>2</v>
      </c>
      <c r="K10" s="198"/>
    </row>
    <row r="11" spans="1:12">
      <c r="A11" s="206">
        <v>3</v>
      </c>
      <c r="B11" s="203" t="s">
        <v>3092</v>
      </c>
      <c r="C11" s="204"/>
      <c r="D11" s="204">
        <v>7</v>
      </c>
      <c r="E11" s="206" t="s">
        <v>3207</v>
      </c>
      <c r="F11" s="206"/>
      <c r="G11" s="206" t="s">
        <v>3207</v>
      </c>
      <c r="H11" s="206"/>
      <c r="I11" s="198"/>
      <c r="J11" s="198">
        <v>2</v>
      </c>
      <c r="K11" s="198"/>
    </row>
    <row r="12" spans="1:12">
      <c r="A12" s="206">
        <v>4</v>
      </c>
      <c r="B12" s="203" t="s">
        <v>3093</v>
      </c>
      <c r="C12" s="204"/>
      <c r="D12" s="204">
        <v>8</v>
      </c>
      <c r="E12" s="206" t="s">
        <v>3207</v>
      </c>
      <c r="F12" s="206"/>
      <c r="G12" s="206" t="s">
        <v>3207</v>
      </c>
      <c r="H12" s="206"/>
      <c r="I12" s="198">
        <v>1</v>
      </c>
      <c r="J12" s="198"/>
      <c r="K12" s="198"/>
    </row>
    <row r="13" spans="1:12">
      <c r="A13" s="206">
        <v>5</v>
      </c>
      <c r="B13" s="203" t="s">
        <v>3094</v>
      </c>
      <c r="C13" s="204"/>
      <c r="D13" s="204">
        <v>8</v>
      </c>
      <c r="E13" s="206" t="s">
        <v>3207</v>
      </c>
      <c r="F13" s="206"/>
      <c r="G13" s="206" t="s">
        <v>3207</v>
      </c>
      <c r="H13" s="206"/>
      <c r="I13" s="198">
        <v>1</v>
      </c>
      <c r="J13" s="198"/>
      <c r="K13" s="198"/>
    </row>
    <row r="14" spans="1:12">
      <c r="A14" s="206">
        <v>6</v>
      </c>
      <c r="B14" s="203" t="s">
        <v>3095</v>
      </c>
      <c r="C14" s="204"/>
      <c r="D14" s="204">
        <v>7</v>
      </c>
      <c r="E14" s="206" t="s">
        <v>3207</v>
      </c>
      <c r="F14" s="206"/>
      <c r="G14" s="206" t="s">
        <v>3207</v>
      </c>
      <c r="H14" s="206"/>
      <c r="I14" s="198">
        <v>1</v>
      </c>
      <c r="J14" s="198"/>
      <c r="K14" s="198"/>
    </row>
    <row r="15" spans="1:12">
      <c r="A15" s="206">
        <v>7</v>
      </c>
      <c r="B15" s="203" t="s">
        <v>3096</v>
      </c>
      <c r="C15" s="204"/>
      <c r="D15" s="204">
        <v>8</v>
      </c>
      <c r="E15" s="206" t="s">
        <v>3207</v>
      </c>
      <c r="F15" s="206"/>
      <c r="G15" s="206" t="s">
        <v>3207</v>
      </c>
      <c r="H15" s="206"/>
      <c r="I15" s="198">
        <v>1</v>
      </c>
      <c r="J15" s="198"/>
      <c r="K15" s="198"/>
    </row>
    <row r="16" spans="1:12">
      <c r="A16" s="206">
        <v>8</v>
      </c>
      <c r="B16" s="203" t="s">
        <v>3097</v>
      </c>
      <c r="C16" s="204"/>
      <c r="D16" s="204">
        <v>8</v>
      </c>
      <c r="E16" s="206" t="s">
        <v>3207</v>
      </c>
      <c r="F16" s="206"/>
      <c r="G16" s="206" t="s">
        <v>3207</v>
      </c>
      <c r="H16" s="206"/>
      <c r="I16" s="198">
        <v>1</v>
      </c>
      <c r="J16" s="198"/>
      <c r="K16" s="198"/>
    </row>
    <row r="17" spans="1:11">
      <c r="A17" s="206">
        <v>9</v>
      </c>
      <c r="B17" s="203" t="s">
        <v>3098</v>
      </c>
      <c r="C17" s="204"/>
      <c r="D17" s="204">
        <v>10</v>
      </c>
      <c r="E17" s="206" t="s">
        <v>3207</v>
      </c>
      <c r="F17" s="206"/>
      <c r="G17" s="206" t="s">
        <v>3207</v>
      </c>
      <c r="H17" s="206"/>
      <c r="I17" s="198">
        <v>1</v>
      </c>
      <c r="J17" s="198"/>
      <c r="K17" s="198"/>
    </row>
    <row r="18" spans="1:11">
      <c r="A18" s="206">
        <v>10</v>
      </c>
      <c r="B18" s="203" t="s">
        <v>3099</v>
      </c>
      <c r="C18" s="204"/>
      <c r="D18" s="204">
        <v>9</v>
      </c>
      <c r="E18" s="206" t="s">
        <v>3207</v>
      </c>
      <c r="F18" s="206"/>
      <c r="G18" s="206" t="s">
        <v>3207</v>
      </c>
      <c r="H18" s="206"/>
      <c r="I18" s="198">
        <v>1</v>
      </c>
      <c r="J18" s="198"/>
      <c r="K18" s="198"/>
    </row>
    <row r="19" spans="1:11">
      <c r="A19" s="206">
        <v>11</v>
      </c>
      <c r="B19" s="203" t="s">
        <v>3100</v>
      </c>
      <c r="C19" s="204"/>
      <c r="D19" s="204">
        <v>9</v>
      </c>
      <c r="E19" s="206"/>
      <c r="F19" s="206" t="s">
        <v>3207</v>
      </c>
      <c r="G19" s="206" t="s">
        <v>3207</v>
      </c>
      <c r="H19" s="206"/>
      <c r="I19" s="198">
        <v>1</v>
      </c>
      <c r="J19" s="198"/>
      <c r="K19" s="198"/>
    </row>
    <row r="20" spans="1:11" s="209" customFormat="1">
      <c r="A20" s="206">
        <v>12</v>
      </c>
      <c r="B20" s="207" t="s">
        <v>3101</v>
      </c>
      <c r="C20" s="206"/>
      <c r="D20" s="206">
        <v>7</v>
      </c>
      <c r="E20" s="206"/>
      <c r="F20" s="206" t="s">
        <v>3207</v>
      </c>
      <c r="G20" s="208"/>
      <c r="H20" s="206" t="s">
        <v>3207</v>
      </c>
      <c r="I20" s="198">
        <v>1</v>
      </c>
      <c r="J20" s="198"/>
      <c r="K20" s="198"/>
    </row>
    <row r="21" spans="1:11" s="209" customFormat="1">
      <c r="A21" s="206">
        <v>13</v>
      </c>
      <c r="B21" s="207" t="s">
        <v>3102</v>
      </c>
      <c r="C21" s="206"/>
      <c r="D21" s="206">
        <v>5</v>
      </c>
      <c r="E21" s="206"/>
      <c r="F21" s="206" t="s">
        <v>3207</v>
      </c>
      <c r="G21" s="208"/>
      <c r="H21" s="206" t="s">
        <v>3207</v>
      </c>
      <c r="I21" s="198"/>
      <c r="J21" s="198">
        <v>2</v>
      </c>
      <c r="K21" s="198"/>
    </row>
    <row r="22" spans="1:11" s="209" customFormat="1">
      <c r="A22" s="206">
        <v>14</v>
      </c>
      <c r="B22" s="207" t="s">
        <v>3103</v>
      </c>
      <c r="C22" s="206"/>
      <c r="D22" s="206">
        <v>8</v>
      </c>
      <c r="E22" s="211"/>
      <c r="F22" s="206" t="s">
        <v>3207</v>
      </c>
      <c r="G22" s="208"/>
      <c r="H22" s="206" t="s">
        <v>3207</v>
      </c>
      <c r="I22" s="198"/>
      <c r="J22" s="198">
        <v>2</v>
      </c>
      <c r="K22" s="198"/>
    </row>
    <row r="23" spans="1:11" s="199" customFormat="1">
      <c r="A23" s="203" t="s">
        <v>3208</v>
      </c>
      <c r="B23" s="203"/>
      <c r="C23" s="204">
        <v>11</v>
      </c>
      <c r="D23" s="204">
        <f>SUM(D24:D34)</f>
        <v>70</v>
      </c>
      <c r="E23" s="204">
        <v>8</v>
      </c>
      <c r="F23" s="204">
        <v>3</v>
      </c>
      <c r="G23" s="204">
        <v>6</v>
      </c>
      <c r="H23" s="204">
        <v>5</v>
      </c>
      <c r="I23" s="205">
        <v>9</v>
      </c>
      <c r="J23" s="205">
        <v>2</v>
      </c>
      <c r="K23" s="205"/>
    </row>
    <row r="24" spans="1:11">
      <c r="A24" s="204">
        <v>1</v>
      </c>
      <c r="B24" s="203" t="s">
        <v>3104</v>
      </c>
      <c r="C24" s="204"/>
      <c r="D24" s="204">
        <v>8</v>
      </c>
      <c r="E24" s="206" t="s">
        <v>3207</v>
      </c>
      <c r="F24" s="206"/>
      <c r="G24" s="206" t="s">
        <v>3207</v>
      </c>
      <c r="H24" s="206"/>
      <c r="I24" s="198">
        <v>1</v>
      </c>
      <c r="J24" s="198"/>
      <c r="K24" s="198"/>
    </row>
    <row r="25" spans="1:11">
      <c r="A25" s="204">
        <v>2</v>
      </c>
      <c r="B25" s="203" t="s">
        <v>3105</v>
      </c>
      <c r="C25" s="204"/>
      <c r="D25" s="204">
        <v>6</v>
      </c>
      <c r="E25" s="206" t="s">
        <v>3207</v>
      </c>
      <c r="F25" s="206"/>
      <c r="G25" s="206" t="s">
        <v>3207</v>
      </c>
      <c r="H25" s="206"/>
      <c r="I25" s="198">
        <v>1</v>
      </c>
      <c r="J25" s="198"/>
      <c r="K25" s="198"/>
    </row>
    <row r="26" spans="1:11">
      <c r="A26" s="204">
        <v>3</v>
      </c>
      <c r="B26" s="203" t="s">
        <v>3106</v>
      </c>
      <c r="C26" s="204"/>
      <c r="D26" s="204">
        <v>6</v>
      </c>
      <c r="E26" s="206" t="s">
        <v>3207</v>
      </c>
      <c r="F26" s="206"/>
      <c r="G26" s="206" t="s">
        <v>3207</v>
      </c>
      <c r="H26" s="206"/>
      <c r="I26" s="198">
        <v>1</v>
      </c>
      <c r="J26" s="198"/>
      <c r="K26" s="198"/>
    </row>
    <row r="27" spans="1:11">
      <c r="A27" s="204">
        <v>4</v>
      </c>
      <c r="B27" s="203" t="s">
        <v>3107</v>
      </c>
      <c r="C27" s="204"/>
      <c r="D27" s="204">
        <v>6</v>
      </c>
      <c r="E27" s="206" t="s">
        <v>3207</v>
      </c>
      <c r="F27" s="206"/>
      <c r="G27" s="206" t="s">
        <v>3207</v>
      </c>
      <c r="H27" s="206"/>
      <c r="I27" s="198"/>
      <c r="J27" s="198">
        <v>2</v>
      </c>
      <c r="K27" s="198"/>
    </row>
    <row r="28" spans="1:11">
      <c r="A28" s="204">
        <v>5</v>
      </c>
      <c r="B28" s="203" t="s">
        <v>3108</v>
      </c>
      <c r="C28" s="204"/>
      <c r="D28" s="204">
        <v>7</v>
      </c>
      <c r="E28" s="206" t="s">
        <v>3207</v>
      </c>
      <c r="F28" s="206"/>
      <c r="G28" s="206" t="s">
        <v>3207</v>
      </c>
      <c r="H28" s="206"/>
      <c r="I28" s="198">
        <v>1</v>
      </c>
      <c r="J28" s="198"/>
      <c r="K28" s="198"/>
    </row>
    <row r="29" spans="1:11">
      <c r="A29" s="227">
        <v>6</v>
      </c>
      <c r="B29" s="213" t="s">
        <v>3109</v>
      </c>
      <c r="C29" s="204"/>
      <c r="D29" s="204">
        <v>7</v>
      </c>
      <c r="E29" s="206" t="s">
        <v>3207</v>
      </c>
      <c r="F29" s="206"/>
      <c r="G29" s="206" t="s">
        <v>3207</v>
      </c>
      <c r="H29" s="206"/>
      <c r="I29" s="198">
        <v>1</v>
      </c>
      <c r="J29" s="198"/>
      <c r="K29" s="198"/>
    </row>
    <row r="30" spans="1:11" s="209" customFormat="1">
      <c r="A30" s="204">
        <v>7</v>
      </c>
      <c r="B30" s="207" t="s">
        <v>3110</v>
      </c>
      <c r="C30" s="206"/>
      <c r="D30" s="206">
        <v>7</v>
      </c>
      <c r="E30" s="206" t="s">
        <v>3207</v>
      </c>
      <c r="F30" s="206"/>
      <c r="G30" s="208"/>
      <c r="H30" s="206" t="s">
        <v>3207</v>
      </c>
      <c r="I30" s="198">
        <v>1</v>
      </c>
      <c r="J30" s="198"/>
      <c r="K30" s="198"/>
    </row>
    <row r="31" spans="1:11" s="209" customFormat="1">
      <c r="A31" s="204">
        <v>8</v>
      </c>
      <c r="B31" s="207" t="s">
        <v>3111</v>
      </c>
      <c r="C31" s="206"/>
      <c r="D31" s="206">
        <v>5</v>
      </c>
      <c r="E31" s="206" t="s">
        <v>3207</v>
      </c>
      <c r="F31" s="206"/>
      <c r="G31" s="208"/>
      <c r="H31" s="206" t="s">
        <v>3207</v>
      </c>
      <c r="I31" s="198">
        <v>1</v>
      </c>
      <c r="J31" s="198"/>
      <c r="K31" s="198"/>
    </row>
    <row r="32" spans="1:11" s="209" customFormat="1">
      <c r="A32" s="227">
        <v>9</v>
      </c>
      <c r="B32" s="210" t="s">
        <v>3112</v>
      </c>
      <c r="C32" s="206"/>
      <c r="D32" s="206">
        <v>6</v>
      </c>
      <c r="E32" s="206"/>
      <c r="F32" s="206" t="s">
        <v>3207</v>
      </c>
      <c r="G32" s="208"/>
      <c r="H32" s="206" t="s">
        <v>3207</v>
      </c>
      <c r="I32" s="198">
        <v>1</v>
      </c>
      <c r="J32" s="198"/>
      <c r="K32" s="198"/>
    </row>
    <row r="33" spans="1:11" s="209" customFormat="1">
      <c r="A33" s="204">
        <v>10</v>
      </c>
      <c r="B33" s="207" t="s">
        <v>3113</v>
      </c>
      <c r="C33" s="206"/>
      <c r="D33" s="206">
        <v>8</v>
      </c>
      <c r="E33" s="211"/>
      <c r="F33" s="206" t="s">
        <v>3207</v>
      </c>
      <c r="G33" s="208"/>
      <c r="H33" s="206" t="s">
        <v>3207</v>
      </c>
      <c r="I33" s="198"/>
      <c r="J33" s="198">
        <v>2</v>
      </c>
      <c r="K33" s="198"/>
    </row>
    <row r="34" spans="1:11" s="209" customFormat="1">
      <c r="A34" s="204">
        <v>11</v>
      </c>
      <c r="B34" s="207" t="s">
        <v>3114</v>
      </c>
      <c r="C34" s="206"/>
      <c r="D34" s="206">
        <v>4</v>
      </c>
      <c r="E34" s="211"/>
      <c r="F34" s="206" t="s">
        <v>3207</v>
      </c>
      <c r="G34" s="208"/>
      <c r="H34" s="206" t="s">
        <v>3207</v>
      </c>
      <c r="I34" s="198">
        <v>1</v>
      </c>
      <c r="J34" s="198"/>
      <c r="K34" s="198"/>
    </row>
    <row r="35" spans="1:11" s="199" customFormat="1">
      <c r="A35" s="203" t="s">
        <v>3209</v>
      </c>
      <c r="B35" s="203"/>
      <c r="C35" s="204">
        <v>14</v>
      </c>
      <c r="D35" s="204">
        <f>SUM(D36:D49)</f>
        <v>135</v>
      </c>
      <c r="E35" s="204">
        <v>3</v>
      </c>
      <c r="F35" s="204">
        <v>11</v>
      </c>
      <c r="G35" s="204">
        <v>4</v>
      </c>
      <c r="H35" s="204">
        <v>10</v>
      </c>
      <c r="I35" s="205">
        <v>9</v>
      </c>
      <c r="J35" s="205">
        <v>4</v>
      </c>
      <c r="K35" s="205">
        <v>1</v>
      </c>
    </row>
    <row r="36" spans="1:11">
      <c r="A36" s="204">
        <v>1</v>
      </c>
      <c r="B36" s="203" t="s">
        <v>3115</v>
      </c>
      <c r="C36" s="204"/>
      <c r="D36" s="204">
        <v>12</v>
      </c>
      <c r="E36" s="206" t="s">
        <v>3207</v>
      </c>
      <c r="F36" s="206"/>
      <c r="G36" s="206" t="s">
        <v>3207</v>
      </c>
      <c r="H36" s="206"/>
      <c r="I36" s="198">
        <v>1</v>
      </c>
      <c r="J36" s="198"/>
      <c r="K36" s="198"/>
    </row>
    <row r="37" spans="1:11">
      <c r="A37" s="204">
        <v>2</v>
      </c>
      <c r="B37" s="203" t="s">
        <v>3116</v>
      </c>
      <c r="C37" s="204"/>
      <c r="D37" s="204">
        <v>10</v>
      </c>
      <c r="E37" s="206" t="s">
        <v>3207</v>
      </c>
      <c r="F37" s="206"/>
      <c r="G37" s="206" t="s">
        <v>3207</v>
      </c>
      <c r="H37" s="206"/>
      <c r="I37" s="198">
        <v>1</v>
      </c>
      <c r="J37" s="198"/>
      <c r="K37" s="198"/>
    </row>
    <row r="38" spans="1:11">
      <c r="A38" s="204">
        <v>3</v>
      </c>
      <c r="B38" s="203" t="s">
        <v>3117</v>
      </c>
      <c r="C38" s="204"/>
      <c r="D38" s="204">
        <v>9</v>
      </c>
      <c r="E38" s="206" t="s">
        <v>3207</v>
      </c>
      <c r="F38" s="206"/>
      <c r="G38" s="206" t="s">
        <v>3207</v>
      </c>
      <c r="H38" s="206"/>
      <c r="I38" s="198">
        <v>1</v>
      </c>
      <c r="J38" s="198"/>
      <c r="K38" s="198"/>
    </row>
    <row r="39" spans="1:11">
      <c r="A39" s="227">
        <v>4</v>
      </c>
      <c r="B39" s="213" t="s">
        <v>3118</v>
      </c>
      <c r="C39" s="204"/>
      <c r="D39" s="204">
        <v>11</v>
      </c>
      <c r="E39" s="206"/>
      <c r="F39" s="206" t="s">
        <v>3207</v>
      </c>
      <c r="G39" s="206" t="s">
        <v>3207</v>
      </c>
      <c r="H39" s="206"/>
      <c r="I39" s="198">
        <v>1</v>
      </c>
      <c r="J39" s="198"/>
      <c r="K39" s="198"/>
    </row>
    <row r="40" spans="1:11" s="209" customFormat="1">
      <c r="A40" s="204">
        <v>5</v>
      </c>
      <c r="B40" s="207" t="s">
        <v>3119</v>
      </c>
      <c r="C40" s="206"/>
      <c r="D40" s="206">
        <v>10</v>
      </c>
      <c r="E40" s="212"/>
      <c r="F40" s="206" t="s">
        <v>3207</v>
      </c>
      <c r="G40" s="208"/>
      <c r="H40" s="206" t="s">
        <v>3207</v>
      </c>
      <c r="I40" s="198">
        <v>1</v>
      </c>
      <c r="J40" s="198"/>
      <c r="K40" s="198"/>
    </row>
    <row r="41" spans="1:11" s="209" customFormat="1">
      <c r="A41" s="204">
        <v>6</v>
      </c>
      <c r="B41" s="207" t="s">
        <v>3120</v>
      </c>
      <c r="C41" s="206"/>
      <c r="D41" s="206">
        <v>12</v>
      </c>
      <c r="E41" s="212"/>
      <c r="F41" s="206" t="s">
        <v>3207</v>
      </c>
      <c r="G41" s="208"/>
      <c r="H41" s="206" t="s">
        <v>3207</v>
      </c>
      <c r="I41" s="198">
        <v>1</v>
      </c>
      <c r="J41" s="198"/>
      <c r="K41" s="198"/>
    </row>
    <row r="42" spans="1:11" s="209" customFormat="1">
      <c r="A42" s="204">
        <v>7</v>
      </c>
      <c r="B42" s="207" t="s">
        <v>3121</v>
      </c>
      <c r="C42" s="206"/>
      <c r="D42" s="206">
        <v>9</v>
      </c>
      <c r="E42" s="212"/>
      <c r="F42" s="206" t="s">
        <v>3207</v>
      </c>
      <c r="G42" s="208"/>
      <c r="H42" s="206" t="s">
        <v>3207</v>
      </c>
      <c r="I42" s="198">
        <v>1</v>
      </c>
      <c r="J42" s="198"/>
      <c r="K42" s="198"/>
    </row>
    <row r="43" spans="1:11" s="209" customFormat="1">
      <c r="A43" s="227">
        <v>8</v>
      </c>
      <c r="B43" s="210" t="s">
        <v>3122</v>
      </c>
      <c r="C43" s="206"/>
      <c r="D43" s="206">
        <v>8</v>
      </c>
      <c r="E43" s="212"/>
      <c r="F43" s="206" t="s">
        <v>3207</v>
      </c>
      <c r="G43" s="208"/>
      <c r="H43" s="206" t="s">
        <v>3207</v>
      </c>
      <c r="I43" s="198">
        <v>1</v>
      </c>
      <c r="J43" s="198"/>
      <c r="K43" s="198"/>
    </row>
    <row r="44" spans="1:11" s="209" customFormat="1">
      <c r="A44" s="204">
        <v>9</v>
      </c>
      <c r="B44" s="207" t="s">
        <v>3123</v>
      </c>
      <c r="C44" s="206"/>
      <c r="D44" s="206">
        <v>10</v>
      </c>
      <c r="E44" s="212"/>
      <c r="F44" s="206" t="s">
        <v>3207</v>
      </c>
      <c r="G44" s="208"/>
      <c r="H44" s="206" t="s">
        <v>3207</v>
      </c>
      <c r="I44" s="198"/>
      <c r="J44" s="198">
        <v>2</v>
      </c>
      <c r="K44" s="198"/>
    </row>
    <row r="45" spans="1:11" s="209" customFormat="1">
      <c r="A45" s="204">
        <v>10</v>
      </c>
      <c r="B45" s="207" t="s">
        <v>3124</v>
      </c>
      <c r="C45" s="206"/>
      <c r="D45" s="206">
        <v>11</v>
      </c>
      <c r="E45" s="212"/>
      <c r="F45" s="206" t="s">
        <v>3207</v>
      </c>
      <c r="G45" s="208"/>
      <c r="H45" s="206" t="s">
        <v>3207</v>
      </c>
      <c r="I45" s="198"/>
      <c r="J45" s="198">
        <v>2</v>
      </c>
      <c r="K45" s="198"/>
    </row>
    <row r="46" spans="1:11" s="209" customFormat="1">
      <c r="A46" s="204">
        <v>11</v>
      </c>
      <c r="B46" s="207" t="s">
        <v>3125</v>
      </c>
      <c r="C46" s="206"/>
      <c r="D46" s="206">
        <v>8</v>
      </c>
      <c r="E46" s="212"/>
      <c r="F46" s="206" t="s">
        <v>3207</v>
      </c>
      <c r="G46" s="208"/>
      <c r="H46" s="206" t="s">
        <v>3207</v>
      </c>
      <c r="I46" s="198"/>
      <c r="J46" s="198">
        <v>2</v>
      </c>
      <c r="K46" s="198"/>
    </row>
    <row r="47" spans="1:11" s="209" customFormat="1">
      <c r="A47" s="227">
        <v>12</v>
      </c>
      <c r="B47" s="210" t="s">
        <v>3126</v>
      </c>
      <c r="C47" s="206"/>
      <c r="D47" s="206">
        <v>9</v>
      </c>
      <c r="E47" s="212"/>
      <c r="F47" s="206" t="s">
        <v>3207</v>
      </c>
      <c r="G47" s="208"/>
      <c r="H47" s="206" t="s">
        <v>3207</v>
      </c>
      <c r="I47" s="198">
        <v>1</v>
      </c>
      <c r="J47" s="198"/>
      <c r="K47" s="198"/>
    </row>
    <row r="48" spans="1:11" s="209" customFormat="1">
      <c r="A48" s="204">
        <v>13</v>
      </c>
      <c r="B48" s="207" t="s">
        <v>3127</v>
      </c>
      <c r="C48" s="206"/>
      <c r="D48" s="206">
        <v>8</v>
      </c>
      <c r="E48" s="212"/>
      <c r="F48" s="206" t="s">
        <v>3207</v>
      </c>
      <c r="G48" s="208"/>
      <c r="H48" s="206" t="s">
        <v>3207</v>
      </c>
      <c r="I48" s="198"/>
      <c r="J48" s="198">
        <v>2</v>
      </c>
      <c r="K48" s="198"/>
    </row>
    <row r="49" spans="1:11" s="209" customFormat="1">
      <c r="A49" s="204">
        <v>14</v>
      </c>
      <c r="B49" s="207" t="s">
        <v>3128</v>
      </c>
      <c r="C49" s="206"/>
      <c r="D49" s="206">
        <v>8</v>
      </c>
      <c r="E49" s="212"/>
      <c r="F49" s="206" t="s">
        <v>3207</v>
      </c>
      <c r="G49" s="208"/>
      <c r="H49" s="206" t="s">
        <v>3207</v>
      </c>
      <c r="I49" s="198"/>
      <c r="J49" s="198"/>
      <c r="K49" s="198">
        <v>3</v>
      </c>
    </row>
    <row r="50" spans="1:11" s="199" customFormat="1">
      <c r="A50" s="2016" t="s">
        <v>3210</v>
      </c>
      <c r="B50" s="2016"/>
      <c r="C50" s="204">
        <v>17</v>
      </c>
      <c r="D50" s="204">
        <f>SUM(D51:D67)</f>
        <v>138</v>
      </c>
      <c r="E50" s="204">
        <v>14</v>
      </c>
      <c r="F50" s="204">
        <v>3</v>
      </c>
      <c r="G50" s="204">
        <v>15</v>
      </c>
      <c r="H50" s="204">
        <v>2</v>
      </c>
      <c r="I50" s="205">
        <v>9</v>
      </c>
      <c r="J50" s="205">
        <v>7</v>
      </c>
      <c r="K50" s="205">
        <v>1</v>
      </c>
    </row>
    <row r="51" spans="1:11">
      <c r="A51" s="204">
        <v>1</v>
      </c>
      <c r="B51" s="203" t="s">
        <v>3129</v>
      </c>
      <c r="C51" s="204"/>
      <c r="D51" s="204">
        <v>7</v>
      </c>
      <c r="E51" s="206" t="s">
        <v>3207</v>
      </c>
      <c r="F51" s="206"/>
      <c r="G51" s="206" t="s">
        <v>3207</v>
      </c>
      <c r="H51" s="206"/>
      <c r="I51" s="198">
        <v>1</v>
      </c>
      <c r="J51" s="198"/>
      <c r="K51" s="198"/>
    </row>
    <row r="52" spans="1:11">
      <c r="A52" s="204">
        <v>2</v>
      </c>
      <c r="B52" s="203" t="s">
        <v>3130</v>
      </c>
      <c r="C52" s="204"/>
      <c r="D52" s="204">
        <v>9</v>
      </c>
      <c r="E52" s="206" t="s">
        <v>3207</v>
      </c>
      <c r="F52" s="206"/>
      <c r="G52" s="206" t="s">
        <v>3207</v>
      </c>
      <c r="H52" s="206"/>
      <c r="I52" s="198"/>
      <c r="J52" s="198">
        <v>2</v>
      </c>
      <c r="K52" s="198"/>
    </row>
    <row r="53" spans="1:11">
      <c r="A53" s="204">
        <v>3</v>
      </c>
      <c r="B53" s="203" t="s">
        <v>3131</v>
      </c>
      <c r="C53" s="204"/>
      <c r="D53" s="204">
        <v>9</v>
      </c>
      <c r="E53" s="206" t="s">
        <v>3207</v>
      </c>
      <c r="F53" s="206"/>
      <c r="G53" s="206" t="s">
        <v>3207</v>
      </c>
      <c r="H53" s="206"/>
      <c r="I53" s="198">
        <v>1</v>
      </c>
      <c r="J53" s="198"/>
      <c r="K53" s="198"/>
    </row>
    <row r="54" spans="1:11">
      <c r="A54" s="204">
        <v>4</v>
      </c>
      <c r="B54" s="203" t="s">
        <v>3132</v>
      </c>
      <c r="C54" s="204"/>
      <c r="D54" s="204">
        <v>11</v>
      </c>
      <c r="E54" s="206" t="s">
        <v>3207</v>
      </c>
      <c r="F54" s="206"/>
      <c r="G54" s="206" t="s">
        <v>3207</v>
      </c>
      <c r="H54" s="206"/>
      <c r="I54" s="198">
        <v>1</v>
      </c>
      <c r="J54" s="198"/>
      <c r="K54" s="198"/>
    </row>
    <row r="55" spans="1:11">
      <c r="A55" s="204">
        <v>5</v>
      </c>
      <c r="B55" s="203" t="s">
        <v>3133</v>
      </c>
      <c r="C55" s="204"/>
      <c r="D55" s="204">
        <v>8</v>
      </c>
      <c r="E55" s="206" t="s">
        <v>3207</v>
      </c>
      <c r="F55" s="206"/>
      <c r="G55" s="206" t="s">
        <v>3207</v>
      </c>
      <c r="H55" s="206"/>
      <c r="I55" s="198">
        <v>1</v>
      </c>
      <c r="J55" s="198"/>
      <c r="K55" s="198"/>
    </row>
    <row r="56" spans="1:11">
      <c r="A56" s="204">
        <v>6</v>
      </c>
      <c r="B56" s="203" t="s">
        <v>3134</v>
      </c>
      <c r="C56" s="204"/>
      <c r="D56" s="204">
        <v>8</v>
      </c>
      <c r="E56" s="206" t="s">
        <v>3207</v>
      </c>
      <c r="F56" s="206"/>
      <c r="G56" s="206" t="s">
        <v>3207</v>
      </c>
      <c r="H56" s="206"/>
      <c r="I56" s="198"/>
      <c r="J56" s="198">
        <v>2</v>
      </c>
      <c r="K56" s="198"/>
    </row>
    <row r="57" spans="1:11">
      <c r="A57" s="204">
        <v>7</v>
      </c>
      <c r="B57" s="203" t="s">
        <v>3135</v>
      </c>
      <c r="C57" s="204"/>
      <c r="D57" s="204">
        <v>8</v>
      </c>
      <c r="E57" s="206" t="s">
        <v>3207</v>
      </c>
      <c r="F57" s="206"/>
      <c r="G57" s="206" t="s">
        <v>3207</v>
      </c>
      <c r="H57" s="206"/>
      <c r="I57" s="198"/>
      <c r="J57" s="198">
        <v>2</v>
      </c>
      <c r="K57" s="198"/>
    </row>
    <row r="58" spans="1:11">
      <c r="A58" s="204">
        <v>8</v>
      </c>
      <c r="B58" s="203" t="s">
        <v>3136</v>
      </c>
      <c r="C58" s="204"/>
      <c r="D58" s="204">
        <v>7</v>
      </c>
      <c r="E58" s="206" t="s">
        <v>3207</v>
      </c>
      <c r="F58" s="206"/>
      <c r="G58" s="206" t="s">
        <v>3207</v>
      </c>
      <c r="H58" s="206"/>
      <c r="I58" s="198">
        <v>1</v>
      </c>
      <c r="J58" s="198"/>
      <c r="K58" s="198"/>
    </row>
    <row r="59" spans="1:11">
      <c r="A59" s="204">
        <v>9</v>
      </c>
      <c r="B59" s="203" t="s">
        <v>3137</v>
      </c>
      <c r="C59" s="204"/>
      <c r="D59" s="204">
        <v>9</v>
      </c>
      <c r="E59" s="206" t="s">
        <v>3207</v>
      </c>
      <c r="F59" s="206"/>
      <c r="G59" s="206" t="s">
        <v>3207</v>
      </c>
      <c r="H59" s="206"/>
      <c r="I59" s="198">
        <v>1</v>
      </c>
      <c r="J59" s="198"/>
      <c r="K59" s="198"/>
    </row>
    <row r="60" spans="1:11">
      <c r="A60" s="204">
        <v>10</v>
      </c>
      <c r="B60" s="203" t="s">
        <v>3138</v>
      </c>
      <c r="C60" s="204"/>
      <c r="D60" s="204">
        <v>9</v>
      </c>
      <c r="E60" s="206" t="s">
        <v>3207</v>
      </c>
      <c r="F60" s="206"/>
      <c r="G60" s="206" t="s">
        <v>3207</v>
      </c>
      <c r="H60" s="206"/>
      <c r="I60" s="198">
        <v>1</v>
      </c>
      <c r="J60" s="198"/>
      <c r="K60" s="198"/>
    </row>
    <row r="61" spans="1:11">
      <c r="A61" s="204">
        <v>11</v>
      </c>
      <c r="B61" s="203" t="s">
        <v>3139</v>
      </c>
      <c r="C61" s="204"/>
      <c r="D61" s="204">
        <v>7</v>
      </c>
      <c r="E61" s="206" t="s">
        <v>3207</v>
      </c>
      <c r="F61" s="206"/>
      <c r="G61" s="206" t="s">
        <v>3207</v>
      </c>
      <c r="H61" s="206"/>
      <c r="I61" s="198"/>
      <c r="J61" s="198">
        <v>2</v>
      </c>
      <c r="K61" s="198"/>
    </row>
    <row r="62" spans="1:11">
      <c r="A62" s="204">
        <v>12</v>
      </c>
      <c r="B62" s="203" t="s">
        <v>3140</v>
      </c>
      <c r="C62" s="204"/>
      <c r="D62" s="204">
        <v>9</v>
      </c>
      <c r="E62" s="206" t="s">
        <v>3207</v>
      </c>
      <c r="F62" s="206"/>
      <c r="G62" s="206" t="s">
        <v>3207</v>
      </c>
      <c r="H62" s="206"/>
      <c r="I62" s="198">
        <v>1</v>
      </c>
      <c r="J62" s="198"/>
      <c r="K62" s="198"/>
    </row>
    <row r="63" spans="1:11">
      <c r="A63" s="204">
        <v>13</v>
      </c>
      <c r="B63" s="203" t="s">
        <v>3141</v>
      </c>
      <c r="C63" s="204"/>
      <c r="D63" s="204">
        <v>6</v>
      </c>
      <c r="E63" s="206" t="s">
        <v>3207</v>
      </c>
      <c r="F63" s="206"/>
      <c r="G63" s="206" t="s">
        <v>3207</v>
      </c>
      <c r="H63" s="206"/>
      <c r="I63" s="198"/>
      <c r="J63" s="198">
        <v>2</v>
      </c>
      <c r="K63" s="198"/>
    </row>
    <row r="64" spans="1:11">
      <c r="A64" s="204">
        <v>14</v>
      </c>
      <c r="B64" s="203" t="s">
        <v>3142</v>
      </c>
      <c r="C64" s="204"/>
      <c r="D64" s="204">
        <v>9</v>
      </c>
      <c r="E64" s="206" t="s">
        <v>3207</v>
      </c>
      <c r="F64" s="206"/>
      <c r="G64" s="206" t="s">
        <v>3207</v>
      </c>
      <c r="H64" s="206"/>
      <c r="I64" s="198">
        <v>1</v>
      </c>
      <c r="J64" s="198"/>
      <c r="K64" s="198"/>
    </row>
    <row r="65" spans="1:11">
      <c r="A65" s="204">
        <v>15</v>
      </c>
      <c r="B65" s="203" t="s">
        <v>3143</v>
      </c>
      <c r="C65" s="204"/>
      <c r="D65" s="204">
        <v>8</v>
      </c>
      <c r="E65" s="206"/>
      <c r="F65" s="206" t="s">
        <v>3207</v>
      </c>
      <c r="G65" s="206" t="s">
        <v>3207</v>
      </c>
      <c r="H65" s="206"/>
      <c r="I65" s="198"/>
      <c r="J65" s="198">
        <v>2</v>
      </c>
      <c r="K65" s="198"/>
    </row>
    <row r="66" spans="1:11" s="209" customFormat="1">
      <c r="A66" s="204">
        <v>16</v>
      </c>
      <c r="B66" s="207" t="s">
        <v>3144</v>
      </c>
      <c r="C66" s="206"/>
      <c r="D66" s="206">
        <v>7</v>
      </c>
      <c r="E66" s="206"/>
      <c r="F66" s="206" t="s">
        <v>3207</v>
      </c>
      <c r="G66" s="208"/>
      <c r="H66" s="206" t="s">
        <v>3207</v>
      </c>
      <c r="I66" s="198"/>
      <c r="J66" s="198">
        <v>2</v>
      </c>
      <c r="K66" s="198"/>
    </row>
    <row r="67" spans="1:11" s="209" customFormat="1">
      <c r="A67" s="204">
        <v>17</v>
      </c>
      <c r="B67" s="207" t="s">
        <v>3145</v>
      </c>
      <c r="C67" s="206"/>
      <c r="D67" s="206">
        <v>7</v>
      </c>
      <c r="E67" s="206"/>
      <c r="F67" s="206" t="s">
        <v>3207</v>
      </c>
      <c r="G67" s="208"/>
      <c r="H67" s="206" t="s">
        <v>3207</v>
      </c>
      <c r="I67" s="198"/>
      <c r="J67" s="198"/>
      <c r="K67" s="198">
        <v>3</v>
      </c>
    </row>
    <row r="68" spans="1:11" s="199" customFormat="1">
      <c r="A68" s="203" t="s">
        <v>3211</v>
      </c>
      <c r="B68" s="203"/>
      <c r="C68" s="204">
        <v>11</v>
      </c>
      <c r="D68" s="204">
        <f>SUM(D69:D79)</f>
        <v>89</v>
      </c>
      <c r="E68" s="204">
        <v>9</v>
      </c>
      <c r="F68" s="204">
        <v>2</v>
      </c>
      <c r="G68" s="204">
        <v>9</v>
      </c>
      <c r="H68" s="204">
        <v>2</v>
      </c>
      <c r="I68" s="205">
        <v>5</v>
      </c>
      <c r="J68" s="205">
        <v>6</v>
      </c>
      <c r="K68" s="205"/>
    </row>
    <row r="69" spans="1:11">
      <c r="A69" s="227">
        <v>1</v>
      </c>
      <c r="B69" s="213" t="s">
        <v>3146</v>
      </c>
      <c r="C69" s="204"/>
      <c r="D69" s="204">
        <v>7</v>
      </c>
      <c r="E69" s="206" t="s">
        <v>3207</v>
      </c>
      <c r="F69" s="206"/>
      <c r="G69" s="206" t="s">
        <v>3207</v>
      </c>
      <c r="H69" s="206"/>
      <c r="I69" s="198">
        <v>1</v>
      </c>
      <c r="J69" s="198"/>
      <c r="K69" s="198"/>
    </row>
    <row r="70" spans="1:11">
      <c r="A70" s="227">
        <v>2</v>
      </c>
      <c r="B70" s="213" t="s">
        <v>3147</v>
      </c>
      <c r="C70" s="227"/>
      <c r="D70" s="227">
        <v>6</v>
      </c>
      <c r="E70" s="228" t="s">
        <v>3207</v>
      </c>
      <c r="F70" s="227"/>
      <c r="G70" s="228" t="s">
        <v>3207</v>
      </c>
      <c r="H70" s="228"/>
      <c r="I70" s="198">
        <v>1</v>
      </c>
      <c r="J70" s="198"/>
      <c r="K70" s="198"/>
    </row>
    <row r="71" spans="1:11">
      <c r="A71" s="227">
        <v>3</v>
      </c>
      <c r="B71" s="213" t="s">
        <v>3148</v>
      </c>
      <c r="C71" s="227"/>
      <c r="D71" s="227">
        <v>8</v>
      </c>
      <c r="E71" s="228" t="s">
        <v>3207</v>
      </c>
      <c r="F71" s="228"/>
      <c r="G71" s="228" t="s">
        <v>3207</v>
      </c>
      <c r="H71" s="228"/>
      <c r="I71" s="198">
        <v>1</v>
      </c>
      <c r="J71" s="198"/>
      <c r="K71" s="198"/>
    </row>
    <row r="72" spans="1:11">
      <c r="A72" s="204">
        <v>4</v>
      </c>
      <c r="B72" s="203" t="s">
        <v>3149</v>
      </c>
      <c r="C72" s="204"/>
      <c r="D72" s="204">
        <v>10</v>
      </c>
      <c r="E72" s="206" t="s">
        <v>3207</v>
      </c>
      <c r="F72" s="206"/>
      <c r="G72" s="206" t="s">
        <v>3207</v>
      </c>
      <c r="H72" s="206"/>
      <c r="I72" s="198">
        <v>1</v>
      </c>
      <c r="J72" s="198"/>
      <c r="K72" s="198"/>
    </row>
    <row r="73" spans="1:11">
      <c r="A73" s="204">
        <v>5</v>
      </c>
      <c r="B73" s="203" t="s">
        <v>3150</v>
      </c>
      <c r="C73" s="204"/>
      <c r="D73" s="204">
        <v>11</v>
      </c>
      <c r="E73" s="206" t="s">
        <v>3207</v>
      </c>
      <c r="F73" s="206"/>
      <c r="G73" s="206" t="s">
        <v>3207</v>
      </c>
      <c r="H73" s="206"/>
      <c r="I73" s="198"/>
      <c r="J73" s="198">
        <v>2</v>
      </c>
      <c r="K73" s="198"/>
    </row>
    <row r="74" spans="1:11">
      <c r="A74" s="204">
        <v>6</v>
      </c>
      <c r="B74" s="203" t="s">
        <v>3151</v>
      </c>
      <c r="C74" s="204"/>
      <c r="D74" s="204">
        <v>8</v>
      </c>
      <c r="E74" s="206" t="s">
        <v>3207</v>
      </c>
      <c r="F74" s="206"/>
      <c r="G74" s="206" t="s">
        <v>3207</v>
      </c>
      <c r="H74" s="206"/>
      <c r="I74" s="198"/>
      <c r="J74" s="198">
        <v>2</v>
      </c>
      <c r="K74" s="198"/>
    </row>
    <row r="75" spans="1:11">
      <c r="A75" s="204">
        <v>7</v>
      </c>
      <c r="B75" s="203" t="s">
        <v>3152</v>
      </c>
      <c r="C75" s="204"/>
      <c r="D75" s="204">
        <v>9</v>
      </c>
      <c r="E75" s="206" t="s">
        <v>3207</v>
      </c>
      <c r="F75" s="206"/>
      <c r="G75" s="206" t="s">
        <v>3207</v>
      </c>
      <c r="H75" s="206"/>
      <c r="I75" s="198"/>
      <c r="J75" s="198">
        <v>2</v>
      </c>
      <c r="K75" s="198"/>
    </row>
    <row r="76" spans="1:11">
      <c r="A76" s="204">
        <v>8</v>
      </c>
      <c r="B76" s="203" t="s">
        <v>3153</v>
      </c>
      <c r="C76" s="204"/>
      <c r="D76" s="204">
        <v>9</v>
      </c>
      <c r="E76" s="206" t="s">
        <v>3207</v>
      </c>
      <c r="F76" s="206"/>
      <c r="G76" s="206" t="s">
        <v>3207</v>
      </c>
      <c r="H76" s="206"/>
      <c r="I76" s="198">
        <v>1</v>
      </c>
      <c r="J76" s="198"/>
      <c r="K76" s="198"/>
    </row>
    <row r="77" spans="1:11">
      <c r="A77" s="204">
        <v>9</v>
      </c>
      <c r="B77" s="203" t="s">
        <v>3154</v>
      </c>
      <c r="C77" s="204"/>
      <c r="D77" s="204">
        <v>9</v>
      </c>
      <c r="E77" s="206" t="s">
        <v>3207</v>
      </c>
      <c r="F77" s="206"/>
      <c r="G77" s="206" t="s">
        <v>3207</v>
      </c>
      <c r="H77" s="206"/>
      <c r="I77" s="198"/>
      <c r="J77" s="198">
        <v>2</v>
      </c>
      <c r="K77" s="198"/>
    </row>
    <row r="78" spans="1:11" s="209" customFormat="1">
      <c r="A78" s="204">
        <v>10</v>
      </c>
      <c r="B78" s="207" t="s">
        <v>3155</v>
      </c>
      <c r="C78" s="206"/>
      <c r="D78" s="206">
        <v>6</v>
      </c>
      <c r="E78" s="206"/>
      <c r="F78" s="206" t="s">
        <v>3207</v>
      </c>
      <c r="G78" s="206"/>
      <c r="H78" s="206" t="s">
        <v>3207</v>
      </c>
      <c r="I78" s="198"/>
      <c r="J78" s="198">
        <v>2</v>
      </c>
      <c r="K78" s="198"/>
    </row>
    <row r="79" spans="1:11" s="209" customFormat="1">
      <c r="A79" s="204">
        <v>11</v>
      </c>
      <c r="B79" s="207" t="s">
        <v>3156</v>
      </c>
      <c r="C79" s="206"/>
      <c r="D79" s="206">
        <v>6</v>
      </c>
      <c r="E79" s="206"/>
      <c r="F79" s="206" t="s">
        <v>3207</v>
      </c>
      <c r="G79" s="206"/>
      <c r="H79" s="206" t="s">
        <v>3207</v>
      </c>
      <c r="I79" s="198"/>
      <c r="J79" s="198">
        <v>2</v>
      </c>
      <c r="K79" s="198"/>
    </row>
    <row r="80" spans="1:11" s="199" customFormat="1">
      <c r="A80" s="203" t="s">
        <v>3212</v>
      </c>
      <c r="B80" s="203"/>
      <c r="C80" s="204">
        <v>15</v>
      </c>
      <c r="D80" s="204">
        <f>SUM(D81:D95)</f>
        <v>104</v>
      </c>
      <c r="E80" s="204">
        <v>9</v>
      </c>
      <c r="F80" s="204">
        <v>6</v>
      </c>
      <c r="G80" s="204">
        <v>6</v>
      </c>
      <c r="H80" s="204">
        <v>9</v>
      </c>
      <c r="I80" s="205">
        <v>11</v>
      </c>
      <c r="J80" s="205">
        <v>4</v>
      </c>
      <c r="K80" s="205"/>
    </row>
    <row r="81" spans="1:11">
      <c r="A81" s="204">
        <v>1</v>
      </c>
      <c r="B81" s="203" t="s">
        <v>3157</v>
      </c>
      <c r="C81" s="204"/>
      <c r="D81" s="204">
        <v>6</v>
      </c>
      <c r="E81" s="206" t="s">
        <v>3207</v>
      </c>
      <c r="F81" s="206"/>
      <c r="G81" s="206" t="s">
        <v>3207</v>
      </c>
      <c r="H81" s="206"/>
      <c r="I81" s="198">
        <v>1</v>
      </c>
      <c r="J81" s="198"/>
      <c r="K81" s="198"/>
    </row>
    <row r="82" spans="1:11">
      <c r="A82" s="204">
        <v>2</v>
      </c>
      <c r="B82" s="203" t="s">
        <v>3158</v>
      </c>
      <c r="C82" s="204"/>
      <c r="D82" s="204">
        <v>9</v>
      </c>
      <c r="E82" s="206" t="s">
        <v>3207</v>
      </c>
      <c r="F82" s="206"/>
      <c r="G82" s="206" t="s">
        <v>3207</v>
      </c>
      <c r="H82" s="206"/>
      <c r="I82" s="198">
        <v>1</v>
      </c>
      <c r="J82" s="198"/>
      <c r="K82" s="198"/>
    </row>
    <row r="83" spans="1:11">
      <c r="A83" s="204">
        <v>3</v>
      </c>
      <c r="B83" s="203" t="s">
        <v>3159</v>
      </c>
      <c r="C83" s="204"/>
      <c r="D83" s="204">
        <v>9</v>
      </c>
      <c r="E83" s="206" t="s">
        <v>3207</v>
      </c>
      <c r="F83" s="206"/>
      <c r="G83" s="206" t="s">
        <v>3207</v>
      </c>
      <c r="H83" s="206"/>
      <c r="I83" s="198">
        <v>1</v>
      </c>
      <c r="J83" s="198"/>
      <c r="K83" s="198"/>
    </row>
    <row r="84" spans="1:11">
      <c r="A84" s="204">
        <v>4</v>
      </c>
      <c r="B84" s="203" t="s">
        <v>3160</v>
      </c>
      <c r="C84" s="204"/>
      <c r="D84" s="204">
        <v>7</v>
      </c>
      <c r="E84" s="206" t="s">
        <v>3207</v>
      </c>
      <c r="F84" s="206"/>
      <c r="G84" s="206" t="s">
        <v>3207</v>
      </c>
      <c r="H84" s="206"/>
      <c r="I84" s="198">
        <v>1</v>
      </c>
      <c r="J84" s="198"/>
      <c r="K84" s="198"/>
    </row>
    <row r="85" spans="1:11">
      <c r="A85" s="204">
        <v>5</v>
      </c>
      <c r="B85" s="203" t="s">
        <v>3161</v>
      </c>
      <c r="C85" s="204"/>
      <c r="D85" s="204">
        <v>7</v>
      </c>
      <c r="E85" s="206" t="s">
        <v>3207</v>
      </c>
      <c r="F85" s="206"/>
      <c r="G85" s="206" t="s">
        <v>3207</v>
      </c>
      <c r="H85" s="206"/>
      <c r="I85" s="198">
        <v>1</v>
      </c>
      <c r="J85" s="198"/>
      <c r="K85" s="198"/>
    </row>
    <row r="86" spans="1:11">
      <c r="A86" s="204">
        <v>6</v>
      </c>
      <c r="B86" s="203" t="s">
        <v>3162</v>
      </c>
      <c r="C86" s="204"/>
      <c r="D86" s="204">
        <v>7</v>
      </c>
      <c r="E86" s="206" t="s">
        <v>3207</v>
      </c>
      <c r="F86" s="206"/>
      <c r="G86" s="206" t="s">
        <v>3207</v>
      </c>
      <c r="H86" s="206"/>
      <c r="I86" s="198">
        <v>1</v>
      </c>
      <c r="J86" s="198"/>
      <c r="K86" s="198"/>
    </row>
    <row r="87" spans="1:11" s="209" customFormat="1">
      <c r="A87" s="204">
        <v>7</v>
      </c>
      <c r="B87" s="207" t="s">
        <v>3163</v>
      </c>
      <c r="C87" s="206"/>
      <c r="D87" s="206">
        <v>4</v>
      </c>
      <c r="E87" s="206"/>
      <c r="F87" s="206" t="s">
        <v>3207</v>
      </c>
      <c r="G87" s="206"/>
      <c r="H87" s="206" t="s">
        <v>3207</v>
      </c>
      <c r="I87" s="198">
        <v>1</v>
      </c>
      <c r="J87" s="198"/>
      <c r="K87" s="198"/>
    </row>
    <row r="88" spans="1:11" s="209" customFormat="1">
      <c r="A88" s="204">
        <v>8</v>
      </c>
      <c r="B88" s="207" t="s">
        <v>3164</v>
      </c>
      <c r="C88" s="206"/>
      <c r="D88" s="206">
        <v>6</v>
      </c>
      <c r="E88" s="206"/>
      <c r="F88" s="206" t="s">
        <v>3207</v>
      </c>
      <c r="G88" s="206"/>
      <c r="H88" s="206" t="s">
        <v>3207</v>
      </c>
      <c r="I88" s="198">
        <v>1</v>
      </c>
      <c r="J88" s="198"/>
      <c r="K88" s="198"/>
    </row>
    <row r="89" spans="1:11" s="209" customFormat="1">
      <c r="A89" s="204">
        <v>9</v>
      </c>
      <c r="B89" s="207" t="s">
        <v>3165</v>
      </c>
      <c r="C89" s="206"/>
      <c r="D89" s="206">
        <v>5</v>
      </c>
      <c r="E89" s="206" t="s">
        <v>3207</v>
      </c>
      <c r="F89" s="206"/>
      <c r="G89" s="206"/>
      <c r="H89" s="206" t="s">
        <v>3207</v>
      </c>
      <c r="I89" s="198">
        <v>1</v>
      </c>
      <c r="J89" s="198"/>
      <c r="K89" s="198"/>
    </row>
    <row r="90" spans="1:11" s="209" customFormat="1">
      <c r="A90" s="204">
        <v>10</v>
      </c>
      <c r="B90" s="207" t="s">
        <v>3166</v>
      </c>
      <c r="C90" s="206"/>
      <c r="D90" s="206">
        <v>10</v>
      </c>
      <c r="E90" s="206"/>
      <c r="F90" s="206" t="s">
        <v>3207</v>
      </c>
      <c r="G90" s="206"/>
      <c r="H90" s="206" t="s">
        <v>3207</v>
      </c>
      <c r="I90" s="198">
        <v>1</v>
      </c>
      <c r="J90" s="198"/>
      <c r="K90" s="198"/>
    </row>
    <row r="91" spans="1:11" s="209" customFormat="1">
      <c r="A91" s="204">
        <v>11</v>
      </c>
      <c r="B91" s="207" t="s">
        <v>3167</v>
      </c>
      <c r="C91" s="206"/>
      <c r="D91" s="206">
        <v>8</v>
      </c>
      <c r="E91" s="206" t="s">
        <v>3207</v>
      </c>
      <c r="F91" s="206"/>
      <c r="G91" s="206"/>
      <c r="H91" s="206" t="s">
        <v>3207</v>
      </c>
      <c r="I91" s="198"/>
      <c r="J91" s="198">
        <v>2</v>
      </c>
      <c r="K91" s="198"/>
    </row>
    <row r="92" spans="1:11" s="209" customFormat="1">
      <c r="A92" s="204">
        <v>12</v>
      </c>
      <c r="B92" s="207" t="s">
        <v>3168</v>
      </c>
      <c r="C92" s="206"/>
      <c r="D92" s="206">
        <v>8</v>
      </c>
      <c r="E92" s="206"/>
      <c r="F92" s="206" t="s">
        <v>3207</v>
      </c>
      <c r="G92" s="206"/>
      <c r="H92" s="206" t="s">
        <v>3207</v>
      </c>
      <c r="I92" s="198"/>
      <c r="J92" s="198">
        <v>2</v>
      </c>
      <c r="K92" s="198"/>
    </row>
    <row r="93" spans="1:11" s="209" customFormat="1">
      <c r="A93" s="204">
        <v>13</v>
      </c>
      <c r="B93" s="207" t="s">
        <v>3169</v>
      </c>
      <c r="C93" s="206"/>
      <c r="D93" s="206">
        <v>7</v>
      </c>
      <c r="E93" s="206" t="s">
        <v>3207</v>
      </c>
      <c r="F93" s="206"/>
      <c r="G93" s="206"/>
      <c r="H93" s="206" t="s">
        <v>3207</v>
      </c>
      <c r="I93" s="198">
        <v>1</v>
      </c>
      <c r="J93" s="198"/>
      <c r="K93" s="198"/>
    </row>
    <row r="94" spans="1:11" s="209" customFormat="1">
      <c r="A94" s="227">
        <v>14</v>
      </c>
      <c r="B94" s="210" t="s">
        <v>3170</v>
      </c>
      <c r="C94" s="228"/>
      <c r="D94" s="228">
        <v>7</v>
      </c>
      <c r="E94" s="228"/>
      <c r="F94" s="228" t="s">
        <v>3207</v>
      </c>
      <c r="G94" s="228"/>
      <c r="H94" s="228" t="s">
        <v>3207</v>
      </c>
      <c r="I94" s="198"/>
      <c r="J94" s="198">
        <v>2</v>
      </c>
      <c r="K94" s="198"/>
    </row>
    <row r="95" spans="1:11" s="209" customFormat="1">
      <c r="A95" s="204">
        <v>15</v>
      </c>
      <c r="B95" s="207" t="s">
        <v>3171</v>
      </c>
      <c r="C95" s="206"/>
      <c r="D95" s="206">
        <v>4</v>
      </c>
      <c r="E95" s="206"/>
      <c r="F95" s="206" t="s">
        <v>3207</v>
      </c>
      <c r="G95" s="206"/>
      <c r="H95" s="206" t="s">
        <v>3207</v>
      </c>
      <c r="I95" s="198"/>
      <c r="J95" s="198">
        <v>2</v>
      </c>
      <c r="K95" s="198"/>
    </row>
    <row r="96" spans="1:11" s="199" customFormat="1">
      <c r="A96" s="203" t="s">
        <v>3213</v>
      </c>
      <c r="B96" s="203"/>
      <c r="C96" s="204">
        <v>7</v>
      </c>
      <c r="D96" s="204">
        <f>SUM(D97:D103)</f>
        <v>62</v>
      </c>
      <c r="E96" s="204">
        <v>5</v>
      </c>
      <c r="F96" s="204">
        <v>2</v>
      </c>
      <c r="G96" s="204">
        <v>6</v>
      </c>
      <c r="H96" s="204">
        <v>1</v>
      </c>
      <c r="I96" s="205">
        <v>6</v>
      </c>
      <c r="J96" s="205">
        <v>1</v>
      </c>
      <c r="K96" s="205"/>
    </row>
    <row r="97" spans="1:11">
      <c r="A97" s="204">
        <v>1</v>
      </c>
      <c r="B97" s="203" t="s">
        <v>3172</v>
      </c>
      <c r="C97" s="204"/>
      <c r="D97" s="204">
        <v>11</v>
      </c>
      <c r="E97" s="206" t="s">
        <v>3207</v>
      </c>
      <c r="F97" s="206"/>
      <c r="G97" s="206" t="s">
        <v>3207</v>
      </c>
      <c r="H97" s="206"/>
      <c r="I97" s="198">
        <v>1</v>
      </c>
      <c r="J97" s="198"/>
      <c r="K97" s="198"/>
    </row>
    <row r="98" spans="1:11">
      <c r="A98" s="204">
        <v>2</v>
      </c>
      <c r="B98" s="203" t="s">
        <v>3173</v>
      </c>
      <c r="C98" s="204"/>
      <c r="D98" s="204">
        <v>11</v>
      </c>
      <c r="E98" s="206" t="s">
        <v>3207</v>
      </c>
      <c r="F98" s="204"/>
      <c r="G98" s="206" t="s">
        <v>3207</v>
      </c>
      <c r="H98" s="206"/>
      <c r="I98" s="198">
        <v>1</v>
      </c>
      <c r="J98" s="198"/>
      <c r="K98" s="198"/>
    </row>
    <row r="99" spans="1:11">
      <c r="A99" s="204">
        <v>3</v>
      </c>
      <c r="B99" s="203" t="s">
        <v>3174</v>
      </c>
      <c r="C99" s="204"/>
      <c r="D99" s="204">
        <v>7</v>
      </c>
      <c r="E99" s="206"/>
      <c r="F99" s="206"/>
      <c r="G99" s="206" t="s">
        <v>3207</v>
      </c>
      <c r="H99" s="206"/>
      <c r="I99" s="198"/>
      <c r="J99" s="198">
        <v>2</v>
      </c>
      <c r="K99" s="198"/>
    </row>
    <row r="100" spans="1:11">
      <c r="A100" s="204">
        <v>4</v>
      </c>
      <c r="B100" s="203" t="s">
        <v>3175</v>
      </c>
      <c r="C100" s="204"/>
      <c r="D100" s="204">
        <v>10</v>
      </c>
      <c r="E100" s="206" t="s">
        <v>3207</v>
      </c>
      <c r="F100" s="206"/>
      <c r="G100" s="206" t="s">
        <v>3207</v>
      </c>
      <c r="H100" s="206"/>
      <c r="I100" s="198">
        <v>1</v>
      </c>
      <c r="J100" s="198"/>
      <c r="K100" s="198"/>
    </row>
    <row r="101" spans="1:11">
      <c r="A101" s="204">
        <v>5</v>
      </c>
      <c r="B101" s="203" t="s">
        <v>3176</v>
      </c>
      <c r="C101" s="204"/>
      <c r="D101" s="204">
        <v>10</v>
      </c>
      <c r="E101" s="206" t="s">
        <v>3207</v>
      </c>
      <c r="F101" s="206"/>
      <c r="G101" s="206" t="s">
        <v>3207</v>
      </c>
      <c r="H101" s="206"/>
      <c r="I101" s="198">
        <v>1</v>
      </c>
      <c r="J101" s="198"/>
      <c r="K101" s="198"/>
    </row>
    <row r="102" spans="1:11">
      <c r="A102" s="227">
        <v>6</v>
      </c>
      <c r="B102" s="213" t="s">
        <v>3177</v>
      </c>
      <c r="C102" s="227"/>
      <c r="D102" s="227">
        <v>6</v>
      </c>
      <c r="E102" s="228"/>
      <c r="F102" s="228"/>
      <c r="G102" s="228" t="s">
        <v>3207</v>
      </c>
      <c r="H102" s="227"/>
      <c r="I102" s="205">
        <v>1</v>
      </c>
      <c r="J102" s="205"/>
      <c r="K102" s="205"/>
    </row>
    <row r="103" spans="1:11" s="209" customFormat="1">
      <c r="A103" s="204">
        <v>7</v>
      </c>
      <c r="B103" s="207" t="s">
        <v>3178</v>
      </c>
      <c r="C103" s="206"/>
      <c r="D103" s="206">
        <v>7</v>
      </c>
      <c r="E103" s="206" t="s">
        <v>3207</v>
      </c>
      <c r="F103" s="206"/>
      <c r="G103" s="206"/>
      <c r="H103" s="206" t="s">
        <v>3207</v>
      </c>
      <c r="I103" s="198">
        <v>1</v>
      </c>
      <c r="J103" s="198"/>
      <c r="K103" s="198"/>
    </row>
    <row r="104" spans="1:11" s="199" customFormat="1">
      <c r="A104" s="203" t="s">
        <v>3214</v>
      </c>
      <c r="B104" s="203"/>
      <c r="C104" s="204">
        <v>7</v>
      </c>
      <c r="D104" s="204">
        <f>SUM(D105:D111)</f>
        <v>38</v>
      </c>
      <c r="E104" s="204">
        <v>2</v>
      </c>
      <c r="F104" s="204">
        <v>5</v>
      </c>
      <c r="G104" s="206"/>
      <c r="H104" s="204">
        <v>7</v>
      </c>
      <c r="I104" s="205">
        <v>7</v>
      </c>
      <c r="J104" s="205"/>
      <c r="K104" s="205"/>
    </row>
    <row r="105" spans="1:11">
      <c r="A105" s="204">
        <v>1</v>
      </c>
      <c r="B105" s="207" t="s">
        <v>3179</v>
      </c>
      <c r="C105" s="204"/>
      <c r="D105" s="204">
        <v>5</v>
      </c>
      <c r="E105" s="206"/>
      <c r="F105" s="206" t="s">
        <v>3207</v>
      </c>
      <c r="G105" s="206"/>
      <c r="H105" s="206" t="s">
        <v>3207</v>
      </c>
      <c r="I105" s="205">
        <v>1</v>
      </c>
      <c r="J105" s="198"/>
      <c r="K105" s="198"/>
    </row>
    <row r="106" spans="1:11">
      <c r="A106" s="204">
        <v>2</v>
      </c>
      <c r="B106" s="207" t="s">
        <v>3180</v>
      </c>
      <c r="C106" s="204"/>
      <c r="D106" s="204">
        <v>6</v>
      </c>
      <c r="E106" s="206"/>
      <c r="F106" s="206" t="s">
        <v>3207</v>
      </c>
      <c r="G106" s="206"/>
      <c r="H106" s="206" t="s">
        <v>3207</v>
      </c>
      <c r="I106" s="205">
        <v>1</v>
      </c>
      <c r="J106" s="198"/>
      <c r="K106" s="198"/>
    </row>
    <row r="107" spans="1:11">
      <c r="A107" s="204">
        <v>3</v>
      </c>
      <c r="B107" s="207" t="s">
        <v>3181</v>
      </c>
      <c r="C107" s="204"/>
      <c r="D107" s="206">
        <v>5</v>
      </c>
      <c r="E107" s="206" t="s">
        <v>3207</v>
      </c>
      <c r="F107" s="206"/>
      <c r="G107" s="206"/>
      <c r="H107" s="206" t="s">
        <v>3207</v>
      </c>
      <c r="I107" s="198">
        <v>1</v>
      </c>
      <c r="J107" s="198"/>
      <c r="K107" s="198"/>
    </row>
    <row r="108" spans="1:11" s="199" customFormat="1">
      <c r="A108" s="204">
        <v>4</v>
      </c>
      <c r="B108" s="207" t="s">
        <v>3182</v>
      </c>
      <c r="C108" s="204"/>
      <c r="D108" s="206">
        <v>3</v>
      </c>
      <c r="E108" s="206" t="s">
        <v>3207</v>
      </c>
      <c r="F108" s="206"/>
      <c r="G108" s="206"/>
      <c r="H108" s="206" t="s">
        <v>3207</v>
      </c>
      <c r="I108" s="198">
        <v>1</v>
      </c>
      <c r="J108" s="198"/>
      <c r="K108" s="198"/>
    </row>
    <row r="109" spans="1:11">
      <c r="A109" s="204">
        <v>5</v>
      </c>
      <c r="B109" s="207" t="s">
        <v>3183</v>
      </c>
      <c r="C109" s="204"/>
      <c r="D109" s="206">
        <v>6</v>
      </c>
      <c r="E109" s="206"/>
      <c r="F109" s="206" t="s">
        <v>3207</v>
      </c>
      <c r="G109" s="206"/>
      <c r="H109" s="206" t="s">
        <v>3207</v>
      </c>
      <c r="I109" s="198">
        <v>1</v>
      </c>
      <c r="J109" s="198"/>
      <c r="K109" s="198"/>
    </row>
    <row r="110" spans="1:11">
      <c r="A110" s="204">
        <v>6</v>
      </c>
      <c r="B110" s="207" t="s">
        <v>3184</v>
      </c>
      <c r="C110" s="204"/>
      <c r="D110" s="206">
        <v>8</v>
      </c>
      <c r="E110" s="204"/>
      <c r="F110" s="206" t="s">
        <v>3207</v>
      </c>
      <c r="G110" s="206"/>
      <c r="H110" s="206" t="s">
        <v>3207</v>
      </c>
      <c r="I110" s="198">
        <v>1</v>
      </c>
      <c r="J110" s="198"/>
      <c r="K110" s="198"/>
    </row>
    <row r="111" spans="1:11">
      <c r="A111" s="204">
        <v>7</v>
      </c>
      <c r="B111" s="207" t="s">
        <v>3185</v>
      </c>
      <c r="C111" s="204"/>
      <c r="D111" s="204">
        <v>5</v>
      </c>
      <c r="E111" s="206"/>
      <c r="F111" s="206" t="s">
        <v>3207</v>
      </c>
      <c r="G111" s="206"/>
      <c r="H111" s="206" t="s">
        <v>3207</v>
      </c>
      <c r="I111" s="198">
        <v>1</v>
      </c>
      <c r="J111" s="198"/>
      <c r="K111" s="198"/>
    </row>
    <row r="112" spans="1:11" s="218" customFormat="1">
      <c r="A112" s="214" t="s">
        <v>3215</v>
      </c>
      <c r="B112" s="214"/>
      <c r="C112" s="214">
        <v>10</v>
      </c>
      <c r="D112" s="214">
        <f>SUM(D113:D122)</f>
        <v>72</v>
      </c>
      <c r="E112" s="215">
        <v>5</v>
      </c>
      <c r="F112" s="215">
        <v>5</v>
      </c>
      <c r="G112" s="216">
        <f>SUM(G113:G122)</f>
        <v>0</v>
      </c>
      <c r="H112" s="215">
        <v>10</v>
      </c>
      <c r="I112" s="217">
        <v>8</v>
      </c>
      <c r="J112" s="217">
        <v>2</v>
      </c>
      <c r="K112" s="217"/>
    </row>
    <row r="113" spans="1:11" s="209" customFormat="1">
      <c r="A113" s="219">
        <v>1</v>
      </c>
      <c r="B113" s="220" t="s">
        <v>3187</v>
      </c>
      <c r="C113" s="219"/>
      <c r="D113" s="219">
        <v>12</v>
      </c>
      <c r="E113" s="219" t="s">
        <v>3207</v>
      </c>
      <c r="F113" s="219"/>
      <c r="G113" s="219"/>
      <c r="H113" s="219" t="s">
        <v>3207</v>
      </c>
      <c r="I113" s="221">
        <v>1</v>
      </c>
      <c r="J113" s="221"/>
      <c r="K113" s="221"/>
    </row>
    <row r="114" spans="1:11" s="209" customFormat="1">
      <c r="A114" s="206">
        <v>2</v>
      </c>
      <c r="B114" s="207" t="s">
        <v>3188</v>
      </c>
      <c r="C114" s="206"/>
      <c r="D114" s="206">
        <v>10</v>
      </c>
      <c r="E114" s="206" t="s">
        <v>3207</v>
      </c>
      <c r="F114" s="206"/>
      <c r="G114" s="206"/>
      <c r="H114" s="206" t="s">
        <v>3207</v>
      </c>
      <c r="I114" s="198">
        <v>1</v>
      </c>
      <c r="J114" s="198"/>
      <c r="K114" s="198"/>
    </row>
    <row r="115" spans="1:11" s="209" customFormat="1">
      <c r="A115" s="206">
        <v>3</v>
      </c>
      <c r="B115" s="207" t="s">
        <v>3179</v>
      </c>
      <c r="C115" s="206"/>
      <c r="D115" s="206">
        <v>4</v>
      </c>
      <c r="E115" s="206"/>
      <c r="F115" s="206" t="s">
        <v>3207</v>
      </c>
      <c r="G115" s="206"/>
      <c r="H115" s="206" t="s">
        <v>3207</v>
      </c>
      <c r="I115" s="205">
        <v>1</v>
      </c>
      <c r="J115" s="198"/>
      <c r="K115" s="198"/>
    </row>
    <row r="116" spans="1:11" s="209" customFormat="1">
      <c r="A116" s="206">
        <v>4</v>
      </c>
      <c r="B116" s="207" t="s">
        <v>3189</v>
      </c>
      <c r="C116" s="206"/>
      <c r="D116" s="206">
        <v>7</v>
      </c>
      <c r="E116" s="206"/>
      <c r="F116" s="206" t="s">
        <v>3207</v>
      </c>
      <c r="G116" s="206"/>
      <c r="H116" s="206" t="s">
        <v>3207</v>
      </c>
      <c r="I116" s="205">
        <v>1</v>
      </c>
      <c r="J116" s="198"/>
      <c r="K116" s="198"/>
    </row>
    <row r="117" spans="1:11" s="209" customFormat="1">
      <c r="A117" s="206">
        <v>5</v>
      </c>
      <c r="B117" s="207" t="s">
        <v>3190</v>
      </c>
      <c r="C117" s="206"/>
      <c r="D117" s="206">
        <v>10</v>
      </c>
      <c r="E117" s="206" t="s">
        <v>3207</v>
      </c>
      <c r="F117" s="206"/>
      <c r="G117" s="206"/>
      <c r="H117" s="206" t="s">
        <v>3207</v>
      </c>
      <c r="I117" s="205">
        <v>1</v>
      </c>
      <c r="J117" s="198"/>
      <c r="K117" s="198"/>
    </row>
    <row r="118" spans="1:11" s="209" customFormat="1">
      <c r="A118" s="206">
        <v>6</v>
      </c>
      <c r="B118" s="207" t="s">
        <v>3191</v>
      </c>
      <c r="C118" s="206"/>
      <c r="D118" s="206">
        <v>8</v>
      </c>
      <c r="E118" s="206" t="s">
        <v>3207</v>
      </c>
      <c r="F118" s="206"/>
      <c r="G118" s="206"/>
      <c r="H118" s="206" t="s">
        <v>3207</v>
      </c>
      <c r="I118" s="205">
        <v>1</v>
      </c>
      <c r="J118" s="198"/>
      <c r="K118" s="198"/>
    </row>
    <row r="119" spans="1:11" s="209" customFormat="1">
      <c r="A119" s="206">
        <v>7</v>
      </c>
      <c r="B119" s="207" t="s">
        <v>3192</v>
      </c>
      <c r="C119" s="206"/>
      <c r="D119" s="206">
        <v>10</v>
      </c>
      <c r="E119" s="206" t="s">
        <v>3207</v>
      </c>
      <c r="F119" s="206"/>
      <c r="G119" s="206"/>
      <c r="H119" s="206" t="s">
        <v>3207</v>
      </c>
      <c r="I119" s="198">
        <v>1</v>
      </c>
      <c r="J119" s="198"/>
      <c r="K119" s="198"/>
    </row>
    <row r="120" spans="1:11" s="209" customFormat="1">
      <c r="A120" s="206">
        <v>8</v>
      </c>
      <c r="B120" s="207" t="s">
        <v>3180</v>
      </c>
      <c r="C120" s="206"/>
      <c r="D120" s="206">
        <v>3</v>
      </c>
      <c r="E120" s="206"/>
      <c r="F120" s="206" t="s">
        <v>3207</v>
      </c>
      <c r="G120" s="206"/>
      <c r="H120" s="206" t="s">
        <v>3207</v>
      </c>
      <c r="I120" s="198"/>
      <c r="J120" s="198">
        <v>2</v>
      </c>
      <c r="K120" s="198"/>
    </row>
    <row r="121" spans="1:11" s="209" customFormat="1">
      <c r="A121" s="206">
        <v>9</v>
      </c>
      <c r="B121" s="207" t="s">
        <v>3193</v>
      </c>
      <c r="C121" s="206"/>
      <c r="D121" s="206">
        <v>4</v>
      </c>
      <c r="E121" s="206"/>
      <c r="F121" s="206" t="s">
        <v>3207</v>
      </c>
      <c r="G121" s="206"/>
      <c r="H121" s="206" t="s">
        <v>3207</v>
      </c>
      <c r="I121" s="198"/>
      <c r="J121" s="198">
        <v>2</v>
      </c>
      <c r="K121" s="198"/>
    </row>
    <row r="122" spans="1:11" s="209" customFormat="1">
      <c r="A122" s="1170">
        <v>10</v>
      </c>
      <c r="B122" s="229" t="s">
        <v>3194</v>
      </c>
      <c r="C122" s="230"/>
      <c r="D122" s="230">
        <v>4</v>
      </c>
      <c r="E122" s="228"/>
      <c r="F122" s="228" t="s">
        <v>3207</v>
      </c>
      <c r="G122" s="231"/>
      <c r="H122" s="228" t="s">
        <v>3207</v>
      </c>
      <c r="I122" s="205">
        <v>1</v>
      </c>
      <c r="J122" s="1168"/>
      <c r="K122" s="1168"/>
    </row>
    <row r="123" spans="1:11">
      <c r="E123" s="222"/>
      <c r="F123" s="223"/>
    </row>
    <row r="124" spans="1:11">
      <c r="I124" s="224"/>
      <c r="J124" s="2017" t="s">
        <v>3216</v>
      </c>
      <c r="K124" s="2017"/>
    </row>
    <row r="125" spans="1:11">
      <c r="B125" s="2012"/>
      <c r="C125" s="2012"/>
      <c r="H125" s="200"/>
      <c r="I125" s="512"/>
      <c r="J125" s="2012" t="s">
        <v>3217</v>
      </c>
      <c r="K125" s="2012"/>
    </row>
    <row r="126" spans="1:11">
      <c r="B126" s="225"/>
      <c r="C126" s="225"/>
      <c r="F126" s="200"/>
      <c r="I126" s="226"/>
      <c r="J126" s="226"/>
      <c r="K126" s="226"/>
    </row>
    <row r="127" spans="1:11">
      <c r="B127" s="225"/>
      <c r="C127" s="225"/>
      <c r="I127" s="226"/>
      <c r="J127" s="226"/>
      <c r="K127" s="226"/>
    </row>
    <row r="128" spans="1:11">
      <c r="B128" s="225"/>
      <c r="C128" s="225"/>
      <c r="I128" s="226"/>
      <c r="J128" s="226"/>
      <c r="K128" s="226"/>
    </row>
    <row r="129" spans="2:11">
      <c r="B129" s="225"/>
      <c r="C129" s="225"/>
      <c r="I129" s="226"/>
      <c r="J129" s="226"/>
      <c r="K129" s="226"/>
    </row>
    <row r="130" spans="2:11">
      <c r="B130" s="2012"/>
      <c r="C130" s="2012"/>
      <c r="H130" s="200"/>
      <c r="I130" s="512"/>
      <c r="J130" s="2012" t="s">
        <v>3218</v>
      </c>
      <c r="K130" s="2012"/>
    </row>
    <row r="131" spans="2:11">
      <c r="B131" s="224"/>
      <c r="C131" s="224"/>
      <c r="F131" s="200"/>
      <c r="I131" s="226"/>
      <c r="J131" s="226"/>
      <c r="K131" s="226"/>
    </row>
    <row r="132" spans="2:11">
      <c r="B132" s="224"/>
      <c r="C132" s="224"/>
    </row>
  </sheetData>
  <mergeCells count="18">
    <mergeCell ref="A2:K2"/>
    <mergeCell ref="A5:B6"/>
    <mergeCell ref="C5:C6"/>
    <mergeCell ref="D5:D6"/>
    <mergeCell ref="E5:E6"/>
    <mergeCell ref="F5:F6"/>
    <mergeCell ref="G5:G6"/>
    <mergeCell ref="H5:H6"/>
    <mergeCell ref="I5:I6"/>
    <mergeCell ref="J5:J6"/>
    <mergeCell ref="B130:C130"/>
    <mergeCell ref="J130:K130"/>
    <mergeCell ref="K5:K6"/>
    <mergeCell ref="A7:B7"/>
    <mergeCell ref="A50:B50"/>
    <mergeCell ref="J124:K124"/>
    <mergeCell ref="B125:C125"/>
    <mergeCell ref="J125:K125"/>
  </mergeCells>
  <pageMargins left="0.55118110236220474" right="0.19685039370078741" top="0.74803149606299213" bottom="0.74803149606299213" header="0.31496062992125984" footer="0.31496062992125984"/>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L476"/>
  <sheetViews>
    <sheetView topLeftCell="A5" zoomScale="150" zoomScaleNormal="150" workbookViewId="0">
      <selection activeCell="F104" sqref="F104:I104"/>
    </sheetView>
  </sheetViews>
  <sheetFormatPr defaultColWidth="9.140625" defaultRowHeight="12.75"/>
  <cols>
    <col min="1" max="1" width="4" style="1044" customWidth="1"/>
    <col min="2" max="2" width="16.85546875" style="1045" customWidth="1"/>
    <col min="3" max="4" width="10.42578125" style="1044" hidden="1" customWidth="1"/>
    <col min="5" max="5" width="19.5703125" style="1045" customWidth="1"/>
    <col min="6" max="6" width="10.42578125" style="1044" hidden="1" customWidth="1"/>
    <col min="7" max="16" width="10.42578125" style="691" hidden="1" customWidth="1"/>
    <col min="17" max="17" width="12.42578125" style="691" hidden="1" customWidth="1"/>
    <col min="18" max="18" width="10.42578125" style="691" customWidth="1"/>
    <col min="19" max="19" width="10.42578125" style="691" hidden="1" customWidth="1"/>
    <col min="20" max="20" width="10.42578125" style="1044" hidden="1" customWidth="1"/>
    <col min="21" max="21" width="10.42578125" style="691" hidden="1" customWidth="1"/>
    <col min="22" max="22" width="10.42578125" style="1044" hidden="1" customWidth="1"/>
    <col min="23" max="23" width="10.42578125" style="1044" customWidth="1"/>
    <col min="24" max="24" width="10.42578125" style="1044" hidden="1" customWidth="1"/>
    <col min="25" max="25" width="10.42578125" style="851" hidden="1" customWidth="1"/>
    <col min="26" max="28" width="10.42578125" style="691" hidden="1" customWidth="1"/>
    <col min="29" max="31" width="10.42578125" style="1047" customWidth="1"/>
    <col min="32" max="32" width="7.85546875" style="691" customWidth="1"/>
    <col min="33" max="33" width="10.42578125" style="691" customWidth="1"/>
    <col min="34" max="34" width="9.7109375" style="691" customWidth="1"/>
    <col min="35" max="35" width="9" style="691" customWidth="1"/>
    <col min="36" max="36" width="10.85546875" style="691" customWidth="1"/>
    <col min="37" max="37" width="9.140625" style="691"/>
    <col min="38" max="38" width="11.85546875" style="691" customWidth="1"/>
    <col min="39" max="16384" width="9.140625" style="691"/>
  </cols>
  <sheetData>
    <row r="1" spans="1:38" s="851" customFormat="1" ht="15.75">
      <c r="A1" s="1819" t="s">
        <v>85</v>
      </c>
      <c r="B1" s="1819"/>
      <c r="C1" s="1819"/>
      <c r="D1" s="1819"/>
      <c r="E1" s="1819"/>
      <c r="F1" s="1143"/>
      <c r="G1" s="850"/>
      <c r="H1" s="850"/>
      <c r="I1" s="850"/>
      <c r="J1" s="850"/>
      <c r="K1" s="850"/>
      <c r="O1" s="852"/>
      <c r="P1" s="852"/>
      <c r="Q1" s="852"/>
      <c r="R1" s="852"/>
      <c r="T1" s="1142"/>
      <c r="U1" s="852"/>
      <c r="V1" s="1142"/>
      <c r="W1" s="1819"/>
      <c r="X1" s="1819"/>
      <c r="Y1" s="1819"/>
      <c r="Z1" s="1819"/>
      <c r="AA1" s="1819"/>
      <c r="AB1" s="1819"/>
      <c r="AC1" s="1819"/>
      <c r="AD1" s="1819"/>
      <c r="AE1" s="1819"/>
      <c r="AF1" s="1819"/>
      <c r="AG1" s="1819"/>
      <c r="AH1" s="1819"/>
      <c r="AI1" s="1819"/>
    </row>
    <row r="2" spans="1:38" s="851" customFormat="1">
      <c r="A2" s="1820" t="s">
        <v>86</v>
      </c>
      <c r="B2" s="1821"/>
      <c r="C2" s="1821"/>
      <c r="D2" s="1821"/>
      <c r="E2" s="1821"/>
      <c r="F2" s="1821"/>
      <c r="G2" s="1821"/>
      <c r="H2" s="1821"/>
      <c r="I2" s="1821"/>
      <c r="J2" s="1821"/>
      <c r="K2" s="1821"/>
      <c r="L2" s="1821"/>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row>
    <row r="3" spans="1:38" s="851" customFormat="1">
      <c r="A3" s="1142"/>
      <c r="B3" s="1143"/>
      <c r="C3" s="1143"/>
      <c r="D3" s="1143"/>
      <c r="E3" s="1143"/>
      <c r="F3" s="1143"/>
      <c r="G3" s="1143"/>
      <c r="H3" s="1143"/>
      <c r="I3" s="1143"/>
      <c r="J3" s="1143"/>
      <c r="K3" s="1143"/>
      <c r="L3" s="1143"/>
      <c r="M3" s="1143"/>
      <c r="N3" s="1143"/>
      <c r="O3" s="1143"/>
      <c r="P3" s="1143"/>
      <c r="Q3" s="1143"/>
      <c r="R3" s="1143"/>
      <c r="S3" s="1143"/>
      <c r="T3" s="1143"/>
      <c r="U3" s="1143"/>
      <c r="V3" s="1143"/>
      <c r="W3" s="1143"/>
      <c r="X3" s="1143"/>
      <c r="Y3" s="1143"/>
      <c r="Z3" s="1143"/>
      <c r="AA3" s="1143"/>
      <c r="AB3" s="1143"/>
      <c r="AC3" s="1143"/>
      <c r="AD3" s="1143"/>
      <c r="AE3" s="1143"/>
      <c r="AF3" s="1143"/>
      <c r="AG3" s="1143"/>
      <c r="AH3" s="1143"/>
      <c r="AI3" s="1826" t="s">
        <v>87</v>
      </c>
      <c r="AJ3" s="1826"/>
    </row>
    <row r="4" spans="1:38" s="851" customFormat="1" ht="24.75" customHeight="1">
      <c r="A4" s="1822" t="s">
        <v>88</v>
      </c>
      <c r="B4" s="1822" t="s">
        <v>89</v>
      </c>
      <c r="C4" s="1817" t="s">
        <v>90</v>
      </c>
      <c r="D4" s="1817" t="s">
        <v>91</v>
      </c>
      <c r="E4" s="1817" t="s">
        <v>92</v>
      </c>
      <c r="F4" s="1817" t="s">
        <v>93</v>
      </c>
      <c r="G4" s="1822"/>
      <c r="H4" s="1817" t="s">
        <v>94</v>
      </c>
      <c r="I4" s="1822"/>
      <c r="J4" s="1817" t="s">
        <v>95</v>
      </c>
      <c r="K4" s="1822"/>
      <c r="L4" s="1817" t="s">
        <v>96</v>
      </c>
      <c r="M4" s="1822"/>
      <c r="N4" s="1817" t="s">
        <v>97</v>
      </c>
      <c r="O4" s="1822"/>
      <c r="P4" s="1817" t="s">
        <v>98</v>
      </c>
      <c r="Q4" s="1822"/>
      <c r="R4" s="1817" t="s">
        <v>99</v>
      </c>
      <c r="S4" s="1817" t="s">
        <v>100</v>
      </c>
      <c r="T4" s="1817" t="s">
        <v>101</v>
      </c>
      <c r="U4" s="1817"/>
      <c r="V4" s="1817" t="s">
        <v>102</v>
      </c>
      <c r="W4" s="1817" t="s">
        <v>103</v>
      </c>
      <c r="X4" s="1817" t="s">
        <v>104</v>
      </c>
      <c r="Y4" s="1817" t="s">
        <v>105</v>
      </c>
      <c r="Z4" s="1817"/>
      <c r="AA4" s="1817"/>
      <c r="AB4" s="1817"/>
      <c r="AC4" s="1817" t="s">
        <v>106</v>
      </c>
      <c r="AD4" s="1817" t="s">
        <v>107</v>
      </c>
      <c r="AE4" s="1817"/>
      <c r="AF4" s="1817" t="s">
        <v>108</v>
      </c>
      <c r="AG4" s="1817" t="s">
        <v>109</v>
      </c>
      <c r="AH4" s="1817" t="s">
        <v>44</v>
      </c>
      <c r="AI4" s="1817"/>
      <c r="AJ4" s="1817" t="s">
        <v>110</v>
      </c>
    </row>
    <row r="5" spans="1:38" s="851" customFormat="1" ht="57" customHeight="1">
      <c r="A5" s="1818"/>
      <c r="B5" s="1818"/>
      <c r="C5" s="1818"/>
      <c r="D5" s="1818"/>
      <c r="E5" s="1818"/>
      <c r="F5" s="1144" t="s">
        <v>111</v>
      </c>
      <c r="G5" s="1144" t="s">
        <v>112</v>
      </c>
      <c r="H5" s="1144" t="s">
        <v>113</v>
      </c>
      <c r="I5" s="1144" t="s">
        <v>112</v>
      </c>
      <c r="J5" s="1144" t="s">
        <v>114</v>
      </c>
      <c r="K5" s="1144" t="s">
        <v>112</v>
      </c>
      <c r="L5" s="1144" t="s">
        <v>114</v>
      </c>
      <c r="M5" s="1144" t="s">
        <v>112</v>
      </c>
      <c r="N5" s="1144" t="s">
        <v>113</v>
      </c>
      <c r="O5" s="1144" t="s">
        <v>112</v>
      </c>
      <c r="P5" s="1144" t="s">
        <v>113</v>
      </c>
      <c r="Q5" s="1144" t="s">
        <v>112</v>
      </c>
      <c r="R5" s="1818"/>
      <c r="S5" s="1818"/>
      <c r="T5" s="1144" t="s">
        <v>115</v>
      </c>
      <c r="U5" s="1144" t="s">
        <v>116</v>
      </c>
      <c r="V5" s="1818"/>
      <c r="W5" s="1818"/>
      <c r="X5" s="1823"/>
      <c r="Y5" s="1144" t="s">
        <v>117</v>
      </c>
      <c r="Z5" s="1144" t="s">
        <v>118</v>
      </c>
      <c r="AA5" s="1144" t="s">
        <v>119</v>
      </c>
      <c r="AB5" s="1144" t="s">
        <v>120</v>
      </c>
      <c r="AC5" s="1818"/>
      <c r="AD5" s="1144" t="s">
        <v>121</v>
      </c>
      <c r="AE5" s="1144" t="s">
        <v>122</v>
      </c>
      <c r="AF5" s="1823"/>
      <c r="AG5" s="1823"/>
      <c r="AH5" s="1144" t="s">
        <v>123</v>
      </c>
      <c r="AI5" s="1144" t="s">
        <v>124</v>
      </c>
      <c r="AJ5" s="1818"/>
    </row>
    <row r="6" spans="1:38" s="858" customFormat="1" ht="26.1" customHeight="1">
      <c r="A6" s="853"/>
      <c r="B6" s="854" t="s">
        <v>125</v>
      </c>
      <c r="C6" s="853"/>
      <c r="D6" s="853"/>
      <c r="E6" s="854"/>
      <c r="F6" s="855"/>
      <c r="G6" s="855"/>
      <c r="H6" s="855"/>
      <c r="I6" s="855"/>
      <c r="J6" s="855"/>
      <c r="K6" s="855"/>
      <c r="L6" s="855"/>
      <c r="M6" s="855"/>
      <c r="N6" s="855"/>
      <c r="O6" s="855"/>
      <c r="P6" s="855"/>
      <c r="Q6" s="855"/>
      <c r="R6" s="853"/>
      <c r="S6" s="853"/>
      <c r="T6" s="855"/>
      <c r="U6" s="855"/>
      <c r="V6" s="853"/>
      <c r="W6" s="853"/>
      <c r="X6" s="856"/>
      <c r="Y6" s="856"/>
      <c r="Z6" s="856"/>
      <c r="AA6" s="856"/>
      <c r="AB6" s="856"/>
      <c r="AC6" s="857">
        <f>AC7+AC14+AC27+AC32+AC98+AC107+AC166+AC192+AC266</f>
        <v>39374517.553999998</v>
      </c>
      <c r="AD6" s="857">
        <f>AD7+AD14+AD27+AD32+AD98+AD107+AD166+AD192+AD266</f>
        <v>1299714.2</v>
      </c>
      <c r="AE6" s="857">
        <f>AE7+AE14+AE27+AE32+AE98+AE107+AE166+AE192+AE266</f>
        <v>38074802.354000002</v>
      </c>
      <c r="AF6" s="857"/>
      <c r="AG6" s="857">
        <f t="shared" ref="AG6:AJ6" si="0">AG7+AG14+AG27+AG32+AG98+AG107+AG166+AG192+AG266</f>
        <v>9451934.822764229</v>
      </c>
      <c r="AH6" s="857">
        <f t="shared" si="0"/>
        <v>7653281.4479999999</v>
      </c>
      <c r="AI6" s="857">
        <f t="shared" si="0"/>
        <v>1798653.374764228</v>
      </c>
      <c r="AJ6" s="857">
        <f t="shared" si="0"/>
        <v>8152220.6227642288</v>
      </c>
      <c r="AK6" s="1050">
        <f>AJ6+'Giam chi TGBC cap tinh'!I106</f>
        <v>10048224.205806246</v>
      </c>
      <c r="AL6" s="1050">
        <f>AK6/2</f>
        <v>5024112.102903123</v>
      </c>
    </row>
    <row r="7" spans="1:38" s="864" customFormat="1" ht="26.1" customHeight="1">
      <c r="A7" s="859" t="s">
        <v>13</v>
      </c>
      <c r="B7" s="1825" t="s">
        <v>39</v>
      </c>
      <c r="C7" s="1825"/>
      <c r="D7" s="1825"/>
      <c r="E7" s="1146"/>
      <c r="F7" s="860"/>
      <c r="G7" s="860"/>
      <c r="H7" s="860"/>
      <c r="I7" s="860"/>
      <c r="J7" s="860"/>
      <c r="K7" s="860"/>
      <c r="L7" s="860"/>
      <c r="M7" s="860"/>
      <c r="N7" s="860"/>
      <c r="O7" s="860"/>
      <c r="P7" s="860"/>
      <c r="Q7" s="860"/>
      <c r="R7" s="860"/>
      <c r="S7" s="860"/>
      <c r="T7" s="860"/>
      <c r="U7" s="860"/>
      <c r="V7" s="860"/>
      <c r="W7" s="860"/>
      <c r="X7" s="861">
        <f>COUNT(X8)</f>
        <v>1</v>
      </c>
      <c r="Y7" s="862">
        <f>Y8</f>
        <v>146268</v>
      </c>
      <c r="Z7" s="862">
        <f t="shared" ref="Z7:AB7" si="1">Z8</f>
        <v>0</v>
      </c>
      <c r="AA7" s="862">
        <f t="shared" si="1"/>
        <v>0</v>
      </c>
      <c r="AB7" s="862">
        <f t="shared" si="1"/>
        <v>0</v>
      </c>
      <c r="AC7" s="863">
        <f>SUM(AC8:AC13)</f>
        <v>899511</v>
      </c>
      <c r="AD7" s="863">
        <f>SUM(AD8:AD13)</f>
        <v>0</v>
      </c>
      <c r="AE7" s="863">
        <f>SUM(AE8:AE13)</f>
        <v>899511</v>
      </c>
      <c r="AF7" s="863"/>
      <c r="AG7" s="863">
        <f t="shared" ref="AG7:AJ7" si="2">SUM(AG8:AG13)</f>
        <v>279072</v>
      </c>
      <c r="AH7" s="863">
        <f t="shared" si="2"/>
        <v>209304</v>
      </c>
      <c r="AI7" s="863">
        <f t="shared" si="2"/>
        <v>69768</v>
      </c>
      <c r="AJ7" s="863">
        <f t="shared" si="2"/>
        <v>279072</v>
      </c>
    </row>
    <row r="8" spans="1:38" s="878" customFormat="1" ht="32.25" customHeight="1">
      <c r="A8" s="865" t="s">
        <v>126</v>
      </c>
      <c r="B8" s="866" t="s">
        <v>127</v>
      </c>
      <c r="C8" s="867" t="s">
        <v>128</v>
      </c>
      <c r="D8" s="868" t="s">
        <v>129</v>
      </c>
      <c r="E8" s="866" t="s">
        <v>130</v>
      </c>
      <c r="F8" s="868" t="s">
        <v>131</v>
      </c>
      <c r="G8" s="867" t="s">
        <v>132</v>
      </c>
      <c r="H8" s="868" t="s">
        <v>133</v>
      </c>
      <c r="I8" s="867" t="s">
        <v>134</v>
      </c>
      <c r="J8" s="869"/>
      <c r="K8" s="870"/>
      <c r="L8" s="865"/>
      <c r="M8" s="867"/>
      <c r="N8" s="869"/>
      <c r="O8" s="869"/>
      <c r="P8" s="871" t="s">
        <v>135</v>
      </c>
      <c r="Q8" s="871" t="s">
        <v>136</v>
      </c>
      <c r="R8" s="872">
        <v>6741</v>
      </c>
      <c r="S8" s="872">
        <v>5572</v>
      </c>
      <c r="T8" s="868" t="s">
        <v>137</v>
      </c>
      <c r="U8" s="867"/>
      <c r="V8" s="868" t="s">
        <v>138</v>
      </c>
      <c r="W8" s="867" t="s">
        <v>139</v>
      </c>
      <c r="X8" s="873">
        <v>1</v>
      </c>
      <c r="Y8" s="874">
        <v>146268</v>
      </c>
      <c r="Z8" s="874"/>
      <c r="AA8" s="874"/>
      <c r="AB8" s="875"/>
      <c r="AC8" s="876">
        <v>146268</v>
      </c>
      <c r="AD8" s="877"/>
      <c r="AE8" s="876">
        <f>AC8</f>
        <v>146268</v>
      </c>
      <c r="AF8" s="874">
        <v>11</v>
      </c>
      <c r="AG8" s="874">
        <f>AH8+AI8</f>
        <v>98868</v>
      </c>
      <c r="AH8" s="874">
        <f>AF8*R8</f>
        <v>74151</v>
      </c>
      <c r="AI8" s="874">
        <f>((AH8*100%)/75%)-AH8</f>
        <v>24717</v>
      </c>
      <c r="AJ8" s="874">
        <f>AG8-AD8</f>
        <v>98868</v>
      </c>
    </row>
    <row r="9" spans="1:38" s="878" customFormat="1" ht="26.1" customHeight="1">
      <c r="A9" s="865" t="s">
        <v>140</v>
      </c>
      <c r="B9" s="866" t="s">
        <v>141</v>
      </c>
      <c r="C9" s="879" t="s">
        <v>142</v>
      </c>
      <c r="D9" s="867" t="s">
        <v>143</v>
      </c>
      <c r="E9" s="866" t="s">
        <v>144</v>
      </c>
      <c r="F9" s="879" t="s">
        <v>145</v>
      </c>
      <c r="G9" s="880" t="s">
        <v>146</v>
      </c>
      <c r="H9" s="881">
        <v>0.2</v>
      </c>
      <c r="I9" s="880" t="s">
        <v>147</v>
      </c>
      <c r="J9" s="869"/>
      <c r="K9" s="869"/>
      <c r="L9" s="882"/>
      <c r="M9" s="867"/>
      <c r="N9" s="869"/>
      <c r="O9" s="869"/>
      <c r="P9" s="881" t="s">
        <v>148</v>
      </c>
      <c r="Q9" s="881" t="s">
        <v>149</v>
      </c>
      <c r="R9" s="872">
        <v>6282</v>
      </c>
      <c r="S9" s="872">
        <v>5102</v>
      </c>
      <c r="T9" s="881" t="s">
        <v>150</v>
      </c>
      <c r="U9" s="877"/>
      <c r="V9" s="881" t="s">
        <v>151</v>
      </c>
      <c r="W9" s="880" t="s">
        <v>139</v>
      </c>
      <c r="X9" s="873">
        <v>1</v>
      </c>
      <c r="Y9" s="874">
        <v>73991</v>
      </c>
      <c r="Z9" s="883"/>
      <c r="AA9" s="883"/>
      <c r="AB9" s="883"/>
      <c r="AC9" s="876">
        <f>Y9</f>
        <v>73991</v>
      </c>
      <c r="AD9" s="884"/>
      <c r="AE9" s="876">
        <f>AC9</f>
        <v>73991</v>
      </c>
      <c r="AF9" s="874">
        <v>11</v>
      </c>
      <c r="AG9" s="874">
        <f t="shared" ref="AG9:AG13" si="3">AH9+AI9</f>
        <v>92136</v>
      </c>
      <c r="AH9" s="874">
        <f t="shared" ref="AH9:AH72" si="4">AF9*R9</f>
        <v>69102</v>
      </c>
      <c r="AI9" s="874">
        <f t="shared" ref="AI9:AI10" si="5">((AH9*100%)/75%)-AH9</f>
        <v>23034</v>
      </c>
      <c r="AJ9" s="874">
        <f t="shared" ref="AJ9:AJ13" si="6">AG9-AD9</f>
        <v>92136</v>
      </c>
    </row>
    <row r="10" spans="1:38" s="878" customFormat="1" ht="26.1" customHeight="1">
      <c r="A10" s="865" t="s">
        <v>152</v>
      </c>
      <c r="B10" s="885" t="s">
        <v>153</v>
      </c>
      <c r="C10" s="886" t="s">
        <v>154</v>
      </c>
      <c r="D10" s="881" t="s">
        <v>155</v>
      </c>
      <c r="E10" s="885" t="s">
        <v>156</v>
      </c>
      <c r="F10" s="879" t="s">
        <v>131</v>
      </c>
      <c r="G10" s="887" t="s">
        <v>157</v>
      </c>
      <c r="H10" s="879" t="s">
        <v>158</v>
      </c>
      <c r="I10" s="879" t="s">
        <v>159</v>
      </c>
      <c r="J10" s="888"/>
      <c r="K10" s="887"/>
      <c r="L10" s="889"/>
      <c r="M10" s="879"/>
      <c r="N10" s="881"/>
      <c r="O10" s="881"/>
      <c r="P10" s="881" t="s">
        <v>160</v>
      </c>
      <c r="Q10" s="890" t="s">
        <v>161</v>
      </c>
      <c r="R10" s="891">
        <v>7339</v>
      </c>
      <c r="S10" s="891">
        <v>5968</v>
      </c>
      <c r="T10" s="881" t="s">
        <v>162</v>
      </c>
      <c r="U10" s="881"/>
      <c r="V10" s="892" t="s">
        <v>163</v>
      </c>
      <c r="W10" s="880" t="s">
        <v>164</v>
      </c>
      <c r="X10" s="893">
        <v>1</v>
      </c>
      <c r="Y10" s="893">
        <v>125345</v>
      </c>
      <c r="Z10" s="894"/>
      <c r="AA10" s="893"/>
      <c r="AB10" s="883"/>
      <c r="AC10" s="895">
        <f>Y10</f>
        <v>125345</v>
      </c>
      <c r="AD10" s="884"/>
      <c r="AE10" s="895">
        <f>AC10</f>
        <v>125345</v>
      </c>
      <c r="AF10" s="893">
        <v>9</v>
      </c>
      <c r="AG10" s="874">
        <f t="shared" si="3"/>
        <v>88068</v>
      </c>
      <c r="AH10" s="874">
        <f t="shared" si="4"/>
        <v>66051</v>
      </c>
      <c r="AI10" s="874">
        <f t="shared" si="5"/>
        <v>22017</v>
      </c>
      <c r="AJ10" s="874">
        <f t="shared" si="6"/>
        <v>88068</v>
      </c>
    </row>
    <row r="11" spans="1:38" s="878" customFormat="1" ht="26.1" customHeight="1">
      <c r="A11" s="865" t="s">
        <v>165</v>
      </c>
      <c r="B11" s="885" t="s">
        <v>166</v>
      </c>
      <c r="C11" s="886">
        <v>23369</v>
      </c>
      <c r="D11" s="881" t="s">
        <v>167</v>
      </c>
      <c r="E11" s="885" t="s">
        <v>168</v>
      </c>
      <c r="F11" s="879" t="s">
        <v>169</v>
      </c>
      <c r="G11" s="887" t="s">
        <v>170</v>
      </c>
      <c r="H11" s="879"/>
      <c r="I11" s="879"/>
      <c r="J11" s="888">
        <v>0.35</v>
      </c>
      <c r="K11" s="887" t="s">
        <v>164</v>
      </c>
      <c r="L11" s="889" t="s">
        <v>171</v>
      </c>
      <c r="M11" s="879" t="s">
        <v>170</v>
      </c>
      <c r="N11" s="881"/>
      <c r="O11" s="881"/>
      <c r="P11" s="881" t="s">
        <v>172</v>
      </c>
      <c r="Q11" s="890" t="s">
        <v>173</v>
      </c>
      <c r="R11" s="891">
        <v>9065</v>
      </c>
      <c r="S11" s="891">
        <v>7478</v>
      </c>
      <c r="T11" s="881" t="s">
        <v>174</v>
      </c>
      <c r="U11" s="881"/>
      <c r="V11" s="892" t="s">
        <v>175</v>
      </c>
      <c r="W11" s="880" t="s">
        <v>176</v>
      </c>
      <c r="X11" s="893">
        <v>1</v>
      </c>
      <c r="Y11" s="893">
        <v>192604</v>
      </c>
      <c r="Z11" s="894"/>
      <c r="AA11" s="893"/>
      <c r="AB11" s="883"/>
      <c r="AC11" s="895">
        <v>192604</v>
      </c>
      <c r="AD11" s="884"/>
      <c r="AE11" s="895">
        <v>192604</v>
      </c>
      <c r="AF11" s="893">
        <v>0</v>
      </c>
      <c r="AG11" s="874">
        <f t="shared" si="3"/>
        <v>0</v>
      </c>
      <c r="AH11" s="874">
        <f t="shared" si="4"/>
        <v>0</v>
      </c>
      <c r="AI11" s="893">
        <v>0</v>
      </c>
      <c r="AJ11" s="874">
        <f t="shared" si="6"/>
        <v>0</v>
      </c>
    </row>
    <row r="12" spans="1:38" s="878" customFormat="1" ht="30.95" customHeight="1">
      <c r="A12" s="865" t="s">
        <v>177</v>
      </c>
      <c r="B12" s="885" t="s">
        <v>178</v>
      </c>
      <c r="C12" s="886" t="s">
        <v>179</v>
      </c>
      <c r="D12" s="881" t="s">
        <v>180</v>
      </c>
      <c r="E12" s="885" t="s">
        <v>181</v>
      </c>
      <c r="F12" s="879" t="s">
        <v>182</v>
      </c>
      <c r="G12" s="887" t="s">
        <v>183</v>
      </c>
      <c r="H12" s="879" t="s">
        <v>184</v>
      </c>
      <c r="I12" s="879" t="s">
        <v>185</v>
      </c>
      <c r="J12" s="888">
        <v>0.19</v>
      </c>
      <c r="K12" s="887" t="s">
        <v>139</v>
      </c>
      <c r="L12" s="889" t="s">
        <v>186</v>
      </c>
      <c r="M12" s="879" t="s">
        <v>183</v>
      </c>
      <c r="N12" s="881"/>
      <c r="O12" s="881"/>
      <c r="P12" s="881" t="s">
        <v>187</v>
      </c>
      <c r="Q12" s="890" t="s">
        <v>188</v>
      </c>
      <c r="R12" s="891">
        <v>10957</v>
      </c>
      <c r="S12" s="891">
        <v>9057</v>
      </c>
      <c r="T12" s="881" t="s">
        <v>189</v>
      </c>
      <c r="U12" s="881"/>
      <c r="V12" s="892" t="s">
        <v>190</v>
      </c>
      <c r="W12" s="880" t="s">
        <v>176</v>
      </c>
      <c r="X12" s="893">
        <v>1</v>
      </c>
      <c r="Y12" s="893">
        <v>192403</v>
      </c>
      <c r="Z12" s="894"/>
      <c r="AA12" s="893"/>
      <c r="AB12" s="883"/>
      <c r="AC12" s="895">
        <v>192403</v>
      </c>
      <c r="AD12" s="884"/>
      <c r="AE12" s="895">
        <v>192403</v>
      </c>
      <c r="AF12" s="893">
        <v>0</v>
      </c>
      <c r="AG12" s="874">
        <f t="shared" si="3"/>
        <v>0</v>
      </c>
      <c r="AH12" s="874">
        <f t="shared" si="4"/>
        <v>0</v>
      </c>
      <c r="AI12" s="893">
        <v>0</v>
      </c>
      <c r="AJ12" s="874">
        <f t="shared" si="6"/>
        <v>0</v>
      </c>
    </row>
    <row r="13" spans="1:38" s="878" customFormat="1" ht="26.1" customHeight="1">
      <c r="A13" s="865" t="s">
        <v>191</v>
      </c>
      <c r="B13" s="885" t="s">
        <v>192</v>
      </c>
      <c r="C13" s="886">
        <v>23647</v>
      </c>
      <c r="D13" s="881" t="s">
        <v>193</v>
      </c>
      <c r="E13" s="885" t="s">
        <v>194</v>
      </c>
      <c r="F13" s="879" t="s">
        <v>195</v>
      </c>
      <c r="G13" s="887" t="s">
        <v>139</v>
      </c>
      <c r="H13" s="879">
        <v>0.2</v>
      </c>
      <c r="I13" s="879" t="s">
        <v>196</v>
      </c>
      <c r="J13" s="888"/>
      <c r="K13" s="887"/>
      <c r="L13" s="889" t="s">
        <v>197</v>
      </c>
      <c r="M13" s="879" t="s">
        <v>139</v>
      </c>
      <c r="N13" s="881"/>
      <c r="O13" s="881"/>
      <c r="P13" s="881" t="s">
        <v>198</v>
      </c>
      <c r="Q13" s="890" t="s">
        <v>199</v>
      </c>
      <c r="R13" s="891">
        <v>7194</v>
      </c>
      <c r="S13" s="891">
        <v>6031</v>
      </c>
      <c r="T13" s="881" t="s">
        <v>200</v>
      </c>
      <c r="U13" s="881"/>
      <c r="V13" s="892" t="s">
        <v>201</v>
      </c>
      <c r="W13" s="880" t="s">
        <v>176</v>
      </c>
      <c r="X13" s="893">
        <v>1</v>
      </c>
      <c r="Y13" s="893">
        <v>168900</v>
      </c>
      <c r="Z13" s="894"/>
      <c r="AA13" s="893"/>
      <c r="AB13" s="883"/>
      <c r="AC13" s="895">
        <v>168900</v>
      </c>
      <c r="AD13" s="884"/>
      <c r="AE13" s="895">
        <v>168900</v>
      </c>
      <c r="AF13" s="893">
        <v>0</v>
      </c>
      <c r="AG13" s="874">
        <f t="shared" si="3"/>
        <v>0</v>
      </c>
      <c r="AH13" s="874">
        <f t="shared" si="4"/>
        <v>0</v>
      </c>
      <c r="AI13" s="893">
        <v>0</v>
      </c>
      <c r="AJ13" s="874">
        <f t="shared" si="6"/>
        <v>0</v>
      </c>
    </row>
    <row r="14" spans="1:38" s="864" customFormat="1" ht="26.1" customHeight="1">
      <c r="A14" s="859" t="s">
        <v>65</v>
      </c>
      <c r="B14" s="1825" t="s">
        <v>202</v>
      </c>
      <c r="C14" s="1825"/>
      <c r="D14" s="1825"/>
      <c r="E14" s="1146"/>
      <c r="F14" s="860"/>
      <c r="G14" s="860"/>
      <c r="H14" s="860"/>
      <c r="I14" s="860"/>
      <c r="J14" s="860"/>
      <c r="K14" s="860"/>
      <c r="L14" s="860"/>
      <c r="M14" s="860"/>
      <c r="N14" s="860"/>
      <c r="O14" s="860"/>
      <c r="P14" s="860"/>
      <c r="Q14" s="860"/>
      <c r="R14" s="860"/>
      <c r="S14" s="860"/>
      <c r="T14" s="860"/>
      <c r="U14" s="860"/>
      <c r="V14" s="860"/>
      <c r="W14" s="860"/>
      <c r="X14" s="896">
        <f>COUNT(X18)</f>
        <v>1</v>
      </c>
      <c r="Y14" s="862">
        <f>Y18</f>
        <v>173954</v>
      </c>
      <c r="Z14" s="862">
        <f>Z18</f>
        <v>0</v>
      </c>
      <c r="AA14" s="862">
        <f>AA18</f>
        <v>0</v>
      </c>
      <c r="AB14" s="862">
        <f>AB18</f>
        <v>0</v>
      </c>
      <c r="AC14" s="863">
        <f>SUM(AC15:AC26)</f>
        <v>1147011.554</v>
      </c>
      <c r="AD14" s="863">
        <f>SUM(AD15:AD26)</f>
        <v>71245.2</v>
      </c>
      <c r="AE14" s="863">
        <f>SUM(AE15:AE26)</f>
        <v>1075766.3540000001</v>
      </c>
      <c r="AF14" s="863"/>
      <c r="AG14" s="863">
        <f t="shared" ref="AG14:AJ14" si="7">SUM(AG15:AG26)</f>
        <v>224132.9349593496</v>
      </c>
      <c r="AH14" s="863">
        <f t="shared" si="7"/>
        <v>187953</v>
      </c>
      <c r="AI14" s="863">
        <f t="shared" si="7"/>
        <v>36179.934959349601</v>
      </c>
      <c r="AJ14" s="863">
        <f t="shared" si="7"/>
        <v>152887.73495934959</v>
      </c>
    </row>
    <row r="15" spans="1:38" s="878" customFormat="1" ht="33" customHeight="1">
      <c r="A15" s="882" t="s">
        <v>203</v>
      </c>
      <c r="B15" s="897" t="s">
        <v>204</v>
      </c>
      <c r="C15" s="898" t="s">
        <v>205</v>
      </c>
      <c r="D15" s="881"/>
      <c r="E15" s="885" t="s">
        <v>206</v>
      </c>
      <c r="F15" s="899" t="s">
        <v>207</v>
      </c>
      <c r="G15" s="887" t="s">
        <v>208</v>
      </c>
      <c r="H15" s="881"/>
      <c r="I15" s="880"/>
      <c r="J15" s="900"/>
      <c r="K15" s="898"/>
      <c r="L15" s="865"/>
      <c r="M15" s="898"/>
      <c r="N15" s="899"/>
      <c r="O15" s="899"/>
      <c r="P15" s="881" t="s">
        <v>209</v>
      </c>
      <c r="Q15" s="880" t="s">
        <v>210</v>
      </c>
      <c r="R15" s="872">
        <v>1890</v>
      </c>
      <c r="S15" s="872">
        <v>1389</v>
      </c>
      <c r="T15" s="901" t="s">
        <v>211</v>
      </c>
      <c r="U15" s="898"/>
      <c r="V15" s="881" t="s">
        <v>212</v>
      </c>
      <c r="W15" s="880" t="s">
        <v>139</v>
      </c>
      <c r="X15" s="873">
        <v>1</v>
      </c>
      <c r="Y15" s="874"/>
      <c r="Z15" s="874"/>
      <c r="AA15" s="874">
        <v>16091</v>
      </c>
      <c r="AB15" s="874"/>
      <c r="AC15" s="876">
        <v>16091</v>
      </c>
      <c r="AD15" s="876">
        <v>5671</v>
      </c>
      <c r="AE15" s="876">
        <f>AC15-AD15</f>
        <v>10420</v>
      </c>
      <c r="AF15" s="874">
        <v>11</v>
      </c>
      <c r="AG15" s="874">
        <f>AH15+AI15</f>
        <v>20790</v>
      </c>
      <c r="AH15" s="874">
        <f t="shared" si="4"/>
        <v>20790</v>
      </c>
      <c r="AI15" s="874">
        <v>0</v>
      </c>
      <c r="AJ15" s="874">
        <f>AG15-AD15</f>
        <v>15119</v>
      </c>
    </row>
    <row r="16" spans="1:38" s="878" customFormat="1" ht="33" customHeight="1">
      <c r="A16" s="882" t="s">
        <v>213</v>
      </c>
      <c r="B16" s="885" t="s">
        <v>214</v>
      </c>
      <c r="C16" s="886" t="s">
        <v>215</v>
      </c>
      <c r="D16" s="881"/>
      <c r="E16" s="885" t="s">
        <v>206</v>
      </c>
      <c r="F16" s="899" t="s">
        <v>216</v>
      </c>
      <c r="G16" s="887" t="s">
        <v>217</v>
      </c>
      <c r="H16" s="881"/>
      <c r="I16" s="880"/>
      <c r="J16" s="900"/>
      <c r="K16" s="898"/>
      <c r="L16" s="865"/>
      <c r="M16" s="898"/>
      <c r="N16" s="899"/>
      <c r="O16" s="899"/>
      <c r="P16" s="881" t="s">
        <v>216</v>
      </c>
      <c r="Q16" s="880" t="s">
        <v>217</v>
      </c>
      <c r="R16" s="872">
        <v>1390</v>
      </c>
      <c r="S16" s="872">
        <v>1336</v>
      </c>
      <c r="T16" s="901" t="s">
        <v>218</v>
      </c>
      <c r="U16" s="898"/>
      <c r="V16" s="881" t="s">
        <v>219</v>
      </c>
      <c r="W16" s="880" t="s">
        <v>139</v>
      </c>
      <c r="X16" s="873">
        <v>1</v>
      </c>
      <c r="Y16" s="874"/>
      <c r="Z16" s="874"/>
      <c r="AA16" s="874">
        <v>7176</v>
      </c>
      <c r="AB16" s="874"/>
      <c r="AC16" s="876">
        <v>7176</v>
      </c>
      <c r="AD16" s="876">
        <v>4170</v>
      </c>
      <c r="AE16" s="876">
        <f>AC16-AD16</f>
        <v>3006</v>
      </c>
      <c r="AF16" s="874">
        <v>11</v>
      </c>
      <c r="AG16" s="874">
        <f t="shared" ref="AG16:AG26" si="8">AH16+AI16</f>
        <v>15290</v>
      </c>
      <c r="AH16" s="874">
        <f t="shared" si="4"/>
        <v>15290</v>
      </c>
      <c r="AI16" s="874">
        <v>0</v>
      </c>
      <c r="AJ16" s="874">
        <f t="shared" ref="AJ16:AJ26" si="9">AG16-AD16</f>
        <v>11120</v>
      </c>
    </row>
    <row r="17" spans="1:36" s="878" customFormat="1" ht="33" customHeight="1">
      <c r="A17" s="882" t="s">
        <v>220</v>
      </c>
      <c r="B17" s="885" t="s">
        <v>221</v>
      </c>
      <c r="C17" s="886">
        <v>26299</v>
      </c>
      <c r="D17" s="881"/>
      <c r="E17" s="885" t="s">
        <v>222</v>
      </c>
      <c r="F17" s="899" t="s">
        <v>223</v>
      </c>
      <c r="G17" s="887" t="s">
        <v>224</v>
      </c>
      <c r="H17" s="881"/>
      <c r="I17" s="880"/>
      <c r="J17" s="900"/>
      <c r="K17" s="898"/>
      <c r="L17" s="865"/>
      <c r="M17" s="898"/>
      <c r="N17" s="899"/>
      <c r="O17" s="899"/>
      <c r="P17" s="881" t="s">
        <v>225</v>
      </c>
      <c r="Q17" s="880" t="s">
        <v>226</v>
      </c>
      <c r="R17" s="872">
        <v>2335</v>
      </c>
      <c r="S17" s="872">
        <v>1961</v>
      </c>
      <c r="T17" s="901" t="s">
        <v>227</v>
      </c>
      <c r="U17" s="898"/>
      <c r="V17" s="881" t="s">
        <v>228</v>
      </c>
      <c r="W17" s="880" t="s">
        <v>139</v>
      </c>
      <c r="X17" s="873">
        <v>1</v>
      </c>
      <c r="Y17" s="874"/>
      <c r="Z17" s="874"/>
      <c r="AA17" s="874">
        <v>14360</v>
      </c>
      <c r="AB17" s="874"/>
      <c r="AC17" s="876">
        <v>14360</v>
      </c>
      <c r="AD17" s="876">
        <v>7005</v>
      </c>
      <c r="AE17" s="876">
        <f>AC17-AD17</f>
        <v>7355</v>
      </c>
      <c r="AF17" s="874">
        <v>11</v>
      </c>
      <c r="AG17" s="874">
        <f t="shared" si="8"/>
        <v>25685</v>
      </c>
      <c r="AH17" s="874">
        <f t="shared" si="4"/>
        <v>25685</v>
      </c>
      <c r="AI17" s="874">
        <v>0</v>
      </c>
      <c r="AJ17" s="874">
        <f t="shared" si="9"/>
        <v>18680</v>
      </c>
    </row>
    <row r="18" spans="1:36" s="878" customFormat="1" ht="35.25" customHeight="1">
      <c r="A18" s="882" t="s">
        <v>229</v>
      </c>
      <c r="B18" s="866" t="s">
        <v>230</v>
      </c>
      <c r="C18" s="867" t="s">
        <v>231</v>
      </c>
      <c r="D18" s="868" t="s">
        <v>129</v>
      </c>
      <c r="E18" s="866" t="s">
        <v>232</v>
      </c>
      <c r="F18" s="868" t="s">
        <v>233</v>
      </c>
      <c r="G18" s="867" t="s">
        <v>234</v>
      </c>
      <c r="H18" s="868" t="s">
        <v>235</v>
      </c>
      <c r="I18" s="867" t="s">
        <v>236</v>
      </c>
      <c r="J18" s="869"/>
      <c r="K18" s="870"/>
      <c r="L18" s="865"/>
      <c r="M18" s="867"/>
      <c r="N18" s="869"/>
      <c r="O18" s="869"/>
      <c r="P18" s="871" t="s">
        <v>237</v>
      </c>
      <c r="Q18" s="871" t="s">
        <v>238</v>
      </c>
      <c r="R18" s="872">
        <v>9313</v>
      </c>
      <c r="S18" s="872">
        <v>7099</v>
      </c>
      <c r="T18" s="868" t="s">
        <v>239</v>
      </c>
      <c r="U18" s="867"/>
      <c r="V18" s="868" t="s">
        <v>240</v>
      </c>
      <c r="W18" s="867" t="s">
        <v>170</v>
      </c>
      <c r="X18" s="873">
        <v>1</v>
      </c>
      <c r="Y18" s="874">
        <v>173954</v>
      </c>
      <c r="Z18" s="874"/>
      <c r="AA18" s="874"/>
      <c r="AB18" s="875"/>
      <c r="AC18" s="876">
        <f>Y18</f>
        <v>173954</v>
      </c>
      <c r="AD18" s="877"/>
      <c r="AE18" s="876">
        <f>AC18</f>
        <v>173954</v>
      </c>
      <c r="AF18" s="874">
        <v>8</v>
      </c>
      <c r="AG18" s="874">
        <f t="shared" si="8"/>
        <v>99338.666666666672</v>
      </c>
      <c r="AH18" s="874">
        <f t="shared" si="4"/>
        <v>74504</v>
      </c>
      <c r="AI18" s="874">
        <f t="shared" ref="AI18" si="10">((AH18*100%)/75%)-AH18</f>
        <v>24834.666666666672</v>
      </c>
      <c r="AJ18" s="874">
        <f t="shared" si="9"/>
        <v>99338.666666666672</v>
      </c>
    </row>
    <row r="19" spans="1:36" s="878" customFormat="1" ht="23.1" customHeight="1">
      <c r="A19" s="882" t="s">
        <v>241</v>
      </c>
      <c r="B19" s="885" t="s">
        <v>242</v>
      </c>
      <c r="C19" s="886">
        <v>23092</v>
      </c>
      <c r="D19" s="881" t="s">
        <v>243</v>
      </c>
      <c r="E19" s="885" t="s">
        <v>244</v>
      </c>
      <c r="F19" s="899" t="s">
        <v>245</v>
      </c>
      <c r="G19" s="887" t="s">
        <v>139</v>
      </c>
      <c r="H19" s="881">
        <v>0.3</v>
      </c>
      <c r="I19" s="880" t="s">
        <v>246</v>
      </c>
      <c r="J19" s="900">
        <v>0.34</v>
      </c>
      <c r="K19" s="898" t="s">
        <v>164</v>
      </c>
      <c r="L19" s="865" t="s">
        <v>247</v>
      </c>
      <c r="M19" s="898" t="s">
        <v>139</v>
      </c>
      <c r="N19" s="899"/>
      <c r="O19" s="899"/>
      <c r="P19" s="881" t="s">
        <v>248</v>
      </c>
      <c r="Q19" s="880" t="s">
        <v>249</v>
      </c>
      <c r="R19" s="872">
        <v>9127</v>
      </c>
      <c r="S19" s="872"/>
      <c r="T19" s="901" t="s">
        <v>250</v>
      </c>
      <c r="U19" s="898"/>
      <c r="V19" s="881" t="s">
        <v>251</v>
      </c>
      <c r="W19" s="880" t="s">
        <v>252</v>
      </c>
      <c r="X19" s="873">
        <v>1</v>
      </c>
      <c r="Y19" s="874">
        <v>223624</v>
      </c>
      <c r="Z19" s="874"/>
      <c r="AA19" s="874"/>
      <c r="AB19" s="874"/>
      <c r="AC19" s="876">
        <v>223624</v>
      </c>
      <c r="AD19" s="876"/>
      <c r="AE19" s="876">
        <v>223624</v>
      </c>
      <c r="AF19" s="874">
        <v>5</v>
      </c>
      <c r="AG19" s="874">
        <f t="shared" si="8"/>
        <v>55652.439024390245</v>
      </c>
      <c r="AH19" s="902">
        <f t="shared" si="4"/>
        <v>45635</v>
      </c>
      <c r="AI19" s="902">
        <f>((AH19*100%)/82%)-AH19</f>
        <v>10017.439024390245</v>
      </c>
      <c r="AJ19" s="874">
        <f t="shared" si="9"/>
        <v>55652.439024390245</v>
      </c>
    </row>
    <row r="20" spans="1:36" s="878" customFormat="1" ht="26.1" customHeight="1">
      <c r="A20" s="882" t="s">
        <v>253</v>
      </c>
      <c r="B20" s="885" t="s">
        <v>254</v>
      </c>
      <c r="C20" s="886" t="s">
        <v>255</v>
      </c>
      <c r="D20" s="881" t="s">
        <v>256</v>
      </c>
      <c r="E20" s="885" t="s">
        <v>257</v>
      </c>
      <c r="F20" s="899" t="s">
        <v>258</v>
      </c>
      <c r="G20" s="887" t="s">
        <v>259</v>
      </c>
      <c r="H20" s="881"/>
      <c r="I20" s="880"/>
      <c r="J20" s="900">
        <v>0.2</v>
      </c>
      <c r="K20" s="898" t="s">
        <v>260</v>
      </c>
      <c r="L20" s="865"/>
      <c r="M20" s="898"/>
      <c r="N20" s="899"/>
      <c r="O20" s="899"/>
      <c r="P20" s="881" t="s">
        <v>261</v>
      </c>
      <c r="Q20" s="880" t="s">
        <v>262</v>
      </c>
      <c r="R20" s="872">
        <v>6049</v>
      </c>
      <c r="S20" s="872">
        <v>5383</v>
      </c>
      <c r="T20" s="901" t="s">
        <v>263</v>
      </c>
      <c r="U20" s="898"/>
      <c r="V20" s="881" t="s">
        <v>264</v>
      </c>
      <c r="W20" s="880" t="s">
        <v>265</v>
      </c>
      <c r="X20" s="873">
        <v>1</v>
      </c>
      <c r="Y20" s="874">
        <v>91517</v>
      </c>
      <c r="Z20" s="874"/>
      <c r="AA20" s="874"/>
      <c r="AB20" s="874"/>
      <c r="AC20" s="876">
        <v>91517</v>
      </c>
      <c r="AD20" s="876"/>
      <c r="AE20" s="876">
        <v>91517</v>
      </c>
      <c r="AF20" s="874">
        <v>1</v>
      </c>
      <c r="AG20" s="874">
        <f t="shared" si="8"/>
        <v>7376.8292682926831</v>
      </c>
      <c r="AH20" s="902">
        <f t="shared" si="4"/>
        <v>6049</v>
      </c>
      <c r="AI20" s="902">
        <f>((AH20*100%)/82%)-AH20</f>
        <v>1327.8292682926831</v>
      </c>
      <c r="AJ20" s="874">
        <f t="shared" si="9"/>
        <v>7376.8292682926831</v>
      </c>
    </row>
    <row r="21" spans="1:36" s="878" customFormat="1" ht="30" customHeight="1">
      <c r="A21" s="882" t="s">
        <v>266</v>
      </c>
      <c r="B21" s="885" t="s">
        <v>267</v>
      </c>
      <c r="C21" s="886" t="s">
        <v>268</v>
      </c>
      <c r="D21" s="881" t="s">
        <v>269</v>
      </c>
      <c r="E21" s="885" t="s">
        <v>270</v>
      </c>
      <c r="F21" s="899"/>
      <c r="G21" s="887"/>
      <c r="H21" s="881"/>
      <c r="I21" s="880"/>
      <c r="J21" s="900"/>
      <c r="K21" s="898"/>
      <c r="L21" s="865"/>
      <c r="M21" s="898"/>
      <c r="N21" s="899"/>
      <c r="O21" s="899"/>
      <c r="P21" s="881"/>
      <c r="Q21" s="880"/>
      <c r="R21" s="872"/>
      <c r="S21" s="872"/>
      <c r="T21" s="901" t="s">
        <v>271</v>
      </c>
      <c r="U21" s="898"/>
      <c r="V21" s="881" t="s">
        <v>272</v>
      </c>
      <c r="W21" s="880" t="s">
        <v>176</v>
      </c>
      <c r="X21" s="873">
        <v>1</v>
      </c>
      <c r="Y21" s="874"/>
      <c r="Z21" s="874"/>
      <c r="AA21" s="874"/>
      <c r="AB21" s="874">
        <v>186478.7</v>
      </c>
      <c r="AC21" s="876">
        <f>AB21</f>
        <v>186478.7</v>
      </c>
      <c r="AD21" s="876">
        <v>17254.2</v>
      </c>
      <c r="AE21" s="876">
        <f>AB21-AD21</f>
        <v>169224.5</v>
      </c>
      <c r="AF21" s="874">
        <v>0</v>
      </c>
      <c r="AG21" s="874">
        <f t="shared" si="8"/>
        <v>0</v>
      </c>
      <c r="AH21" s="874">
        <f t="shared" si="4"/>
        <v>0</v>
      </c>
      <c r="AI21" s="874">
        <v>0</v>
      </c>
      <c r="AJ21" s="874">
        <f t="shared" si="9"/>
        <v>-17254.2</v>
      </c>
    </row>
    <row r="22" spans="1:36" s="878" customFormat="1" ht="26.1" customHeight="1">
      <c r="A22" s="882" t="s">
        <v>273</v>
      </c>
      <c r="B22" s="885" t="s">
        <v>274</v>
      </c>
      <c r="C22" s="886" t="s">
        <v>275</v>
      </c>
      <c r="D22" s="881" t="s">
        <v>276</v>
      </c>
      <c r="E22" s="885" t="s">
        <v>277</v>
      </c>
      <c r="F22" s="899"/>
      <c r="G22" s="887"/>
      <c r="H22" s="881"/>
      <c r="I22" s="880"/>
      <c r="J22" s="900"/>
      <c r="K22" s="898"/>
      <c r="L22" s="865"/>
      <c r="M22" s="898"/>
      <c r="N22" s="899"/>
      <c r="O22" s="899"/>
      <c r="P22" s="881"/>
      <c r="Q22" s="880"/>
      <c r="R22" s="872"/>
      <c r="S22" s="872"/>
      <c r="T22" s="901" t="s">
        <v>278</v>
      </c>
      <c r="U22" s="898"/>
      <c r="V22" s="881" t="s">
        <v>279</v>
      </c>
      <c r="W22" s="880" t="s">
        <v>176</v>
      </c>
      <c r="X22" s="873">
        <v>1</v>
      </c>
      <c r="Y22" s="874">
        <v>59185.853999999999</v>
      </c>
      <c r="Z22" s="874"/>
      <c r="AA22" s="874"/>
      <c r="AB22" s="874"/>
      <c r="AC22" s="876">
        <f>AE22</f>
        <v>59185.853999999999</v>
      </c>
      <c r="AD22" s="876"/>
      <c r="AE22" s="876">
        <f>Y22</f>
        <v>59185.853999999999</v>
      </c>
      <c r="AF22" s="874">
        <v>0</v>
      </c>
      <c r="AG22" s="874">
        <f t="shared" si="8"/>
        <v>0</v>
      </c>
      <c r="AH22" s="874">
        <f t="shared" si="4"/>
        <v>0</v>
      </c>
      <c r="AI22" s="874">
        <v>0</v>
      </c>
      <c r="AJ22" s="874">
        <f t="shared" si="9"/>
        <v>0</v>
      </c>
    </row>
    <row r="23" spans="1:36" s="878" customFormat="1" ht="33" customHeight="1">
      <c r="A23" s="882" t="s">
        <v>280</v>
      </c>
      <c r="B23" s="885" t="s">
        <v>281</v>
      </c>
      <c r="C23" s="886" t="s">
        <v>282</v>
      </c>
      <c r="D23" s="881" t="s">
        <v>155</v>
      </c>
      <c r="E23" s="885" t="s">
        <v>283</v>
      </c>
      <c r="F23" s="899" t="s">
        <v>284</v>
      </c>
      <c r="G23" s="887" t="s">
        <v>139</v>
      </c>
      <c r="H23" s="881">
        <v>0.2</v>
      </c>
      <c r="I23" s="880" t="s">
        <v>285</v>
      </c>
      <c r="J23" s="900"/>
      <c r="K23" s="898"/>
      <c r="L23" s="865"/>
      <c r="M23" s="898"/>
      <c r="N23" s="899"/>
      <c r="O23" s="899"/>
      <c r="P23" s="881" t="s">
        <v>286</v>
      </c>
      <c r="Q23" s="880" t="s">
        <v>287</v>
      </c>
      <c r="R23" s="872">
        <v>7939</v>
      </c>
      <c r="S23" s="872">
        <v>6642</v>
      </c>
      <c r="T23" s="901" t="s">
        <v>288</v>
      </c>
      <c r="U23" s="898"/>
      <c r="V23" s="881" t="s">
        <v>289</v>
      </c>
      <c r="W23" s="880" t="s">
        <v>176</v>
      </c>
      <c r="X23" s="873">
        <v>1</v>
      </c>
      <c r="Y23" s="874">
        <v>169374</v>
      </c>
      <c r="Z23" s="874"/>
      <c r="AA23" s="874"/>
      <c r="AB23" s="874"/>
      <c r="AC23" s="876">
        <v>169374</v>
      </c>
      <c r="AD23" s="876"/>
      <c r="AE23" s="876">
        <v>169374</v>
      </c>
      <c r="AF23" s="874">
        <v>0</v>
      </c>
      <c r="AG23" s="874">
        <f t="shared" si="8"/>
        <v>0</v>
      </c>
      <c r="AH23" s="874">
        <f t="shared" si="4"/>
        <v>0</v>
      </c>
      <c r="AI23" s="874">
        <v>0</v>
      </c>
      <c r="AJ23" s="874">
        <f t="shared" si="9"/>
        <v>0</v>
      </c>
    </row>
    <row r="24" spans="1:36" s="878" customFormat="1" ht="26.1" customHeight="1">
      <c r="A24" s="882" t="s">
        <v>290</v>
      </c>
      <c r="B24" s="885" t="s">
        <v>291</v>
      </c>
      <c r="C24" s="886">
        <v>24461</v>
      </c>
      <c r="D24" s="881" t="s">
        <v>292</v>
      </c>
      <c r="E24" s="885" t="s">
        <v>293</v>
      </c>
      <c r="F24" s="899" t="s">
        <v>294</v>
      </c>
      <c r="G24" s="887" t="s">
        <v>265</v>
      </c>
      <c r="H24" s="881"/>
      <c r="I24" s="880"/>
      <c r="J24" s="900"/>
      <c r="K24" s="898"/>
      <c r="L24" s="865"/>
      <c r="M24" s="898"/>
      <c r="N24" s="899"/>
      <c r="O24" s="899"/>
      <c r="P24" s="881" t="s">
        <v>295</v>
      </c>
      <c r="Q24" s="880" t="s">
        <v>296</v>
      </c>
      <c r="R24" s="872">
        <v>3665</v>
      </c>
      <c r="S24" s="872">
        <v>2332</v>
      </c>
      <c r="T24" s="901" t="s">
        <v>297</v>
      </c>
      <c r="U24" s="898"/>
      <c r="V24" s="881" t="s">
        <v>298</v>
      </c>
      <c r="W24" s="880" t="s">
        <v>176</v>
      </c>
      <c r="X24" s="873">
        <v>1</v>
      </c>
      <c r="Y24" s="874"/>
      <c r="Z24" s="874"/>
      <c r="AA24" s="874">
        <v>46813</v>
      </c>
      <c r="AB24" s="874"/>
      <c r="AC24" s="876">
        <v>46813</v>
      </c>
      <c r="AD24" s="876">
        <v>10996</v>
      </c>
      <c r="AE24" s="876">
        <v>35817</v>
      </c>
      <c r="AF24" s="874">
        <v>0</v>
      </c>
      <c r="AG24" s="874">
        <f t="shared" si="8"/>
        <v>0</v>
      </c>
      <c r="AH24" s="874">
        <f t="shared" si="4"/>
        <v>0</v>
      </c>
      <c r="AI24" s="874">
        <v>0</v>
      </c>
      <c r="AJ24" s="874">
        <f t="shared" si="9"/>
        <v>-10996</v>
      </c>
    </row>
    <row r="25" spans="1:36" s="878" customFormat="1" ht="26.1" customHeight="1">
      <c r="A25" s="882" t="s">
        <v>299</v>
      </c>
      <c r="B25" s="885" t="s">
        <v>300</v>
      </c>
      <c r="C25" s="886" t="s">
        <v>301</v>
      </c>
      <c r="D25" s="881" t="s">
        <v>302</v>
      </c>
      <c r="E25" s="885" t="s">
        <v>303</v>
      </c>
      <c r="F25" s="899" t="s">
        <v>304</v>
      </c>
      <c r="G25" s="887" t="s">
        <v>146</v>
      </c>
      <c r="H25" s="881"/>
      <c r="I25" s="880"/>
      <c r="J25" s="900"/>
      <c r="K25" s="898"/>
      <c r="L25" s="865"/>
      <c r="M25" s="898"/>
      <c r="N25" s="899"/>
      <c r="O25" s="899"/>
      <c r="P25" s="881" t="s">
        <v>305</v>
      </c>
      <c r="Q25" s="880" t="s">
        <v>306</v>
      </c>
      <c r="R25" s="872">
        <v>4261</v>
      </c>
      <c r="S25" s="872">
        <v>3409</v>
      </c>
      <c r="T25" s="901" t="s">
        <v>307</v>
      </c>
      <c r="U25" s="898"/>
      <c r="V25" s="881" t="s">
        <v>308</v>
      </c>
      <c r="W25" s="880" t="s">
        <v>176</v>
      </c>
      <c r="X25" s="873">
        <v>1</v>
      </c>
      <c r="Y25" s="874"/>
      <c r="Z25" s="874"/>
      <c r="AA25" s="874">
        <v>74272</v>
      </c>
      <c r="AB25" s="874"/>
      <c r="AC25" s="876">
        <v>74272</v>
      </c>
      <c r="AD25" s="876">
        <v>12784</v>
      </c>
      <c r="AE25" s="876">
        <v>61488</v>
      </c>
      <c r="AF25" s="874">
        <v>0</v>
      </c>
      <c r="AG25" s="874">
        <f t="shared" si="8"/>
        <v>0</v>
      </c>
      <c r="AH25" s="874">
        <f t="shared" si="4"/>
        <v>0</v>
      </c>
      <c r="AI25" s="874">
        <v>0</v>
      </c>
      <c r="AJ25" s="874">
        <f t="shared" si="9"/>
        <v>-12784</v>
      </c>
    </row>
    <row r="26" spans="1:36" s="878" customFormat="1" ht="26.1" customHeight="1">
      <c r="A26" s="882" t="s">
        <v>309</v>
      </c>
      <c r="B26" s="885" t="s">
        <v>310</v>
      </c>
      <c r="C26" s="886" t="s">
        <v>311</v>
      </c>
      <c r="D26" s="881" t="s">
        <v>312</v>
      </c>
      <c r="E26" s="885" t="s">
        <v>313</v>
      </c>
      <c r="F26" s="899" t="s">
        <v>304</v>
      </c>
      <c r="G26" s="887" t="s">
        <v>314</v>
      </c>
      <c r="H26" s="881"/>
      <c r="I26" s="880"/>
      <c r="J26" s="900"/>
      <c r="K26" s="898"/>
      <c r="L26" s="865"/>
      <c r="M26" s="898"/>
      <c r="N26" s="899"/>
      <c r="O26" s="899"/>
      <c r="P26" s="881" t="s">
        <v>305</v>
      </c>
      <c r="Q26" s="880" t="s">
        <v>315</v>
      </c>
      <c r="R26" s="872">
        <v>4815</v>
      </c>
      <c r="S26" s="872">
        <v>3587</v>
      </c>
      <c r="T26" s="901" t="s">
        <v>316</v>
      </c>
      <c r="U26" s="898"/>
      <c r="V26" s="881" t="s">
        <v>317</v>
      </c>
      <c r="W26" s="880" t="s">
        <v>176</v>
      </c>
      <c r="X26" s="873">
        <v>1</v>
      </c>
      <c r="Y26" s="874"/>
      <c r="Z26" s="874"/>
      <c r="AA26" s="874">
        <v>84166</v>
      </c>
      <c r="AB26" s="874"/>
      <c r="AC26" s="876">
        <v>84166</v>
      </c>
      <c r="AD26" s="876">
        <v>13365</v>
      </c>
      <c r="AE26" s="876">
        <v>70801</v>
      </c>
      <c r="AF26" s="874">
        <v>0</v>
      </c>
      <c r="AG26" s="874">
        <f t="shared" si="8"/>
        <v>0</v>
      </c>
      <c r="AH26" s="874">
        <f t="shared" si="4"/>
        <v>0</v>
      </c>
      <c r="AI26" s="874">
        <v>0</v>
      </c>
      <c r="AJ26" s="874">
        <f t="shared" si="9"/>
        <v>-13365</v>
      </c>
    </row>
    <row r="27" spans="1:36" s="864" customFormat="1" ht="26.1" customHeight="1">
      <c r="A27" s="859" t="s">
        <v>14</v>
      </c>
      <c r="B27" s="1825" t="s">
        <v>318</v>
      </c>
      <c r="C27" s="1825"/>
      <c r="D27" s="1825"/>
      <c r="E27" s="903"/>
      <c r="F27" s="904"/>
      <c r="G27" s="904"/>
      <c r="H27" s="904"/>
      <c r="I27" s="905"/>
      <c r="J27" s="906"/>
      <c r="K27" s="906"/>
      <c r="L27" s="907"/>
      <c r="M27" s="904"/>
      <c r="N27" s="906"/>
      <c r="O27" s="906"/>
      <c r="P27" s="908"/>
      <c r="Q27" s="908"/>
      <c r="R27" s="909"/>
      <c r="S27" s="909"/>
      <c r="T27" s="904"/>
      <c r="U27" s="910"/>
      <c r="V27" s="904"/>
      <c r="W27" s="904"/>
      <c r="X27" s="911">
        <f>COUNT(X28:X29)</f>
        <v>2</v>
      </c>
      <c r="Y27" s="862">
        <f>SUM(Y28:Y29)</f>
        <v>202218</v>
      </c>
      <c r="Z27" s="862">
        <f t="shared" ref="Z27:AB27" si="11">SUM(Z28:Z29)</f>
        <v>0</v>
      </c>
      <c r="AA27" s="862">
        <f t="shared" si="11"/>
        <v>0</v>
      </c>
      <c r="AB27" s="862">
        <f t="shared" si="11"/>
        <v>0</v>
      </c>
      <c r="AC27" s="863">
        <f>SUM(AC28:AC31)</f>
        <v>347202</v>
      </c>
      <c r="AD27" s="863">
        <f t="shared" ref="AD27:AJ27" si="12">SUM(AD28:AD31)</f>
        <v>24135</v>
      </c>
      <c r="AE27" s="863">
        <f t="shared" si="12"/>
        <v>323067</v>
      </c>
      <c r="AF27" s="863"/>
      <c r="AG27" s="863">
        <f t="shared" si="12"/>
        <v>215373.96747967479</v>
      </c>
      <c r="AH27" s="863">
        <f t="shared" si="12"/>
        <v>163222</v>
      </c>
      <c r="AI27" s="863">
        <f t="shared" si="12"/>
        <v>52151.967479674793</v>
      </c>
      <c r="AJ27" s="863">
        <f t="shared" si="12"/>
        <v>191238.96747967479</v>
      </c>
    </row>
    <row r="28" spans="1:36" s="878" customFormat="1" ht="26.1" customHeight="1">
      <c r="A28" s="912" t="s">
        <v>319</v>
      </c>
      <c r="B28" s="885" t="s">
        <v>320</v>
      </c>
      <c r="C28" s="913" t="s">
        <v>321</v>
      </c>
      <c r="D28" s="881" t="s">
        <v>322</v>
      </c>
      <c r="E28" s="885" t="s">
        <v>323</v>
      </c>
      <c r="F28" s="912">
        <v>5.42</v>
      </c>
      <c r="G28" s="912" t="s">
        <v>324</v>
      </c>
      <c r="H28" s="912" t="s">
        <v>158</v>
      </c>
      <c r="I28" s="881" t="s">
        <v>325</v>
      </c>
      <c r="J28" s="889"/>
      <c r="K28" s="879"/>
      <c r="L28" s="914"/>
      <c r="M28" s="867"/>
      <c r="N28" s="881"/>
      <c r="O28" s="881"/>
      <c r="P28" s="879" t="s">
        <v>326</v>
      </c>
      <c r="Q28" s="879" t="s">
        <v>327</v>
      </c>
      <c r="R28" s="872">
        <v>7950</v>
      </c>
      <c r="S28" s="915">
        <v>6424</v>
      </c>
      <c r="T28" s="881" t="s">
        <v>328</v>
      </c>
      <c r="U28" s="916"/>
      <c r="V28" s="881" t="s">
        <v>329</v>
      </c>
      <c r="W28" s="879" t="s">
        <v>139</v>
      </c>
      <c r="X28" s="873">
        <v>1</v>
      </c>
      <c r="Y28" s="874">
        <v>133305</v>
      </c>
      <c r="Z28" s="883"/>
      <c r="AA28" s="883"/>
      <c r="AB28" s="883"/>
      <c r="AC28" s="876">
        <v>133305</v>
      </c>
      <c r="AD28" s="884"/>
      <c r="AE28" s="876">
        <v>133305</v>
      </c>
      <c r="AF28" s="874">
        <v>11</v>
      </c>
      <c r="AG28" s="874">
        <f>AH28+AI28</f>
        <v>116600</v>
      </c>
      <c r="AH28" s="874">
        <f t="shared" si="4"/>
        <v>87450</v>
      </c>
      <c r="AI28" s="874">
        <f t="shared" ref="AI28:AI29" si="13">((AH28*100%)/75%)-AH28</f>
        <v>29150</v>
      </c>
      <c r="AJ28" s="874">
        <f>AG28-AD28</f>
        <v>116600</v>
      </c>
    </row>
    <row r="29" spans="1:36" s="878" customFormat="1" ht="26.1" customHeight="1">
      <c r="A29" s="912" t="s">
        <v>330</v>
      </c>
      <c r="B29" s="885" t="s">
        <v>331</v>
      </c>
      <c r="C29" s="913" t="s">
        <v>332</v>
      </c>
      <c r="D29" s="881" t="s">
        <v>333</v>
      </c>
      <c r="E29" s="885" t="s">
        <v>334</v>
      </c>
      <c r="F29" s="912" t="s">
        <v>335</v>
      </c>
      <c r="G29" s="912" t="s">
        <v>336</v>
      </c>
      <c r="H29" s="912"/>
      <c r="I29" s="881"/>
      <c r="J29" s="889"/>
      <c r="K29" s="879"/>
      <c r="L29" s="914"/>
      <c r="M29" s="867"/>
      <c r="N29" s="881"/>
      <c r="O29" s="881"/>
      <c r="P29" s="879" t="s">
        <v>337</v>
      </c>
      <c r="Q29" s="879" t="s">
        <v>338</v>
      </c>
      <c r="R29" s="872">
        <v>5087</v>
      </c>
      <c r="S29" s="915">
        <v>4054</v>
      </c>
      <c r="T29" s="881" t="s">
        <v>339</v>
      </c>
      <c r="U29" s="916"/>
      <c r="V29" s="881" t="s">
        <v>340</v>
      </c>
      <c r="W29" s="879" t="s">
        <v>139</v>
      </c>
      <c r="X29" s="873">
        <v>1</v>
      </c>
      <c r="Y29" s="874">
        <v>68913</v>
      </c>
      <c r="Z29" s="883"/>
      <c r="AA29" s="883"/>
      <c r="AB29" s="883"/>
      <c r="AC29" s="876">
        <f>Y29</f>
        <v>68913</v>
      </c>
      <c r="AD29" s="884"/>
      <c r="AE29" s="876">
        <f>AC29</f>
        <v>68913</v>
      </c>
      <c r="AF29" s="874">
        <v>11</v>
      </c>
      <c r="AG29" s="874">
        <f t="shared" ref="AG29:AG31" si="14">AH29+AI29</f>
        <v>74609.333333333328</v>
      </c>
      <c r="AH29" s="874">
        <f t="shared" si="4"/>
        <v>55957</v>
      </c>
      <c r="AI29" s="874">
        <f t="shared" si="13"/>
        <v>18652.333333333328</v>
      </c>
      <c r="AJ29" s="874">
        <f t="shared" ref="AJ29:AJ31" si="15">AG29-AD29</f>
        <v>74609.333333333328</v>
      </c>
    </row>
    <row r="30" spans="1:36" s="878" customFormat="1" ht="26.1" customHeight="1">
      <c r="A30" s="912" t="s">
        <v>341</v>
      </c>
      <c r="B30" s="885" t="s">
        <v>342</v>
      </c>
      <c r="C30" s="913" t="s">
        <v>343</v>
      </c>
      <c r="D30" s="881" t="s">
        <v>344</v>
      </c>
      <c r="E30" s="885" t="s">
        <v>345</v>
      </c>
      <c r="F30" s="912" t="s">
        <v>346</v>
      </c>
      <c r="G30" s="912" t="s">
        <v>347</v>
      </c>
      <c r="H30" s="912"/>
      <c r="I30" s="881"/>
      <c r="J30" s="889">
        <v>0.2</v>
      </c>
      <c r="K30" s="879" t="s">
        <v>348</v>
      </c>
      <c r="L30" s="914"/>
      <c r="M30" s="867"/>
      <c r="N30" s="881"/>
      <c r="O30" s="881"/>
      <c r="P30" s="879" t="s">
        <v>349</v>
      </c>
      <c r="Q30" s="879" t="s">
        <v>350</v>
      </c>
      <c r="R30" s="872">
        <v>6605</v>
      </c>
      <c r="S30" s="915">
        <v>5976</v>
      </c>
      <c r="T30" s="881" t="s">
        <v>351</v>
      </c>
      <c r="U30" s="916"/>
      <c r="V30" s="881" t="s">
        <v>352</v>
      </c>
      <c r="W30" s="879" t="s">
        <v>314</v>
      </c>
      <c r="X30" s="873">
        <v>1</v>
      </c>
      <c r="Y30" s="874">
        <v>120849</v>
      </c>
      <c r="Z30" s="883"/>
      <c r="AA30" s="883"/>
      <c r="AB30" s="883"/>
      <c r="AC30" s="876">
        <v>120849</v>
      </c>
      <c r="AD30" s="917"/>
      <c r="AE30" s="876">
        <v>120849</v>
      </c>
      <c r="AF30" s="874">
        <v>3</v>
      </c>
      <c r="AG30" s="874">
        <f t="shared" si="14"/>
        <v>24164.634146341465</v>
      </c>
      <c r="AH30" s="902">
        <f t="shared" si="4"/>
        <v>19815</v>
      </c>
      <c r="AI30" s="902">
        <f>((AH30*100%)/82%)-AH30</f>
        <v>4349.6341463414647</v>
      </c>
      <c r="AJ30" s="874">
        <f t="shared" si="15"/>
        <v>24164.634146341465</v>
      </c>
    </row>
    <row r="31" spans="1:36" s="878" customFormat="1" ht="26.1" customHeight="1">
      <c r="A31" s="912" t="s">
        <v>353</v>
      </c>
      <c r="B31" s="885" t="s">
        <v>354</v>
      </c>
      <c r="C31" s="913" t="s">
        <v>355</v>
      </c>
      <c r="D31" s="881"/>
      <c r="E31" s="885" t="s">
        <v>356</v>
      </c>
      <c r="F31" s="912" t="s">
        <v>357</v>
      </c>
      <c r="G31" s="912" t="s">
        <v>336</v>
      </c>
      <c r="H31" s="912"/>
      <c r="I31" s="881"/>
      <c r="J31" s="889"/>
      <c r="K31" s="879"/>
      <c r="L31" s="914"/>
      <c r="M31" s="867"/>
      <c r="N31" s="881"/>
      <c r="O31" s="881"/>
      <c r="P31" s="879" t="s">
        <v>358</v>
      </c>
      <c r="Q31" s="879" t="s">
        <v>359</v>
      </c>
      <c r="R31" s="872">
        <v>2771</v>
      </c>
      <c r="S31" s="915">
        <v>2109</v>
      </c>
      <c r="T31" s="881" t="s">
        <v>360</v>
      </c>
      <c r="U31" s="916"/>
      <c r="V31" s="881" t="s">
        <v>361</v>
      </c>
      <c r="W31" s="879" t="s">
        <v>176</v>
      </c>
      <c r="X31" s="873">
        <v>1</v>
      </c>
      <c r="Y31" s="874"/>
      <c r="Z31" s="883"/>
      <c r="AA31" s="883">
        <v>24135</v>
      </c>
      <c r="AB31" s="883"/>
      <c r="AC31" s="876">
        <v>24135</v>
      </c>
      <c r="AD31" s="876">
        <v>24135</v>
      </c>
      <c r="AE31" s="876"/>
      <c r="AF31" s="874">
        <v>0</v>
      </c>
      <c r="AG31" s="874">
        <f t="shared" si="14"/>
        <v>0</v>
      </c>
      <c r="AH31" s="902">
        <f t="shared" si="4"/>
        <v>0</v>
      </c>
      <c r="AI31" s="902">
        <f>((AH31*100%)/82%)-AH31</f>
        <v>0</v>
      </c>
      <c r="AJ31" s="874">
        <f t="shared" si="15"/>
        <v>-24135</v>
      </c>
    </row>
    <row r="32" spans="1:36" s="864" customFormat="1" ht="26.1" customHeight="1">
      <c r="A32" s="918" t="s">
        <v>18</v>
      </c>
      <c r="B32" s="1825" t="s">
        <v>34</v>
      </c>
      <c r="C32" s="1825"/>
      <c r="D32" s="1825"/>
      <c r="E32" s="903"/>
      <c r="F32" s="904"/>
      <c r="G32" s="904"/>
      <c r="H32" s="905"/>
      <c r="I32" s="905"/>
      <c r="J32" s="906"/>
      <c r="K32" s="906"/>
      <c r="L32" s="907"/>
      <c r="M32" s="904"/>
      <c r="N32" s="906"/>
      <c r="O32" s="906"/>
      <c r="P32" s="908"/>
      <c r="Q32" s="908"/>
      <c r="R32" s="909"/>
      <c r="S32" s="909"/>
      <c r="T32" s="904"/>
      <c r="U32" s="910"/>
      <c r="V32" s="904"/>
      <c r="W32" s="904"/>
      <c r="X32" s="911">
        <f>SUM(X33:X45)</f>
        <v>13</v>
      </c>
      <c r="Y32" s="862">
        <f>SUM(Y33:Y45)</f>
        <v>1844696</v>
      </c>
      <c r="Z32" s="862">
        <f>SUM(Z33:Z45)</f>
        <v>0</v>
      </c>
      <c r="AA32" s="862">
        <f>SUM(AA33:AA45)</f>
        <v>0</v>
      </c>
      <c r="AB32" s="862">
        <f>SUM(AB33:AB45)</f>
        <v>0</v>
      </c>
      <c r="AC32" s="863">
        <f>SUM(AC33:AC97)</f>
        <v>10517232</v>
      </c>
      <c r="AD32" s="863">
        <f>SUM(AD33:AD97)</f>
        <v>113409</v>
      </c>
      <c r="AE32" s="863">
        <f>SUM(AE33:AE97)</f>
        <v>10403823</v>
      </c>
      <c r="AF32" s="863"/>
      <c r="AG32" s="863">
        <f t="shared" ref="AG32:AJ32" si="16">SUM(AG33:AG97)</f>
        <v>2015796.6910569107</v>
      </c>
      <c r="AH32" s="863">
        <f t="shared" si="16"/>
        <v>1645697</v>
      </c>
      <c r="AI32" s="863">
        <f t="shared" si="16"/>
        <v>370099.69105691073</v>
      </c>
      <c r="AJ32" s="863">
        <f t="shared" si="16"/>
        <v>1902387.6910569107</v>
      </c>
    </row>
    <row r="33" spans="1:36" s="878" customFormat="1" ht="26.1" customHeight="1">
      <c r="A33" s="919" t="s">
        <v>362</v>
      </c>
      <c r="B33" s="866" t="s">
        <v>363</v>
      </c>
      <c r="C33" s="879" t="s">
        <v>364</v>
      </c>
      <c r="D33" s="867" t="s">
        <v>365</v>
      </c>
      <c r="E33" s="866" t="s">
        <v>366</v>
      </c>
      <c r="F33" s="881">
        <v>4.9800000000000004</v>
      </c>
      <c r="G33" s="880" t="s">
        <v>367</v>
      </c>
      <c r="H33" s="881">
        <v>0.3</v>
      </c>
      <c r="I33" s="881" t="s">
        <v>368</v>
      </c>
      <c r="J33" s="869"/>
      <c r="K33" s="869"/>
      <c r="L33" s="865"/>
      <c r="M33" s="867"/>
      <c r="N33" s="869"/>
      <c r="O33" s="869"/>
      <c r="P33" s="881" t="s">
        <v>369</v>
      </c>
      <c r="Q33" s="881" t="s">
        <v>370</v>
      </c>
      <c r="R33" s="872">
        <v>9174</v>
      </c>
      <c r="S33" s="872">
        <v>6041</v>
      </c>
      <c r="T33" s="881" t="s">
        <v>371</v>
      </c>
      <c r="U33" s="877"/>
      <c r="V33" s="881" t="s">
        <v>372</v>
      </c>
      <c r="W33" s="880" t="s">
        <v>139</v>
      </c>
      <c r="X33" s="873">
        <v>1</v>
      </c>
      <c r="Y33" s="874">
        <v>117818</v>
      </c>
      <c r="Z33" s="883"/>
      <c r="AA33" s="883"/>
      <c r="AB33" s="883"/>
      <c r="AC33" s="876">
        <f>Y33</f>
        <v>117818</v>
      </c>
      <c r="AD33" s="884"/>
      <c r="AE33" s="876">
        <f>AC33</f>
        <v>117818</v>
      </c>
      <c r="AF33" s="874">
        <v>11</v>
      </c>
      <c r="AG33" s="874">
        <f>AH33+AI33</f>
        <v>134552</v>
      </c>
      <c r="AH33" s="874">
        <f t="shared" si="4"/>
        <v>100914</v>
      </c>
      <c r="AI33" s="874">
        <f t="shared" ref="AI33" si="17">((AH33*100%)/75%)-AH33</f>
        <v>33638</v>
      </c>
      <c r="AJ33" s="874">
        <f>AG33-AD33</f>
        <v>134552</v>
      </c>
    </row>
    <row r="34" spans="1:36" s="930" customFormat="1" ht="26.1" customHeight="1">
      <c r="A34" s="919" t="s">
        <v>373</v>
      </c>
      <c r="B34" s="920" t="s">
        <v>374</v>
      </c>
      <c r="C34" s="921" t="s">
        <v>375</v>
      </c>
      <c r="D34" s="922" t="s">
        <v>376</v>
      </c>
      <c r="E34" s="920" t="s">
        <v>377</v>
      </c>
      <c r="F34" s="923" t="s">
        <v>378</v>
      </c>
      <c r="G34" s="921" t="s">
        <v>217</v>
      </c>
      <c r="H34" s="923"/>
      <c r="I34" s="921"/>
      <c r="J34" s="924">
        <v>0.2</v>
      </c>
      <c r="K34" s="921" t="s">
        <v>260</v>
      </c>
      <c r="L34" s="924">
        <v>0.05</v>
      </c>
      <c r="M34" s="921" t="s">
        <v>217</v>
      </c>
      <c r="N34" s="925"/>
      <c r="O34" s="925"/>
      <c r="P34" s="923" t="s">
        <v>379</v>
      </c>
      <c r="Q34" s="921" t="s">
        <v>380</v>
      </c>
      <c r="R34" s="926">
        <v>7238</v>
      </c>
      <c r="S34" s="926">
        <v>5867</v>
      </c>
      <c r="T34" s="923" t="s">
        <v>381</v>
      </c>
      <c r="U34" s="922"/>
      <c r="V34" s="923" t="s">
        <v>382</v>
      </c>
      <c r="W34" s="921" t="s">
        <v>139</v>
      </c>
      <c r="X34" s="927">
        <v>1</v>
      </c>
      <c r="Y34" s="928">
        <v>98524</v>
      </c>
      <c r="Z34" s="902"/>
      <c r="AA34" s="902"/>
      <c r="AB34" s="902"/>
      <c r="AC34" s="929">
        <f>Y34</f>
        <v>98524</v>
      </c>
      <c r="AD34" s="929"/>
      <c r="AE34" s="929">
        <f>AC34</f>
        <v>98524</v>
      </c>
      <c r="AF34" s="874">
        <v>11</v>
      </c>
      <c r="AG34" s="874">
        <f t="shared" ref="AG34:AG97" si="18">AH34+AI34</f>
        <v>97095.121951219524</v>
      </c>
      <c r="AH34" s="902">
        <f t="shared" si="4"/>
        <v>79618</v>
      </c>
      <c r="AI34" s="902">
        <f>((AH34*100%)/82%)-AH34</f>
        <v>17477.121951219524</v>
      </c>
      <c r="AJ34" s="874">
        <f t="shared" ref="AJ34:AJ97" si="19">AG34-AD34</f>
        <v>97095.121951219524</v>
      </c>
    </row>
    <row r="35" spans="1:36" s="930" customFormat="1" ht="26.1" customHeight="1">
      <c r="A35" s="919" t="s">
        <v>383</v>
      </c>
      <c r="B35" s="920" t="s">
        <v>384</v>
      </c>
      <c r="C35" s="921" t="s">
        <v>385</v>
      </c>
      <c r="D35" s="922" t="s">
        <v>386</v>
      </c>
      <c r="E35" s="920" t="s">
        <v>387</v>
      </c>
      <c r="F35" s="923" t="s">
        <v>388</v>
      </c>
      <c r="G35" s="921" t="s">
        <v>217</v>
      </c>
      <c r="H35" s="922"/>
      <c r="I35" s="931"/>
      <c r="J35" s="925"/>
      <c r="K35" s="925"/>
      <c r="L35" s="924">
        <v>0.1</v>
      </c>
      <c r="M35" s="932" t="s">
        <v>217</v>
      </c>
      <c r="N35" s="925"/>
      <c r="O35" s="925"/>
      <c r="P35" s="923" t="s">
        <v>389</v>
      </c>
      <c r="Q35" s="921" t="s">
        <v>390</v>
      </c>
      <c r="R35" s="926">
        <v>6264</v>
      </c>
      <c r="S35" s="926">
        <v>5357</v>
      </c>
      <c r="T35" s="923" t="s">
        <v>391</v>
      </c>
      <c r="U35" s="931"/>
      <c r="V35" s="923" t="s">
        <v>392</v>
      </c>
      <c r="W35" s="921" t="s">
        <v>139</v>
      </c>
      <c r="X35" s="927">
        <v>1</v>
      </c>
      <c r="Y35" s="928">
        <v>145986</v>
      </c>
      <c r="Z35" s="902"/>
      <c r="AA35" s="902"/>
      <c r="AB35" s="902"/>
      <c r="AC35" s="929">
        <f>Y35</f>
        <v>145986</v>
      </c>
      <c r="AD35" s="929"/>
      <c r="AE35" s="929">
        <f>AC35</f>
        <v>145986</v>
      </c>
      <c r="AF35" s="874">
        <v>11</v>
      </c>
      <c r="AG35" s="874">
        <f t="shared" si="18"/>
        <v>84029.268292682929</v>
      </c>
      <c r="AH35" s="902">
        <f t="shared" si="4"/>
        <v>68904</v>
      </c>
      <c r="AI35" s="902">
        <f t="shared" ref="AI35:AI95" si="20">((AH35*100%)/82%)-AH35</f>
        <v>15125.268292682929</v>
      </c>
      <c r="AJ35" s="874">
        <f t="shared" si="19"/>
        <v>84029.268292682929</v>
      </c>
    </row>
    <row r="36" spans="1:36" s="930" customFormat="1" ht="26.1" customHeight="1">
      <c r="A36" s="919" t="s">
        <v>393</v>
      </c>
      <c r="B36" s="920" t="s">
        <v>394</v>
      </c>
      <c r="C36" s="921" t="s">
        <v>395</v>
      </c>
      <c r="D36" s="922" t="s">
        <v>376</v>
      </c>
      <c r="E36" s="920" t="s">
        <v>396</v>
      </c>
      <c r="F36" s="923" t="s">
        <v>388</v>
      </c>
      <c r="G36" s="921" t="s">
        <v>217</v>
      </c>
      <c r="H36" s="922"/>
      <c r="I36" s="931"/>
      <c r="J36" s="924">
        <v>0.38</v>
      </c>
      <c r="K36" s="921" t="s">
        <v>324</v>
      </c>
      <c r="L36" s="924">
        <v>0.1</v>
      </c>
      <c r="M36" s="932" t="s">
        <v>217</v>
      </c>
      <c r="N36" s="925"/>
      <c r="O36" s="925"/>
      <c r="P36" s="923" t="s">
        <v>389</v>
      </c>
      <c r="Q36" s="921" t="s">
        <v>390</v>
      </c>
      <c r="R36" s="926">
        <v>8644</v>
      </c>
      <c r="S36" s="926">
        <v>7282</v>
      </c>
      <c r="T36" s="923" t="s">
        <v>397</v>
      </c>
      <c r="U36" s="922"/>
      <c r="V36" s="923" t="s">
        <v>398</v>
      </c>
      <c r="W36" s="921" t="s">
        <v>139</v>
      </c>
      <c r="X36" s="927">
        <v>1</v>
      </c>
      <c r="Y36" s="928">
        <v>165678</v>
      </c>
      <c r="Z36" s="902"/>
      <c r="AA36" s="902"/>
      <c r="AB36" s="902"/>
      <c r="AC36" s="929">
        <f>Y36</f>
        <v>165678</v>
      </c>
      <c r="AD36" s="929"/>
      <c r="AE36" s="929">
        <f>AC36</f>
        <v>165678</v>
      </c>
      <c r="AF36" s="874">
        <v>11</v>
      </c>
      <c r="AG36" s="874">
        <f t="shared" si="18"/>
        <v>115956.09756097561</v>
      </c>
      <c r="AH36" s="902">
        <f t="shared" si="4"/>
        <v>95084</v>
      </c>
      <c r="AI36" s="902">
        <f t="shared" si="20"/>
        <v>20872.097560975613</v>
      </c>
      <c r="AJ36" s="874">
        <f t="shared" si="19"/>
        <v>115956.09756097561</v>
      </c>
    </row>
    <row r="37" spans="1:36" s="930" customFormat="1" ht="26.1" customHeight="1">
      <c r="A37" s="919" t="s">
        <v>399</v>
      </c>
      <c r="B37" s="920" t="s">
        <v>400</v>
      </c>
      <c r="C37" s="932" t="s">
        <v>401</v>
      </c>
      <c r="D37" s="922" t="s">
        <v>376</v>
      </c>
      <c r="E37" s="920" t="s">
        <v>402</v>
      </c>
      <c r="F37" s="923" t="s">
        <v>403</v>
      </c>
      <c r="G37" s="932" t="s">
        <v>260</v>
      </c>
      <c r="H37" s="922"/>
      <c r="I37" s="931"/>
      <c r="J37" s="922" t="s">
        <v>404</v>
      </c>
      <c r="K37" s="932" t="s">
        <v>260</v>
      </c>
      <c r="L37" s="924">
        <v>0.13</v>
      </c>
      <c r="M37" s="932" t="s">
        <v>260</v>
      </c>
      <c r="N37" s="933"/>
      <c r="O37" s="933"/>
      <c r="P37" s="923" t="s">
        <v>405</v>
      </c>
      <c r="Q37" s="921" t="s">
        <v>406</v>
      </c>
      <c r="R37" s="926">
        <v>7720</v>
      </c>
      <c r="S37" s="926">
        <v>6517</v>
      </c>
      <c r="T37" s="923" t="s">
        <v>407</v>
      </c>
      <c r="U37" s="931"/>
      <c r="V37" s="923" t="s">
        <v>408</v>
      </c>
      <c r="W37" s="932" t="s">
        <v>139</v>
      </c>
      <c r="X37" s="927">
        <v>1</v>
      </c>
      <c r="Y37" s="928">
        <v>135247</v>
      </c>
      <c r="Z37" s="902"/>
      <c r="AA37" s="902"/>
      <c r="AB37" s="902"/>
      <c r="AC37" s="929">
        <v>135247</v>
      </c>
      <c r="AD37" s="929"/>
      <c r="AE37" s="929">
        <v>135247</v>
      </c>
      <c r="AF37" s="874">
        <v>11</v>
      </c>
      <c r="AG37" s="874">
        <f t="shared" si="18"/>
        <v>103560.9756097561</v>
      </c>
      <c r="AH37" s="902">
        <f t="shared" si="4"/>
        <v>84920</v>
      </c>
      <c r="AI37" s="902">
        <f t="shared" si="20"/>
        <v>18640.975609756104</v>
      </c>
      <c r="AJ37" s="874">
        <f t="shared" si="19"/>
        <v>103560.9756097561</v>
      </c>
    </row>
    <row r="38" spans="1:36" s="930" customFormat="1" ht="26.1" customHeight="1">
      <c r="A38" s="919" t="s">
        <v>409</v>
      </c>
      <c r="B38" s="920" t="s">
        <v>410</v>
      </c>
      <c r="C38" s="921" t="s">
        <v>411</v>
      </c>
      <c r="D38" s="922" t="s">
        <v>376</v>
      </c>
      <c r="E38" s="920" t="s">
        <v>412</v>
      </c>
      <c r="F38" s="923" t="s">
        <v>413</v>
      </c>
      <c r="G38" s="932" t="s">
        <v>217</v>
      </c>
      <c r="H38" s="923"/>
      <c r="I38" s="923"/>
      <c r="J38" s="922" t="s">
        <v>414</v>
      </c>
      <c r="K38" s="932" t="s">
        <v>415</v>
      </c>
      <c r="L38" s="924">
        <v>7.0000000000000007E-2</v>
      </c>
      <c r="M38" s="932" t="s">
        <v>217</v>
      </c>
      <c r="N38" s="923"/>
      <c r="O38" s="923"/>
      <c r="P38" s="923" t="s">
        <v>416</v>
      </c>
      <c r="Q38" s="921" t="s">
        <v>417</v>
      </c>
      <c r="R38" s="926">
        <v>7984</v>
      </c>
      <c r="S38" s="926">
        <v>6642</v>
      </c>
      <c r="T38" s="923" t="s">
        <v>418</v>
      </c>
      <c r="U38" s="934"/>
      <c r="V38" s="923" t="s">
        <v>419</v>
      </c>
      <c r="W38" s="932" t="s">
        <v>139</v>
      </c>
      <c r="X38" s="927">
        <v>1</v>
      </c>
      <c r="Y38" s="928">
        <v>171032</v>
      </c>
      <c r="Z38" s="928"/>
      <c r="AA38" s="928"/>
      <c r="AB38" s="928"/>
      <c r="AC38" s="929">
        <f t="shared" ref="AC38:AC47" si="21">Y38</f>
        <v>171032</v>
      </c>
      <c r="AD38" s="929"/>
      <c r="AE38" s="929">
        <f t="shared" ref="AE38:AE47" si="22">AC38</f>
        <v>171032</v>
      </c>
      <c r="AF38" s="874">
        <v>11</v>
      </c>
      <c r="AG38" s="874">
        <f t="shared" si="18"/>
        <v>107102.43902439025</v>
      </c>
      <c r="AH38" s="902">
        <f t="shared" si="4"/>
        <v>87824</v>
      </c>
      <c r="AI38" s="902">
        <f t="shared" si="20"/>
        <v>19278.439024390245</v>
      </c>
      <c r="AJ38" s="874">
        <f t="shared" si="19"/>
        <v>107102.43902439025</v>
      </c>
    </row>
    <row r="39" spans="1:36" s="930" customFormat="1" ht="26.1" customHeight="1">
      <c r="A39" s="919" t="s">
        <v>420</v>
      </c>
      <c r="B39" s="920" t="s">
        <v>421</v>
      </c>
      <c r="C39" s="932" t="s">
        <v>422</v>
      </c>
      <c r="D39" s="922" t="s">
        <v>423</v>
      </c>
      <c r="E39" s="920" t="s">
        <v>424</v>
      </c>
      <c r="F39" s="923" t="s">
        <v>388</v>
      </c>
      <c r="G39" s="932" t="s">
        <v>217</v>
      </c>
      <c r="H39" s="923">
        <v>0.25</v>
      </c>
      <c r="I39" s="923" t="s">
        <v>368</v>
      </c>
      <c r="J39" s="935">
        <v>0.34</v>
      </c>
      <c r="K39" s="932" t="s">
        <v>425</v>
      </c>
      <c r="L39" s="924">
        <v>0.1</v>
      </c>
      <c r="M39" s="932" t="s">
        <v>217</v>
      </c>
      <c r="N39" s="933"/>
      <c r="O39" s="933"/>
      <c r="P39" s="923" t="s">
        <v>426</v>
      </c>
      <c r="Q39" s="921" t="s">
        <v>427</v>
      </c>
      <c r="R39" s="926">
        <v>8925</v>
      </c>
      <c r="S39" s="926">
        <v>7512</v>
      </c>
      <c r="T39" s="923" t="s">
        <v>428</v>
      </c>
      <c r="U39" s="936"/>
      <c r="V39" s="923" t="s">
        <v>429</v>
      </c>
      <c r="W39" s="932" t="s">
        <v>139</v>
      </c>
      <c r="X39" s="927">
        <v>1</v>
      </c>
      <c r="Y39" s="926">
        <v>184061</v>
      </c>
      <c r="Z39" s="937"/>
      <c r="AA39" s="926"/>
      <c r="AB39" s="926"/>
      <c r="AC39" s="929">
        <f t="shared" si="21"/>
        <v>184061</v>
      </c>
      <c r="AD39" s="929"/>
      <c r="AE39" s="929">
        <f t="shared" si="22"/>
        <v>184061</v>
      </c>
      <c r="AF39" s="874">
        <v>11</v>
      </c>
      <c r="AG39" s="874">
        <f t="shared" si="18"/>
        <v>119725.60975609756</v>
      </c>
      <c r="AH39" s="902">
        <f t="shared" si="4"/>
        <v>98175</v>
      </c>
      <c r="AI39" s="902">
        <f t="shared" si="20"/>
        <v>21550.609756097561</v>
      </c>
      <c r="AJ39" s="874">
        <f t="shared" si="19"/>
        <v>119725.60975609756</v>
      </c>
    </row>
    <row r="40" spans="1:36" s="930" customFormat="1" ht="26.1" customHeight="1">
      <c r="A40" s="919" t="s">
        <v>430</v>
      </c>
      <c r="B40" s="920" t="s">
        <v>431</v>
      </c>
      <c r="C40" s="921" t="s">
        <v>154</v>
      </c>
      <c r="D40" s="922" t="s">
        <v>376</v>
      </c>
      <c r="E40" s="920" t="s">
        <v>432</v>
      </c>
      <c r="F40" s="923" t="s">
        <v>388</v>
      </c>
      <c r="G40" s="921" t="s">
        <v>217</v>
      </c>
      <c r="H40" s="923"/>
      <c r="I40" s="923"/>
      <c r="J40" s="924">
        <v>0.34</v>
      </c>
      <c r="K40" s="921" t="s">
        <v>433</v>
      </c>
      <c r="L40" s="924">
        <v>0.1</v>
      </c>
      <c r="M40" s="921" t="s">
        <v>217</v>
      </c>
      <c r="N40" s="925"/>
      <c r="O40" s="925"/>
      <c r="P40" s="923" t="s">
        <v>434</v>
      </c>
      <c r="Q40" s="921" t="s">
        <v>390</v>
      </c>
      <c r="R40" s="926">
        <v>8456</v>
      </c>
      <c r="S40" s="926">
        <v>7108</v>
      </c>
      <c r="T40" s="923" t="s">
        <v>428</v>
      </c>
      <c r="U40" s="938"/>
      <c r="V40" s="923" t="s">
        <v>435</v>
      </c>
      <c r="W40" s="921" t="s">
        <v>139</v>
      </c>
      <c r="X40" s="927">
        <v>1</v>
      </c>
      <c r="Y40" s="926">
        <v>159946</v>
      </c>
      <c r="Z40" s="939"/>
      <c r="AA40" s="940"/>
      <c r="AB40" s="939"/>
      <c r="AC40" s="929">
        <f t="shared" si="21"/>
        <v>159946</v>
      </c>
      <c r="AD40" s="929"/>
      <c r="AE40" s="929">
        <f t="shared" si="22"/>
        <v>159946</v>
      </c>
      <c r="AF40" s="874">
        <v>11</v>
      </c>
      <c r="AG40" s="874">
        <f t="shared" si="18"/>
        <v>113434.14634146342</v>
      </c>
      <c r="AH40" s="902">
        <f t="shared" si="4"/>
        <v>93016</v>
      </c>
      <c r="AI40" s="902">
        <f t="shared" si="20"/>
        <v>20418.14634146342</v>
      </c>
      <c r="AJ40" s="874">
        <f t="shared" si="19"/>
        <v>113434.14634146342</v>
      </c>
    </row>
    <row r="41" spans="1:36" s="930" customFormat="1" ht="26.1" customHeight="1">
      <c r="A41" s="919" t="s">
        <v>436</v>
      </c>
      <c r="B41" s="920" t="s">
        <v>437</v>
      </c>
      <c r="C41" s="932" t="s">
        <v>438</v>
      </c>
      <c r="D41" s="922" t="s">
        <v>376</v>
      </c>
      <c r="E41" s="920" t="s">
        <v>439</v>
      </c>
      <c r="F41" s="923" t="s">
        <v>440</v>
      </c>
      <c r="G41" s="932" t="s">
        <v>217</v>
      </c>
      <c r="H41" s="923"/>
      <c r="I41" s="921"/>
      <c r="J41" s="924">
        <v>0.33</v>
      </c>
      <c r="K41" s="932" t="s">
        <v>324</v>
      </c>
      <c r="L41" s="941" t="s">
        <v>247</v>
      </c>
      <c r="M41" s="921" t="s">
        <v>217</v>
      </c>
      <c r="N41" s="923"/>
      <c r="O41" s="923"/>
      <c r="P41" s="923" t="s">
        <v>441</v>
      </c>
      <c r="Q41" s="923" t="s">
        <v>390</v>
      </c>
      <c r="R41" s="926">
        <v>8256</v>
      </c>
      <c r="S41" s="926">
        <v>6949</v>
      </c>
      <c r="T41" s="923" t="s">
        <v>442</v>
      </c>
      <c r="U41" s="938"/>
      <c r="V41" s="923" t="s">
        <v>443</v>
      </c>
      <c r="W41" s="932" t="s">
        <v>139</v>
      </c>
      <c r="X41" s="927">
        <v>1</v>
      </c>
      <c r="Y41" s="926">
        <v>161586</v>
      </c>
      <c r="Z41" s="939"/>
      <c r="AA41" s="940"/>
      <c r="AB41" s="939"/>
      <c r="AC41" s="929">
        <f t="shared" si="21"/>
        <v>161586</v>
      </c>
      <c r="AD41" s="929"/>
      <c r="AE41" s="929">
        <f t="shared" si="22"/>
        <v>161586</v>
      </c>
      <c r="AF41" s="874">
        <v>11</v>
      </c>
      <c r="AG41" s="874">
        <f t="shared" si="18"/>
        <v>110751.21951219512</v>
      </c>
      <c r="AH41" s="902">
        <f t="shared" si="4"/>
        <v>90816</v>
      </c>
      <c r="AI41" s="902">
        <f t="shared" si="20"/>
        <v>19935.219512195123</v>
      </c>
      <c r="AJ41" s="874">
        <f t="shared" si="19"/>
        <v>110751.21951219512</v>
      </c>
    </row>
    <row r="42" spans="1:36" s="930" customFormat="1" ht="26.1" customHeight="1">
      <c r="A42" s="919" t="s">
        <v>444</v>
      </c>
      <c r="B42" s="920" t="s">
        <v>445</v>
      </c>
      <c r="C42" s="921" t="s">
        <v>446</v>
      </c>
      <c r="D42" s="922" t="s">
        <v>386</v>
      </c>
      <c r="E42" s="920" t="s">
        <v>377</v>
      </c>
      <c r="F42" s="923" t="s">
        <v>378</v>
      </c>
      <c r="G42" s="921" t="s">
        <v>217</v>
      </c>
      <c r="H42" s="923"/>
      <c r="I42" s="921"/>
      <c r="J42" s="924">
        <v>0.23</v>
      </c>
      <c r="K42" s="921" t="s">
        <v>260</v>
      </c>
      <c r="L42" s="924">
        <v>0.05</v>
      </c>
      <c r="M42" s="921" t="s">
        <v>217</v>
      </c>
      <c r="N42" s="925"/>
      <c r="O42" s="925"/>
      <c r="P42" s="923" t="s">
        <v>379</v>
      </c>
      <c r="Q42" s="921" t="s">
        <v>447</v>
      </c>
      <c r="R42" s="926">
        <v>7762</v>
      </c>
      <c r="S42" s="926">
        <v>6164</v>
      </c>
      <c r="T42" s="923" t="s">
        <v>448</v>
      </c>
      <c r="U42" s="922"/>
      <c r="V42" s="923" t="s">
        <v>449</v>
      </c>
      <c r="W42" s="921" t="s">
        <v>164</v>
      </c>
      <c r="X42" s="927">
        <v>1</v>
      </c>
      <c r="Y42" s="928">
        <v>136593</v>
      </c>
      <c r="Z42" s="902"/>
      <c r="AA42" s="902"/>
      <c r="AB42" s="902"/>
      <c r="AC42" s="929">
        <f t="shared" si="21"/>
        <v>136593</v>
      </c>
      <c r="AD42" s="929"/>
      <c r="AE42" s="929">
        <f t="shared" si="22"/>
        <v>136593</v>
      </c>
      <c r="AF42" s="928">
        <v>8</v>
      </c>
      <c r="AG42" s="874">
        <f t="shared" si="18"/>
        <v>75726.829268292684</v>
      </c>
      <c r="AH42" s="902">
        <f t="shared" si="4"/>
        <v>62096</v>
      </c>
      <c r="AI42" s="902">
        <f t="shared" si="20"/>
        <v>13630.829268292684</v>
      </c>
      <c r="AJ42" s="874">
        <f t="shared" si="19"/>
        <v>75726.829268292684</v>
      </c>
    </row>
    <row r="43" spans="1:36" s="930" customFormat="1" ht="26.1" customHeight="1">
      <c r="A43" s="919" t="s">
        <v>450</v>
      </c>
      <c r="B43" s="920" t="s">
        <v>451</v>
      </c>
      <c r="C43" s="921" t="s">
        <v>452</v>
      </c>
      <c r="D43" s="922" t="s">
        <v>376</v>
      </c>
      <c r="E43" s="920" t="s">
        <v>377</v>
      </c>
      <c r="F43" s="923" t="s">
        <v>413</v>
      </c>
      <c r="G43" s="921" t="s">
        <v>217</v>
      </c>
      <c r="H43" s="923"/>
      <c r="I43" s="921"/>
      <c r="J43" s="924">
        <v>0.16</v>
      </c>
      <c r="K43" s="921" t="s">
        <v>234</v>
      </c>
      <c r="L43" s="924">
        <v>7.0000000000000007E-2</v>
      </c>
      <c r="M43" s="921" t="s">
        <v>217</v>
      </c>
      <c r="N43" s="925"/>
      <c r="O43" s="925"/>
      <c r="P43" s="923" t="s">
        <v>453</v>
      </c>
      <c r="Q43" s="921" t="s">
        <v>454</v>
      </c>
      <c r="R43" s="926">
        <v>7131</v>
      </c>
      <c r="S43" s="926">
        <v>5950</v>
      </c>
      <c r="T43" s="923" t="s">
        <v>455</v>
      </c>
      <c r="U43" s="922"/>
      <c r="V43" s="923" t="s">
        <v>456</v>
      </c>
      <c r="W43" s="921" t="s">
        <v>164</v>
      </c>
      <c r="X43" s="927">
        <v>1</v>
      </c>
      <c r="Y43" s="928">
        <v>144288</v>
      </c>
      <c r="Z43" s="902"/>
      <c r="AA43" s="902"/>
      <c r="AB43" s="902"/>
      <c r="AC43" s="929">
        <f t="shared" si="21"/>
        <v>144288</v>
      </c>
      <c r="AD43" s="929"/>
      <c r="AE43" s="929">
        <f t="shared" si="22"/>
        <v>144288</v>
      </c>
      <c r="AF43" s="928">
        <v>8</v>
      </c>
      <c r="AG43" s="874">
        <f t="shared" si="18"/>
        <v>69570.731707317071</v>
      </c>
      <c r="AH43" s="902">
        <f t="shared" si="4"/>
        <v>57048</v>
      </c>
      <c r="AI43" s="902">
        <f t="shared" si="20"/>
        <v>12522.731707317071</v>
      </c>
      <c r="AJ43" s="874">
        <f t="shared" si="19"/>
        <v>69570.731707317071</v>
      </c>
    </row>
    <row r="44" spans="1:36" s="930" customFormat="1" ht="26.1" customHeight="1">
      <c r="A44" s="919" t="s">
        <v>457</v>
      </c>
      <c r="B44" s="920" t="s">
        <v>458</v>
      </c>
      <c r="C44" s="932" t="s">
        <v>459</v>
      </c>
      <c r="D44" s="942" t="s">
        <v>460</v>
      </c>
      <c r="E44" s="920" t="s">
        <v>461</v>
      </c>
      <c r="F44" s="923" t="s">
        <v>462</v>
      </c>
      <c r="G44" s="932" t="s">
        <v>234</v>
      </c>
      <c r="H44" s="923"/>
      <c r="I44" s="923"/>
      <c r="J44" s="924"/>
      <c r="K44" s="921"/>
      <c r="L44" s="924">
        <v>0.08</v>
      </c>
      <c r="M44" s="921" t="s">
        <v>234</v>
      </c>
      <c r="N44" s="923"/>
      <c r="O44" s="923"/>
      <c r="P44" s="923" t="s">
        <v>463</v>
      </c>
      <c r="Q44" s="932" t="s">
        <v>464</v>
      </c>
      <c r="R44" s="926">
        <v>4514</v>
      </c>
      <c r="S44" s="926">
        <v>3869</v>
      </c>
      <c r="T44" s="923" t="s">
        <v>465</v>
      </c>
      <c r="U44" s="938"/>
      <c r="V44" s="923" t="s">
        <v>466</v>
      </c>
      <c r="W44" s="921" t="s">
        <v>164</v>
      </c>
      <c r="X44" s="927">
        <v>1</v>
      </c>
      <c r="Y44" s="926">
        <v>76431</v>
      </c>
      <c r="Z44" s="939"/>
      <c r="AA44" s="940"/>
      <c r="AB44" s="939"/>
      <c r="AC44" s="929">
        <f t="shared" si="21"/>
        <v>76431</v>
      </c>
      <c r="AD44" s="929"/>
      <c r="AE44" s="929">
        <f t="shared" si="22"/>
        <v>76431</v>
      </c>
      <c r="AF44" s="928">
        <v>8</v>
      </c>
      <c r="AG44" s="874">
        <f t="shared" si="18"/>
        <v>36112</v>
      </c>
      <c r="AH44" s="902">
        <f t="shared" si="4"/>
        <v>36112</v>
      </c>
      <c r="AI44" s="902"/>
      <c r="AJ44" s="874">
        <f t="shared" si="19"/>
        <v>36112</v>
      </c>
    </row>
    <row r="45" spans="1:36" s="878" customFormat="1" ht="26.1" customHeight="1">
      <c r="A45" s="919" t="s">
        <v>467</v>
      </c>
      <c r="B45" s="866" t="s">
        <v>468</v>
      </c>
      <c r="C45" s="879" t="s">
        <v>469</v>
      </c>
      <c r="D45" s="867" t="s">
        <v>470</v>
      </c>
      <c r="E45" s="866" t="s">
        <v>471</v>
      </c>
      <c r="F45" s="881" t="s">
        <v>472</v>
      </c>
      <c r="G45" s="880" t="s">
        <v>259</v>
      </c>
      <c r="H45" s="881">
        <v>0.2</v>
      </c>
      <c r="I45" s="881" t="s">
        <v>473</v>
      </c>
      <c r="J45" s="869"/>
      <c r="K45" s="869"/>
      <c r="L45" s="882" t="s">
        <v>474</v>
      </c>
      <c r="M45" s="867" t="s">
        <v>259</v>
      </c>
      <c r="N45" s="869"/>
      <c r="O45" s="869"/>
      <c r="P45" s="881" t="s">
        <v>475</v>
      </c>
      <c r="Q45" s="881" t="s">
        <v>476</v>
      </c>
      <c r="R45" s="872">
        <v>8100</v>
      </c>
      <c r="S45" s="872">
        <v>7017</v>
      </c>
      <c r="T45" s="881" t="s">
        <v>477</v>
      </c>
      <c r="U45" s="877"/>
      <c r="V45" s="881" t="s">
        <v>478</v>
      </c>
      <c r="W45" s="880" t="s">
        <v>479</v>
      </c>
      <c r="X45" s="873">
        <v>1</v>
      </c>
      <c r="Y45" s="874">
        <v>147506</v>
      </c>
      <c r="Z45" s="883"/>
      <c r="AA45" s="883"/>
      <c r="AB45" s="883"/>
      <c r="AC45" s="876">
        <f t="shared" si="21"/>
        <v>147506</v>
      </c>
      <c r="AD45" s="884"/>
      <c r="AE45" s="876">
        <f t="shared" si="22"/>
        <v>147506</v>
      </c>
      <c r="AF45" s="874">
        <v>7</v>
      </c>
      <c r="AG45" s="874">
        <f t="shared" si="18"/>
        <v>75600</v>
      </c>
      <c r="AH45" s="902">
        <f t="shared" si="4"/>
        <v>56700</v>
      </c>
      <c r="AI45" s="902">
        <f>((AH45*100%)/75%)-AH45</f>
        <v>18900</v>
      </c>
      <c r="AJ45" s="874">
        <f t="shared" si="19"/>
        <v>75600</v>
      </c>
    </row>
    <row r="46" spans="1:36" s="930" customFormat="1" ht="26.1" customHeight="1">
      <c r="A46" s="919" t="s">
        <v>480</v>
      </c>
      <c r="B46" s="920" t="s">
        <v>481</v>
      </c>
      <c r="C46" s="943" t="s">
        <v>482</v>
      </c>
      <c r="D46" s="942" t="s">
        <v>483</v>
      </c>
      <c r="E46" s="920" t="s">
        <v>484</v>
      </c>
      <c r="F46" s="923" t="s">
        <v>485</v>
      </c>
      <c r="G46" s="932" t="s">
        <v>217</v>
      </c>
      <c r="H46" s="923"/>
      <c r="I46" s="932"/>
      <c r="J46" s="924">
        <v>0.2</v>
      </c>
      <c r="K46" s="932" t="s">
        <v>486</v>
      </c>
      <c r="L46" s="923"/>
      <c r="M46" s="923"/>
      <c r="N46" s="923"/>
      <c r="O46" s="923"/>
      <c r="P46" s="944" t="s">
        <v>487</v>
      </c>
      <c r="Q46" s="923" t="s">
        <v>488</v>
      </c>
      <c r="R46" s="926">
        <v>7181</v>
      </c>
      <c r="S46" s="926">
        <v>5966</v>
      </c>
      <c r="T46" s="923" t="s">
        <v>489</v>
      </c>
      <c r="U46" s="939"/>
      <c r="V46" s="932" t="s">
        <v>490</v>
      </c>
      <c r="W46" s="921" t="s">
        <v>348</v>
      </c>
      <c r="X46" s="927">
        <v>1</v>
      </c>
      <c r="Y46" s="926">
        <v>83537</v>
      </c>
      <c r="Z46" s="939"/>
      <c r="AA46" s="940"/>
      <c r="AB46" s="939"/>
      <c r="AC46" s="929">
        <f t="shared" si="21"/>
        <v>83537</v>
      </c>
      <c r="AD46" s="929"/>
      <c r="AE46" s="929">
        <f t="shared" si="22"/>
        <v>83537</v>
      </c>
      <c r="AF46" s="928">
        <v>6</v>
      </c>
      <c r="AG46" s="874">
        <f t="shared" si="18"/>
        <v>52543.902439024394</v>
      </c>
      <c r="AH46" s="902">
        <f t="shared" si="4"/>
        <v>43086</v>
      </c>
      <c r="AI46" s="902">
        <f t="shared" si="20"/>
        <v>9457.902439024394</v>
      </c>
      <c r="AJ46" s="874">
        <f t="shared" si="19"/>
        <v>52543.902439024394</v>
      </c>
    </row>
    <row r="47" spans="1:36" s="930" customFormat="1" ht="26.1" customHeight="1">
      <c r="A47" s="919" t="s">
        <v>491</v>
      </c>
      <c r="B47" s="920" t="s">
        <v>492</v>
      </c>
      <c r="C47" s="921" t="s">
        <v>493</v>
      </c>
      <c r="D47" s="942" t="s">
        <v>494</v>
      </c>
      <c r="E47" s="920" t="s">
        <v>495</v>
      </c>
      <c r="F47" s="923">
        <v>4.8899999999999997</v>
      </c>
      <c r="G47" s="921" t="s">
        <v>496</v>
      </c>
      <c r="H47" s="923"/>
      <c r="I47" s="923"/>
      <c r="J47" s="924">
        <v>0.28000000000000003</v>
      </c>
      <c r="K47" s="921" t="s">
        <v>486</v>
      </c>
      <c r="L47" s="924"/>
      <c r="M47" s="932"/>
      <c r="N47" s="923"/>
      <c r="O47" s="923"/>
      <c r="P47" s="923" t="s">
        <v>497</v>
      </c>
      <c r="Q47" s="921" t="s">
        <v>498</v>
      </c>
      <c r="R47" s="926">
        <v>9206</v>
      </c>
      <c r="S47" s="926">
        <v>7633</v>
      </c>
      <c r="T47" s="923" t="s">
        <v>499</v>
      </c>
      <c r="U47" s="938"/>
      <c r="V47" s="923" t="s">
        <v>500</v>
      </c>
      <c r="W47" s="921" t="s">
        <v>348</v>
      </c>
      <c r="X47" s="927">
        <v>1</v>
      </c>
      <c r="Y47" s="926">
        <v>137408</v>
      </c>
      <c r="Z47" s="939"/>
      <c r="AA47" s="940"/>
      <c r="AB47" s="939"/>
      <c r="AC47" s="929">
        <f t="shared" si="21"/>
        <v>137408</v>
      </c>
      <c r="AD47" s="929"/>
      <c r="AE47" s="929">
        <f t="shared" si="22"/>
        <v>137408</v>
      </c>
      <c r="AF47" s="928">
        <v>6</v>
      </c>
      <c r="AG47" s="874">
        <f t="shared" si="18"/>
        <v>67360.975609756104</v>
      </c>
      <c r="AH47" s="902">
        <f t="shared" si="4"/>
        <v>55236</v>
      </c>
      <c r="AI47" s="902">
        <f t="shared" si="20"/>
        <v>12124.975609756104</v>
      </c>
      <c r="AJ47" s="874">
        <f t="shared" si="19"/>
        <v>67360.975609756104</v>
      </c>
    </row>
    <row r="48" spans="1:36" s="930" customFormat="1" ht="26.1" customHeight="1">
      <c r="A48" s="919" t="s">
        <v>501</v>
      </c>
      <c r="B48" s="920" t="s">
        <v>502</v>
      </c>
      <c r="C48" s="921">
        <v>24643</v>
      </c>
      <c r="D48" s="942" t="s">
        <v>503</v>
      </c>
      <c r="E48" s="920" t="s">
        <v>504</v>
      </c>
      <c r="F48" s="923" t="s">
        <v>505</v>
      </c>
      <c r="G48" s="921" t="s">
        <v>183</v>
      </c>
      <c r="H48" s="923">
        <v>0.2</v>
      </c>
      <c r="I48" s="923" t="s">
        <v>506</v>
      </c>
      <c r="J48" s="924">
        <v>0.3</v>
      </c>
      <c r="K48" s="921" t="s">
        <v>252</v>
      </c>
      <c r="L48" s="924"/>
      <c r="M48" s="932"/>
      <c r="N48" s="923"/>
      <c r="O48" s="923"/>
      <c r="P48" s="923" t="s">
        <v>507</v>
      </c>
      <c r="Q48" s="921" t="s">
        <v>508</v>
      </c>
      <c r="R48" s="926">
        <v>9198</v>
      </c>
      <c r="S48" s="926">
        <v>7577</v>
      </c>
      <c r="T48" s="923" t="s">
        <v>509</v>
      </c>
      <c r="U48" s="938"/>
      <c r="V48" s="923" t="s">
        <v>510</v>
      </c>
      <c r="W48" s="921" t="s">
        <v>252</v>
      </c>
      <c r="X48" s="927">
        <v>1</v>
      </c>
      <c r="Y48" s="926">
        <v>145848</v>
      </c>
      <c r="Z48" s="939"/>
      <c r="AA48" s="940"/>
      <c r="AB48" s="939"/>
      <c r="AC48" s="929">
        <v>145848</v>
      </c>
      <c r="AD48" s="929"/>
      <c r="AE48" s="929">
        <v>145848</v>
      </c>
      <c r="AF48" s="928">
        <v>5</v>
      </c>
      <c r="AG48" s="874">
        <f t="shared" si="18"/>
        <v>56085.365853658543</v>
      </c>
      <c r="AH48" s="902">
        <f t="shared" si="4"/>
        <v>45990</v>
      </c>
      <c r="AI48" s="902">
        <f t="shared" si="20"/>
        <v>10095.365853658543</v>
      </c>
      <c r="AJ48" s="874">
        <f t="shared" si="19"/>
        <v>56085.365853658543</v>
      </c>
    </row>
    <row r="49" spans="1:36" s="930" customFormat="1" ht="26.1" customHeight="1">
      <c r="A49" s="919" t="s">
        <v>511</v>
      </c>
      <c r="B49" s="920" t="s">
        <v>512</v>
      </c>
      <c r="C49" s="921">
        <v>22849</v>
      </c>
      <c r="D49" s="942" t="s">
        <v>513</v>
      </c>
      <c r="E49" s="920" t="s">
        <v>514</v>
      </c>
      <c r="F49" s="923" t="s">
        <v>515</v>
      </c>
      <c r="G49" s="921" t="s">
        <v>183</v>
      </c>
      <c r="H49" s="923"/>
      <c r="I49" s="923"/>
      <c r="J49" s="924">
        <v>0.36</v>
      </c>
      <c r="K49" s="921" t="s">
        <v>516</v>
      </c>
      <c r="L49" s="924">
        <v>0.15</v>
      </c>
      <c r="M49" s="932" t="s">
        <v>183</v>
      </c>
      <c r="N49" s="923"/>
      <c r="O49" s="923"/>
      <c r="P49" s="923" t="s">
        <v>517</v>
      </c>
      <c r="Q49" s="921" t="s">
        <v>518</v>
      </c>
      <c r="R49" s="926">
        <v>9530</v>
      </c>
      <c r="S49" s="926">
        <v>7697</v>
      </c>
      <c r="T49" s="923" t="s">
        <v>519</v>
      </c>
      <c r="U49" s="938"/>
      <c r="V49" s="923" t="s">
        <v>520</v>
      </c>
      <c r="W49" s="921" t="s">
        <v>521</v>
      </c>
      <c r="X49" s="927">
        <v>1</v>
      </c>
      <c r="Y49" s="926">
        <v>173180</v>
      </c>
      <c r="Z49" s="939"/>
      <c r="AA49" s="940"/>
      <c r="AB49" s="939"/>
      <c r="AC49" s="929">
        <v>173180</v>
      </c>
      <c r="AD49" s="929"/>
      <c r="AE49" s="929">
        <v>173180</v>
      </c>
      <c r="AF49" s="928">
        <v>4</v>
      </c>
      <c r="AG49" s="874">
        <f t="shared" si="18"/>
        <v>46487.804878048781</v>
      </c>
      <c r="AH49" s="902">
        <f t="shared" si="4"/>
        <v>38120</v>
      </c>
      <c r="AI49" s="902">
        <f t="shared" si="20"/>
        <v>8367.8048780487807</v>
      </c>
      <c r="AJ49" s="874">
        <f t="shared" si="19"/>
        <v>46487.804878048781</v>
      </c>
    </row>
    <row r="50" spans="1:36" s="930" customFormat="1" ht="26.1" customHeight="1">
      <c r="A50" s="919" t="s">
        <v>522</v>
      </c>
      <c r="B50" s="920" t="s">
        <v>523</v>
      </c>
      <c r="C50" s="921">
        <v>25136</v>
      </c>
      <c r="D50" s="942" t="s">
        <v>524</v>
      </c>
      <c r="E50" s="920" t="s">
        <v>525</v>
      </c>
      <c r="F50" s="923" t="s">
        <v>526</v>
      </c>
      <c r="G50" s="921" t="s">
        <v>132</v>
      </c>
      <c r="H50" s="923"/>
      <c r="I50" s="923"/>
      <c r="J50" s="924">
        <v>0.2</v>
      </c>
      <c r="K50" s="921" t="s">
        <v>164</v>
      </c>
      <c r="L50" s="924"/>
      <c r="M50" s="932"/>
      <c r="N50" s="923"/>
      <c r="O50" s="923"/>
      <c r="P50" s="923" t="s">
        <v>527</v>
      </c>
      <c r="Q50" s="921" t="s">
        <v>528</v>
      </c>
      <c r="R50" s="926">
        <v>6902</v>
      </c>
      <c r="S50" s="926">
        <v>5433</v>
      </c>
      <c r="T50" s="923" t="s">
        <v>529</v>
      </c>
      <c r="U50" s="938"/>
      <c r="V50" s="923" t="s">
        <v>530</v>
      </c>
      <c r="W50" s="921" t="s">
        <v>521</v>
      </c>
      <c r="X50" s="927">
        <v>1</v>
      </c>
      <c r="Y50" s="926">
        <v>103221</v>
      </c>
      <c r="Z50" s="939"/>
      <c r="AA50" s="940"/>
      <c r="AB50" s="939"/>
      <c r="AC50" s="929">
        <v>103221</v>
      </c>
      <c r="AD50" s="929"/>
      <c r="AE50" s="929">
        <v>103221</v>
      </c>
      <c r="AF50" s="928">
        <v>4</v>
      </c>
      <c r="AG50" s="874">
        <f t="shared" si="18"/>
        <v>33668.292682926833</v>
      </c>
      <c r="AH50" s="902">
        <f t="shared" si="4"/>
        <v>27608</v>
      </c>
      <c r="AI50" s="902">
        <f t="shared" si="20"/>
        <v>6060.2926829268326</v>
      </c>
      <c r="AJ50" s="874">
        <f t="shared" si="19"/>
        <v>33668.292682926833</v>
      </c>
    </row>
    <row r="51" spans="1:36" s="930" customFormat="1" ht="26.1" customHeight="1">
      <c r="A51" s="919" t="s">
        <v>531</v>
      </c>
      <c r="B51" s="920" t="s">
        <v>532</v>
      </c>
      <c r="C51" s="921">
        <v>25392</v>
      </c>
      <c r="D51" s="942" t="s">
        <v>533</v>
      </c>
      <c r="E51" s="920" t="s">
        <v>534</v>
      </c>
      <c r="F51" s="923" t="s">
        <v>535</v>
      </c>
      <c r="G51" s="921" t="s">
        <v>183</v>
      </c>
      <c r="H51" s="923">
        <v>0.28999999999999998</v>
      </c>
      <c r="I51" s="923" t="s">
        <v>170</v>
      </c>
      <c r="J51" s="924"/>
      <c r="K51" s="921"/>
      <c r="L51" s="924">
        <v>0.08</v>
      </c>
      <c r="M51" s="932" t="s">
        <v>183</v>
      </c>
      <c r="N51" s="923"/>
      <c r="O51" s="923"/>
      <c r="P51" s="923" t="s">
        <v>536</v>
      </c>
      <c r="Q51" s="921" t="s">
        <v>537</v>
      </c>
      <c r="R51" s="926">
        <v>8493</v>
      </c>
      <c r="S51" s="926">
        <v>6831</v>
      </c>
      <c r="T51" s="923" t="s">
        <v>538</v>
      </c>
      <c r="U51" s="938"/>
      <c r="V51" s="923" t="s">
        <v>539</v>
      </c>
      <c r="W51" s="921" t="s">
        <v>314</v>
      </c>
      <c r="X51" s="927">
        <v>1</v>
      </c>
      <c r="Y51" s="926">
        <v>170784</v>
      </c>
      <c r="Z51" s="939"/>
      <c r="AA51" s="940"/>
      <c r="AB51" s="939"/>
      <c r="AC51" s="929">
        <v>170784</v>
      </c>
      <c r="AD51" s="929"/>
      <c r="AE51" s="929">
        <v>170784</v>
      </c>
      <c r="AF51" s="928">
        <v>3</v>
      </c>
      <c r="AG51" s="874">
        <f t="shared" si="18"/>
        <v>31071.951219512197</v>
      </c>
      <c r="AH51" s="902">
        <f t="shared" si="4"/>
        <v>25479</v>
      </c>
      <c r="AI51" s="902">
        <f t="shared" si="20"/>
        <v>5592.951219512197</v>
      </c>
      <c r="AJ51" s="874">
        <f t="shared" si="19"/>
        <v>31071.951219512197</v>
      </c>
    </row>
    <row r="52" spans="1:36" s="930" customFormat="1" ht="26.1" customHeight="1">
      <c r="A52" s="919" t="s">
        <v>540</v>
      </c>
      <c r="B52" s="920" t="s">
        <v>541</v>
      </c>
      <c r="C52" s="921">
        <v>22834</v>
      </c>
      <c r="D52" s="942" t="s">
        <v>542</v>
      </c>
      <c r="E52" s="920" t="s">
        <v>543</v>
      </c>
      <c r="F52" s="923" t="s">
        <v>169</v>
      </c>
      <c r="G52" s="921" t="s">
        <v>183</v>
      </c>
      <c r="H52" s="923" t="s">
        <v>544</v>
      </c>
      <c r="I52" s="923" t="s">
        <v>545</v>
      </c>
      <c r="J52" s="924" t="s">
        <v>546</v>
      </c>
      <c r="K52" s="921" t="s">
        <v>164</v>
      </c>
      <c r="L52" s="924">
        <v>0.11</v>
      </c>
      <c r="M52" s="932" t="s">
        <v>183</v>
      </c>
      <c r="N52" s="923"/>
      <c r="O52" s="923"/>
      <c r="P52" s="923" t="s">
        <v>547</v>
      </c>
      <c r="Q52" s="921" t="s">
        <v>188</v>
      </c>
      <c r="R52" s="926">
        <v>9397</v>
      </c>
      <c r="S52" s="926">
        <v>7632</v>
      </c>
      <c r="T52" s="923" t="s">
        <v>548</v>
      </c>
      <c r="U52" s="938"/>
      <c r="V52" s="923" t="s">
        <v>549</v>
      </c>
      <c r="W52" s="921" t="s">
        <v>314</v>
      </c>
      <c r="X52" s="927">
        <v>1</v>
      </c>
      <c r="Y52" s="926">
        <v>160277</v>
      </c>
      <c r="Z52" s="939"/>
      <c r="AA52" s="940"/>
      <c r="AB52" s="939"/>
      <c r="AC52" s="929">
        <v>160277</v>
      </c>
      <c r="AD52" s="929"/>
      <c r="AE52" s="929">
        <v>160277</v>
      </c>
      <c r="AF52" s="928">
        <v>3</v>
      </c>
      <c r="AG52" s="874">
        <f t="shared" si="18"/>
        <v>34379.268292682929</v>
      </c>
      <c r="AH52" s="902">
        <f t="shared" si="4"/>
        <v>28191</v>
      </c>
      <c r="AI52" s="902">
        <f t="shared" si="20"/>
        <v>6188.2682926829293</v>
      </c>
      <c r="AJ52" s="874">
        <f t="shared" si="19"/>
        <v>34379.268292682929</v>
      </c>
    </row>
    <row r="53" spans="1:36" s="930" customFormat="1" ht="26.1" customHeight="1">
      <c r="A53" s="919" t="s">
        <v>550</v>
      </c>
      <c r="B53" s="920" t="s">
        <v>551</v>
      </c>
      <c r="C53" s="921">
        <v>25355</v>
      </c>
      <c r="D53" s="942" t="s">
        <v>552</v>
      </c>
      <c r="E53" s="920" t="s">
        <v>553</v>
      </c>
      <c r="F53" s="923" t="s">
        <v>535</v>
      </c>
      <c r="G53" s="921" t="s">
        <v>336</v>
      </c>
      <c r="H53" s="923">
        <v>0.2</v>
      </c>
      <c r="I53" s="923" t="s">
        <v>554</v>
      </c>
      <c r="J53" s="924">
        <v>0.3</v>
      </c>
      <c r="K53" s="921" t="s">
        <v>164</v>
      </c>
      <c r="L53" s="924">
        <v>0.08</v>
      </c>
      <c r="M53" s="932" t="s">
        <v>336</v>
      </c>
      <c r="N53" s="923"/>
      <c r="O53" s="923"/>
      <c r="P53" s="923" t="s">
        <v>555</v>
      </c>
      <c r="Q53" s="921" t="s">
        <v>556</v>
      </c>
      <c r="R53" s="926">
        <v>8493</v>
      </c>
      <c r="S53" s="926">
        <v>6919</v>
      </c>
      <c r="T53" s="923" t="s">
        <v>557</v>
      </c>
      <c r="U53" s="938"/>
      <c r="V53" s="923" t="s">
        <v>558</v>
      </c>
      <c r="W53" s="921" t="s">
        <v>314</v>
      </c>
      <c r="X53" s="927">
        <v>1</v>
      </c>
      <c r="Y53" s="926">
        <v>173730</v>
      </c>
      <c r="Z53" s="939"/>
      <c r="AA53" s="940"/>
      <c r="AB53" s="939"/>
      <c r="AC53" s="929">
        <v>173730</v>
      </c>
      <c r="AD53" s="929"/>
      <c r="AE53" s="929">
        <v>173730</v>
      </c>
      <c r="AF53" s="928">
        <v>3</v>
      </c>
      <c r="AG53" s="874">
        <f t="shared" si="18"/>
        <v>31071.951219512197</v>
      </c>
      <c r="AH53" s="902">
        <f t="shared" si="4"/>
        <v>25479</v>
      </c>
      <c r="AI53" s="902">
        <f t="shared" si="20"/>
        <v>5592.951219512197</v>
      </c>
      <c r="AJ53" s="874">
        <f t="shared" si="19"/>
        <v>31071.951219512197</v>
      </c>
    </row>
    <row r="54" spans="1:36" s="930" customFormat="1" ht="26.1" customHeight="1">
      <c r="A54" s="919" t="s">
        <v>559</v>
      </c>
      <c r="B54" s="920" t="s">
        <v>560</v>
      </c>
      <c r="C54" s="921">
        <v>25440</v>
      </c>
      <c r="D54" s="942" t="s">
        <v>542</v>
      </c>
      <c r="E54" s="920" t="s">
        <v>561</v>
      </c>
      <c r="F54" s="923" t="s">
        <v>535</v>
      </c>
      <c r="G54" s="921" t="s">
        <v>183</v>
      </c>
      <c r="H54" s="923">
        <v>0.3</v>
      </c>
      <c r="I54" s="923" t="s">
        <v>562</v>
      </c>
      <c r="J54" s="924"/>
      <c r="K54" s="921"/>
      <c r="L54" s="924">
        <v>0.08</v>
      </c>
      <c r="M54" s="932" t="s">
        <v>183</v>
      </c>
      <c r="N54" s="923"/>
      <c r="O54" s="923"/>
      <c r="P54" s="923" t="s">
        <v>536</v>
      </c>
      <c r="Q54" s="921" t="s">
        <v>537</v>
      </c>
      <c r="R54" s="926">
        <v>8559</v>
      </c>
      <c r="S54" s="926">
        <v>6912</v>
      </c>
      <c r="T54" s="923" t="s">
        <v>557</v>
      </c>
      <c r="U54" s="938"/>
      <c r="V54" s="923" t="s">
        <v>563</v>
      </c>
      <c r="W54" s="921" t="s">
        <v>564</v>
      </c>
      <c r="X54" s="927">
        <v>1</v>
      </c>
      <c r="Y54" s="926">
        <v>172788</v>
      </c>
      <c r="Z54" s="939"/>
      <c r="AA54" s="940"/>
      <c r="AB54" s="939"/>
      <c r="AC54" s="929">
        <v>172788</v>
      </c>
      <c r="AD54" s="929"/>
      <c r="AE54" s="929">
        <v>172788</v>
      </c>
      <c r="AF54" s="928">
        <v>2</v>
      </c>
      <c r="AG54" s="874">
        <f t="shared" si="18"/>
        <v>20875.609756097561</v>
      </c>
      <c r="AH54" s="902">
        <f t="shared" si="4"/>
        <v>17118</v>
      </c>
      <c r="AI54" s="902">
        <f t="shared" si="20"/>
        <v>3757.6097560975613</v>
      </c>
      <c r="AJ54" s="874">
        <f t="shared" si="19"/>
        <v>20875.609756097561</v>
      </c>
    </row>
    <row r="55" spans="1:36" s="930" customFormat="1" ht="26.1" customHeight="1">
      <c r="A55" s="919" t="s">
        <v>565</v>
      </c>
      <c r="B55" s="920" t="s">
        <v>566</v>
      </c>
      <c r="C55" s="921">
        <v>25430</v>
      </c>
      <c r="D55" s="942" t="s">
        <v>567</v>
      </c>
      <c r="E55" s="920" t="s">
        <v>568</v>
      </c>
      <c r="F55" s="923" t="s">
        <v>569</v>
      </c>
      <c r="G55" s="921" t="s">
        <v>183</v>
      </c>
      <c r="H55" s="923"/>
      <c r="I55" s="923"/>
      <c r="J55" s="924">
        <v>0.25</v>
      </c>
      <c r="K55" s="921" t="s">
        <v>170</v>
      </c>
      <c r="L55" s="924">
        <v>0.08</v>
      </c>
      <c r="M55" s="932" t="s">
        <v>183</v>
      </c>
      <c r="N55" s="923"/>
      <c r="O55" s="923"/>
      <c r="P55" s="923" t="s">
        <v>570</v>
      </c>
      <c r="Q55" s="921" t="s">
        <v>571</v>
      </c>
      <c r="R55" s="926">
        <v>8015</v>
      </c>
      <c r="S55" s="926">
        <v>6364</v>
      </c>
      <c r="T55" s="923" t="s">
        <v>572</v>
      </c>
      <c r="U55" s="938"/>
      <c r="V55" s="923" t="s">
        <v>573</v>
      </c>
      <c r="W55" s="921" t="s">
        <v>564</v>
      </c>
      <c r="X55" s="927">
        <v>1</v>
      </c>
      <c r="Y55" s="926">
        <v>143195</v>
      </c>
      <c r="Z55" s="939"/>
      <c r="AA55" s="940"/>
      <c r="AB55" s="939"/>
      <c r="AC55" s="929">
        <v>143195</v>
      </c>
      <c r="AD55" s="929"/>
      <c r="AE55" s="929">
        <v>143195</v>
      </c>
      <c r="AF55" s="928">
        <v>2</v>
      </c>
      <c r="AG55" s="874">
        <f t="shared" si="18"/>
        <v>19548.780487804881</v>
      </c>
      <c r="AH55" s="902">
        <f t="shared" si="4"/>
        <v>16030</v>
      </c>
      <c r="AI55" s="902">
        <f t="shared" si="20"/>
        <v>3518.780487804881</v>
      </c>
      <c r="AJ55" s="874">
        <f t="shared" si="19"/>
        <v>19548.780487804881</v>
      </c>
    </row>
    <row r="56" spans="1:36" s="930" customFormat="1" ht="26.1" customHeight="1">
      <c r="A56" s="919" t="s">
        <v>574</v>
      </c>
      <c r="B56" s="920" t="s">
        <v>575</v>
      </c>
      <c r="C56" s="921">
        <v>23293</v>
      </c>
      <c r="D56" s="942" t="s">
        <v>576</v>
      </c>
      <c r="E56" s="920" t="s">
        <v>577</v>
      </c>
      <c r="F56" s="923" t="s">
        <v>505</v>
      </c>
      <c r="G56" s="921" t="s">
        <v>314</v>
      </c>
      <c r="H56" s="923"/>
      <c r="I56" s="923"/>
      <c r="J56" s="924">
        <v>0.32</v>
      </c>
      <c r="K56" s="921" t="s">
        <v>164</v>
      </c>
      <c r="L56" s="924"/>
      <c r="M56" s="932"/>
      <c r="N56" s="923"/>
      <c r="O56" s="923"/>
      <c r="P56" s="923" t="s">
        <v>507</v>
      </c>
      <c r="Q56" s="921" t="s">
        <v>578</v>
      </c>
      <c r="R56" s="926">
        <v>9617</v>
      </c>
      <c r="S56" s="926">
        <v>7368</v>
      </c>
      <c r="T56" s="923" t="s">
        <v>579</v>
      </c>
      <c r="U56" s="938"/>
      <c r="V56" s="923" t="s">
        <v>580</v>
      </c>
      <c r="W56" s="921" t="s">
        <v>265</v>
      </c>
      <c r="X56" s="927">
        <v>1</v>
      </c>
      <c r="Y56" s="926">
        <v>169477</v>
      </c>
      <c r="Z56" s="939"/>
      <c r="AA56" s="940"/>
      <c r="AB56" s="939"/>
      <c r="AC56" s="929">
        <v>169477</v>
      </c>
      <c r="AD56" s="929"/>
      <c r="AE56" s="929">
        <v>169477</v>
      </c>
      <c r="AF56" s="928">
        <v>1</v>
      </c>
      <c r="AG56" s="874">
        <f t="shared" si="18"/>
        <v>11728.048780487805</v>
      </c>
      <c r="AH56" s="902">
        <f t="shared" si="4"/>
        <v>9617</v>
      </c>
      <c r="AI56" s="902">
        <f t="shared" si="20"/>
        <v>2111.0487804878048</v>
      </c>
      <c r="AJ56" s="874">
        <f t="shared" si="19"/>
        <v>11728.048780487805</v>
      </c>
    </row>
    <row r="57" spans="1:36" s="930" customFormat="1" ht="26.1" customHeight="1">
      <c r="A57" s="919" t="s">
        <v>581</v>
      </c>
      <c r="B57" s="920" t="s">
        <v>582</v>
      </c>
      <c r="C57" s="921">
        <v>23626</v>
      </c>
      <c r="D57" s="942" t="s">
        <v>583</v>
      </c>
      <c r="E57" s="920" t="s">
        <v>584</v>
      </c>
      <c r="F57" s="923" t="s">
        <v>440</v>
      </c>
      <c r="G57" s="921" t="s">
        <v>224</v>
      </c>
      <c r="H57" s="923"/>
      <c r="I57" s="923"/>
      <c r="J57" s="924">
        <v>0.28999999999999998</v>
      </c>
      <c r="K57" s="921" t="s">
        <v>208</v>
      </c>
      <c r="L57" s="924">
        <v>0.09</v>
      </c>
      <c r="M57" s="932" t="s">
        <v>224</v>
      </c>
      <c r="N57" s="923"/>
      <c r="O57" s="923"/>
      <c r="P57" s="923" t="s">
        <v>585</v>
      </c>
      <c r="Q57" s="921" t="s">
        <v>586</v>
      </c>
      <c r="R57" s="926">
        <v>8650</v>
      </c>
      <c r="S57" s="926">
        <v>7030</v>
      </c>
      <c r="T57" s="923" t="s">
        <v>557</v>
      </c>
      <c r="U57" s="938"/>
      <c r="V57" s="923" t="s">
        <v>587</v>
      </c>
      <c r="W57" s="921" t="s">
        <v>265</v>
      </c>
      <c r="X57" s="927">
        <v>1</v>
      </c>
      <c r="Y57" s="926">
        <v>175709</v>
      </c>
      <c r="Z57" s="939"/>
      <c r="AA57" s="940"/>
      <c r="AB57" s="939"/>
      <c r="AC57" s="929">
        <v>175709</v>
      </c>
      <c r="AD57" s="929"/>
      <c r="AE57" s="929">
        <v>175709</v>
      </c>
      <c r="AF57" s="928">
        <v>1</v>
      </c>
      <c r="AG57" s="874">
        <f t="shared" si="18"/>
        <v>10548.780487804879</v>
      </c>
      <c r="AH57" s="902">
        <f t="shared" si="4"/>
        <v>8650</v>
      </c>
      <c r="AI57" s="902">
        <f t="shared" si="20"/>
        <v>1898.7804878048792</v>
      </c>
      <c r="AJ57" s="874">
        <f t="shared" si="19"/>
        <v>10548.780487804879</v>
      </c>
    </row>
    <row r="58" spans="1:36" s="930" customFormat="1" ht="26.1" customHeight="1">
      <c r="A58" s="919" t="s">
        <v>588</v>
      </c>
      <c r="B58" s="920" t="s">
        <v>589</v>
      </c>
      <c r="C58" s="921">
        <v>25170</v>
      </c>
      <c r="D58" s="942" t="s">
        <v>376</v>
      </c>
      <c r="E58" s="920" t="s">
        <v>590</v>
      </c>
      <c r="F58" s="923" t="s">
        <v>440</v>
      </c>
      <c r="G58" s="921" t="s">
        <v>224</v>
      </c>
      <c r="H58" s="923"/>
      <c r="I58" s="923"/>
      <c r="J58" s="924">
        <v>0.28999999999999998</v>
      </c>
      <c r="K58" s="921" t="s">
        <v>208</v>
      </c>
      <c r="L58" s="924">
        <v>0.09</v>
      </c>
      <c r="M58" s="932" t="s">
        <v>224</v>
      </c>
      <c r="N58" s="923"/>
      <c r="O58" s="923"/>
      <c r="P58" s="923" t="s">
        <v>585</v>
      </c>
      <c r="Q58" s="921" t="s">
        <v>586</v>
      </c>
      <c r="R58" s="926">
        <v>8650</v>
      </c>
      <c r="S58" s="926">
        <v>7073</v>
      </c>
      <c r="T58" s="923" t="s">
        <v>591</v>
      </c>
      <c r="U58" s="938"/>
      <c r="V58" s="923" t="s">
        <v>592</v>
      </c>
      <c r="W58" s="921" t="s">
        <v>176</v>
      </c>
      <c r="X58" s="927">
        <v>1</v>
      </c>
      <c r="Y58" s="926">
        <v>155606</v>
      </c>
      <c r="Z58" s="939"/>
      <c r="AA58" s="940"/>
      <c r="AB58" s="939"/>
      <c r="AC58" s="929">
        <v>155606</v>
      </c>
      <c r="AD58" s="929"/>
      <c r="AE58" s="929">
        <v>155606</v>
      </c>
      <c r="AF58" s="928">
        <v>0</v>
      </c>
      <c r="AG58" s="874">
        <f t="shared" si="18"/>
        <v>0</v>
      </c>
      <c r="AH58" s="902">
        <f t="shared" si="4"/>
        <v>0</v>
      </c>
      <c r="AI58" s="902">
        <f t="shared" si="20"/>
        <v>0</v>
      </c>
      <c r="AJ58" s="874">
        <f t="shared" si="19"/>
        <v>0</v>
      </c>
    </row>
    <row r="59" spans="1:36" s="930" customFormat="1" ht="26.1" customHeight="1">
      <c r="A59" s="919" t="s">
        <v>593</v>
      </c>
      <c r="B59" s="920" t="s">
        <v>594</v>
      </c>
      <c r="C59" s="921">
        <v>25398</v>
      </c>
      <c r="D59" s="942" t="s">
        <v>595</v>
      </c>
      <c r="E59" s="920" t="s">
        <v>553</v>
      </c>
      <c r="F59" s="923" t="s">
        <v>569</v>
      </c>
      <c r="G59" s="921" t="s">
        <v>564</v>
      </c>
      <c r="H59" s="923"/>
      <c r="I59" s="923"/>
      <c r="J59" s="924">
        <v>0.25</v>
      </c>
      <c r="K59" s="921" t="s">
        <v>252</v>
      </c>
      <c r="L59" s="924">
        <v>0.06</v>
      </c>
      <c r="M59" s="932" t="s">
        <v>347</v>
      </c>
      <c r="N59" s="923"/>
      <c r="O59" s="923"/>
      <c r="P59" s="923" t="s">
        <v>570</v>
      </c>
      <c r="Q59" s="921" t="s">
        <v>596</v>
      </c>
      <c r="R59" s="926">
        <v>8015</v>
      </c>
      <c r="S59" s="926">
        <v>6303</v>
      </c>
      <c r="T59" s="923" t="s">
        <v>597</v>
      </c>
      <c r="U59" s="938"/>
      <c r="V59" s="923" t="s">
        <v>598</v>
      </c>
      <c r="W59" s="921" t="s">
        <v>176</v>
      </c>
      <c r="X59" s="927">
        <v>1</v>
      </c>
      <c r="Y59" s="926">
        <v>141830</v>
      </c>
      <c r="Z59" s="939"/>
      <c r="AA59" s="940"/>
      <c r="AB59" s="939"/>
      <c r="AC59" s="929">
        <v>141830</v>
      </c>
      <c r="AD59" s="929"/>
      <c r="AE59" s="929">
        <v>141830</v>
      </c>
      <c r="AF59" s="928">
        <v>0</v>
      </c>
      <c r="AG59" s="874">
        <f t="shared" si="18"/>
        <v>0</v>
      </c>
      <c r="AH59" s="902">
        <f t="shared" si="4"/>
        <v>0</v>
      </c>
      <c r="AI59" s="902">
        <f t="shared" si="20"/>
        <v>0</v>
      </c>
      <c r="AJ59" s="874">
        <f t="shared" si="19"/>
        <v>0</v>
      </c>
    </row>
    <row r="60" spans="1:36" s="930" customFormat="1" ht="26.1" customHeight="1">
      <c r="A60" s="919" t="s">
        <v>599</v>
      </c>
      <c r="B60" s="920" t="s">
        <v>600</v>
      </c>
      <c r="C60" s="921">
        <v>25465</v>
      </c>
      <c r="D60" s="942" t="s">
        <v>601</v>
      </c>
      <c r="E60" s="920" t="s">
        <v>602</v>
      </c>
      <c r="F60" s="923" t="s">
        <v>346</v>
      </c>
      <c r="G60" s="921" t="s">
        <v>217</v>
      </c>
      <c r="H60" s="923">
        <v>0.2</v>
      </c>
      <c r="I60" s="923" t="s">
        <v>170</v>
      </c>
      <c r="J60" s="924" t="s">
        <v>603</v>
      </c>
      <c r="K60" s="921" t="s">
        <v>170</v>
      </c>
      <c r="L60" s="924"/>
      <c r="M60" s="932"/>
      <c r="N60" s="923"/>
      <c r="O60" s="923"/>
      <c r="P60" s="923" t="s">
        <v>349</v>
      </c>
      <c r="Q60" s="921" t="s">
        <v>604</v>
      </c>
      <c r="R60" s="926">
        <v>7438</v>
      </c>
      <c r="S60" s="926">
        <v>5910</v>
      </c>
      <c r="T60" s="923" t="s">
        <v>605</v>
      </c>
      <c r="U60" s="938"/>
      <c r="V60" s="923" t="s">
        <v>606</v>
      </c>
      <c r="W60" s="921" t="s">
        <v>176</v>
      </c>
      <c r="X60" s="927">
        <v>1</v>
      </c>
      <c r="Y60" s="926">
        <v>115249</v>
      </c>
      <c r="Z60" s="939"/>
      <c r="AA60" s="940"/>
      <c r="AB60" s="939"/>
      <c r="AC60" s="929">
        <v>115249</v>
      </c>
      <c r="AD60" s="929"/>
      <c r="AE60" s="929">
        <v>115249</v>
      </c>
      <c r="AF60" s="928">
        <v>0</v>
      </c>
      <c r="AG60" s="874">
        <f t="shared" si="18"/>
        <v>0</v>
      </c>
      <c r="AH60" s="902">
        <f t="shared" si="4"/>
        <v>0</v>
      </c>
      <c r="AI60" s="902">
        <f t="shared" si="20"/>
        <v>0</v>
      </c>
      <c r="AJ60" s="874">
        <f t="shared" si="19"/>
        <v>0</v>
      </c>
    </row>
    <row r="61" spans="1:36" s="930" customFormat="1" ht="26.1" customHeight="1">
      <c r="A61" s="919" t="s">
        <v>607</v>
      </c>
      <c r="B61" s="920" t="s">
        <v>608</v>
      </c>
      <c r="C61" s="921">
        <v>25130</v>
      </c>
      <c r="D61" s="942" t="s">
        <v>552</v>
      </c>
      <c r="E61" s="920" t="s">
        <v>553</v>
      </c>
      <c r="F61" s="923" t="s">
        <v>388</v>
      </c>
      <c r="G61" s="921" t="s">
        <v>314</v>
      </c>
      <c r="H61" s="923">
        <v>0.2</v>
      </c>
      <c r="I61" s="923" t="s">
        <v>554</v>
      </c>
      <c r="J61" s="924">
        <v>0.3</v>
      </c>
      <c r="K61" s="921" t="s">
        <v>164</v>
      </c>
      <c r="L61" s="924">
        <v>0.1</v>
      </c>
      <c r="M61" s="932" t="s">
        <v>314</v>
      </c>
      <c r="N61" s="923"/>
      <c r="O61" s="923"/>
      <c r="P61" s="923" t="s">
        <v>609</v>
      </c>
      <c r="Q61" s="921" t="s">
        <v>610</v>
      </c>
      <c r="R61" s="926">
        <v>8650</v>
      </c>
      <c r="S61" s="926">
        <v>7236</v>
      </c>
      <c r="T61" s="923" t="s">
        <v>611</v>
      </c>
      <c r="U61" s="938"/>
      <c r="V61" s="923" t="s">
        <v>612</v>
      </c>
      <c r="W61" s="921" t="s">
        <v>176</v>
      </c>
      <c r="X61" s="927">
        <v>1</v>
      </c>
      <c r="Y61" s="926">
        <v>161006</v>
      </c>
      <c r="Z61" s="939"/>
      <c r="AA61" s="940"/>
      <c r="AB61" s="939"/>
      <c r="AC61" s="929">
        <v>161006</v>
      </c>
      <c r="AD61" s="929"/>
      <c r="AE61" s="929">
        <v>161006</v>
      </c>
      <c r="AF61" s="928">
        <v>0</v>
      </c>
      <c r="AG61" s="874">
        <f t="shared" si="18"/>
        <v>0</v>
      </c>
      <c r="AH61" s="902">
        <f t="shared" si="4"/>
        <v>0</v>
      </c>
      <c r="AI61" s="902">
        <f t="shared" si="20"/>
        <v>0</v>
      </c>
      <c r="AJ61" s="874">
        <f t="shared" si="19"/>
        <v>0</v>
      </c>
    </row>
    <row r="62" spans="1:36" s="930" customFormat="1" ht="26.1" customHeight="1">
      <c r="A62" s="919" t="s">
        <v>613</v>
      </c>
      <c r="B62" s="920" t="s">
        <v>614</v>
      </c>
      <c r="C62" s="921">
        <v>23300</v>
      </c>
      <c r="D62" s="942" t="s">
        <v>583</v>
      </c>
      <c r="E62" s="920" t="s">
        <v>615</v>
      </c>
      <c r="F62" s="923" t="s">
        <v>616</v>
      </c>
      <c r="G62" s="921" t="s">
        <v>564</v>
      </c>
      <c r="H62" s="923">
        <v>0.2</v>
      </c>
      <c r="I62" s="923" t="s">
        <v>617</v>
      </c>
      <c r="J62" s="924">
        <v>0.37</v>
      </c>
      <c r="K62" s="921" t="s">
        <v>164</v>
      </c>
      <c r="L62" s="924">
        <v>0.12</v>
      </c>
      <c r="M62" s="932" t="s">
        <v>564</v>
      </c>
      <c r="N62" s="923"/>
      <c r="O62" s="923"/>
      <c r="P62" s="923" t="s">
        <v>618</v>
      </c>
      <c r="Q62" s="921" t="s">
        <v>619</v>
      </c>
      <c r="R62" s="926">
        <v>9282</v>
      </c>
      <c r="S62" s="926">
        <v>7778</v>
      </c>
      <c r="T62" s="923" t="s">
        <v>620</v>
      </c>
      <c r="U62" s="938"/>
      <c r="V62" s="923" t="s">
        <v>621</v>
      </c>
      <c r="W62" s="921" t="s">
        <v>176</v>
      </c>
      <c r="X62" s="927">
        <v>1</v>
      </c>
      <c r="Y62" s="926">
        <v>200257</v>
      </c>
      <c r="Z62" s="939"/>
      <c r="AA62" s="940"/>
      <c r="AB62" s="939"/>
      <c r="AC62" s="929">
        <v>200257</v>
      </c>
      <c r="AD62" s="929"/>
      <c r="AE62" s="929">
        <v>200257</v>
      </c>
      <c r="AF62" s="928">
        <v>0</v>
      </c>
      <c r="AG62" s="874">
        <f t="shared" si="18"/>
        <v>0</v>
      </c>
      <c r="AH62" s="902">
        <f t="shared" si="4"/>
        <v>0</v>
      </c>
      <c r="AI62" s="902">
        <f t="shared" si="20"/>
        <v>0</v>
      </c>
      <c r="AJ62" s="874">
        <f t="shared" si="19"/>
        <v>0</v>
      </c>
    </row>
    <row r="63" spans="1:36" s="930" customFormat="1" ht="26.1" customHeight="1">
      <c r="A63" s="919" t="s">
        <v>622</v>
      </c>
      <c r="B63" s="920" t="s">
        <v>623</v>
      </c>
      <c r="C63" s="921">
        <v>23573</v>
      </c>
      <c r="D63" s="942" t="s">
        <v>552</v>
      </c>
      <c r="E63" s="920" t="s">
        <v>568</v>
      </c>
      <c r="F63" s="923" t="s">
        <v>624</v>
      </c>
      <c r="G63" s="921" t="s">
        <v>183</v>
      </c>
      <c r="H63" s="923"/>
      <c r="I63" s="923"/>
      <c r="J63" s="924">
        <v>0.34</v>
      </c>
      <c r="K63" s="921" t="s">
        <v>164</v>
      </c>
      <c r="L63" s="924">
        <v>0.05</v>
      </c>
      <c r="M63" s="932" t="s">
        <v>183</v>
      </c>
      <c r="N63" s="923"/>
      <c r="O63" s="923"/>
      <c r="P63" s="923" t="s">
        <v>625</v>
      </c>
      <c r="Q63" s="921" t="s">
        <v>626</v>
      </c>
      <c r="R63" s="926">
        <v>10252</v>
      </c>
      <c r="S63" s="926">
        <v>8050</v>
      </c>
      <c r="T63" s="923" t="s">
        <v>548</v>
      </c>
      <c r="U63" s="938"/>
      <c r="V63" s="923" t="s">
        <v>627</v>
      </c>
      <c r="W63" s="921" t="s">
        <v>314</v>
      </c>
      <c r="X63" s="927">
        <v>1</v>
      </c>
      <c r="Y63" s="926">
        <v>217360</v>
      </c>
      <c r="Z63" s="939"/>
      <c r="AA63" s="940"/>
      <c r="AB63" s="939"/>
      <c r="AC63" s="929">
        <v>217360</v>
      </c>
      <c r="AD63" s="929"/>
      <c r="AE63" s="929">
        <v>217360</v>
      </c>
      <c r="AF63" s="928">
        <v>3</v>
      </c>
      <c r="AG63" s="874">
        <f t="shared" si="18"/>
        <v>37507.317073170736</v>
      </c>
      <c r="AH63" s="902">
        <f t="shared" si="4"/>
        <v>30756</v>
      </c>
      <c r="AI63" s="902">
        <f t="shared" si="20"/>
        <v>6751.317073170736</v>
      </c>
      <c r="AJ63" s="874">
        <f t="shared" si="19"/>
        <v>37507.317073170736</v>
      </c>
    </row>
    <row r="64" spans="1:36" s="930" customFormat="1" ht="26.1" customHeight="1">
      <c r="A64" s="919" t="s">
        <v>628</v>
      </c>
      <c r="B64" s="920" t="s">
        <v>629</v>
      </c>
      <c r="C64" s="921">
        <v>23571</v>
      </c>
      <c r="D64" s="942" t="s">
        <v>630</v>
      </c>
      <c r="E64" s="920" t="s">
        <v>631</v>
      </c>
      <c r="F64" s="923" t="s">
        <v>284</v>
      </c>
      <c r="G64" s="921" t="s">
        <v>183</v>
      </c>
      <c r="H64" s="923"/>
      <c r="I64" s="923"/>
      <c r="J64" s="924">
        <v>0.28000000000000003</v>
      </c>
      <c r="K64" s="921" t="s">
        <v>336</v>
      </c>
      <c r="L64" s="924">
        <v>7.0000000000000007E-2</v>
      </c>
      <c r="M64" s="932" t="s">
        <v>183</v>
      </c>
      <c r="N64" s="923"/>
      <c r="O64" s="923"/>
      <c r="P64" s="923" t="s">
        <v>286</v>
      </c>
      <c r="Q64" s="921" t="s">
        <v>632</v>
      </c>
      <c r="R64" s="926">
        <v>10163</v>
      </c>
      <c r="S64" s="926">
        <v>10163</v>
      </c>
      <c r="T64" s="923" t="s">
        <v>633</v>
      </c>
      <c r="U64" s="938"/>
      <c r="V64" s="923" t="s">
        <v>634</v>
      </c>
      <c r="W64" s="921" t="s">
        <v>314</v>
      </c>
      <c r="X64" s="927">
        <v>1</v>
      </c>
      <c r="Y64" s="926">
        <v>216065</v>
      </c>
      <c r="Z64" s="939"/>
      <c r="AA64" s="940"/>
      <c r="AB64" s="939"/>
      <c r="AC64" s="929">
        <v>216065</v>
      </c>
      <c r="AD64" s="929"/>
      <c r="AE64" s="929">
        <v>216065</v>
      </c>
      <c r="AF64" s="928">
        <v>3</v>
      </c>
      <c r="AG64" s="874">
        <f t="shared" si="18"/>
        <v>37181.707317073175</v>
      </c>
      <c r="AH64" s="902">
        <f t="shared" si="4"/>
        <v>30489</v>
      </c>
      <c r="AI64" s="902">
        <f t="shared" si="20"/>
        <v>6692.7073170731746</v>
      </c>
      <c r="AJ64" s="874">
        <f t="shared" si="19"/>
        <v>37181.707317073175</v>
      </c>
    </row>
    <row r="65" spans="1:36" s="930" customFormat="1" ht="26.1" customHeight="1">
      <c r="A65" s="919" t="s">
        <v>635</v>
      </c>
      <c r="B65" s="920" t="s">
        <v>636</v>
      </c>
      <c r="C65" s="921">
        <v>23682</v>
      </c>
      <c r="D65" s="942" t="s">
        <v>637</v>
      </c>
      <c r="E65" s="920" t="s">
        <v>638</v>
      </c>
      <c r="F65" s="923" t="s">
        <v>505</v>
      </c>
      <c r="G65" s="921" t="s">
        <v>415</v>
      </c>
      <c r="H65" s="923"/>
      <c r="I65" s="923"/>
      <c r="J65" s="924">
        <v>0.27</v>
      </c>
      <c r="K65" s="921" t="s">
        <v>224</v>
      </c>
      <c r="L65" s="924"/>
      <c r="M65" s="932"/>
      <c r="N65" s="923"/>
      <c r="O65" s="923"/>
      <c r="P65" s="923" t="s">
        <v>639</v>
      </c>
      <c r="Q65" s="921" t="s">
        <v>640</v>
      </c>
      <c r="R65" s="926">
        <v>9326</v>
      </c>
      <c r="S65" s="926">
        <v>7585</v>
      </c>
      <c r="T65" s="923" t="s">
        <v>641</v>
      </c>
      <c r="U65" s="938"/>
      <c r="V65" s="923" t="s">
        <v>642</v>
      </c>
      <c r="W65" s="921" t="s">
        <v>176</v>
      </c>
      <c r="X65" s="927">
        <v>1</v>
      </c>
      <c r="Y65" s="926">
        <v>183943</v>
      </c>
      <c r="Z65" s="939"/>
      <c r="AA65" s="940"/>
      <c r="AB65" s="939"/>
      <c r="AC65" s="929">
        <v>183943</v>
      </c>
      <c r="AD65" s="929"/>
      <c r="AE65" s="929">
        <v>183943</v>
      </c>
      <c r="AF65" s="928">
        <v>0</v>
      </c>
      <c r="AG65" s="874">
        <f t="shared" si="18"/>
        <v>0</v>
      </c>
      <c r="AH65" s="902">
        <f t="shared" si="4"/>
        <v>0</v>
      </c>
      <c r="AI65" s="902">
        <f t="shared" si="20"/>
        <v>0</v>
      </c>
      <c r="AJ65" s="874">
        <f t="shared" si="19"/>
        <v>0</v>
      </c>
    </row>
    <row r="66" spans="1:36" s="930" customFormat="1" ht="26.1" customHeight="1">
      <c r="A66" s="919" t="s">
        <v>643</v>
      </c>
      <c r="B66" s="920" t="s">
        <v>127</v>
      </c>
      <c r="C66" s="921">
        <v>25176</v>
      </c>
      <c r="D66" s="942" t="s">
        <v>494</v>
      </c>
      <c r="E66" s="920" t="s">
        <v>644</v>
      </c>
      <c r="F66" s="923" t="s">
        <v>645</v>
      </c>
      <c r="G66" s="921" t="s">
        <v>314</v>
      </c>
      <c r="H66" s="923">
        <v>0.25</v>
      </c>
      <c r="I66" s="923" t="s">
        <v>224</v>
      </c>
      <c r="J66" s="924">
        <v>0.28999999999999998</v>
      </c>
      <c r="K66" s="921" t="s">
        <v>164</v>
      </c>
      <c r="L66" s="924">
        <v>0.05</v>
      </c>
      <c r="M66" s="932" t="s">
        <v>224</v>
      </c>
      <c r="N66" s="923"/>
      <c r="O66" s="923"/>
      <c r="P66" s="923" t="s">
        <v>497</v>
      </c>
      <c r="Q66" s="921" t="s">
        <v>646</v>
      </c>
      <c r="R66" s="926">
        <v>10428</v>
      </c>
      <c r="S66" s="926">
        <v>8318</v>
      </c>
      <c r="T66" s="923" t="s">
        <v>611</v>
      </c>
      <c r="U66" s="938"/>
      <c r="V66" s="923" t="s">
        <v>647</v>
      </c>
      <c r="W66" s="921" t="s">
        <v>176</v>
      </c>
      <c r="X66" s="927">
        <v>1</v>
      </c>
      <c r="Y66" s="926">
        <v>193400</v>
      </c>
      <c r="Z66" s="939"/>
      <c r="AA66" s="940"/>
      <c r="AB66" s="939"/>
      <c r="AC66" s="929">
        <v>193400</v>
      </c>
      <c r="AD66" s="929"/>
      <c r="AE66" s="929">
        <v>193400</v>
      </c>
      <c r="AF66" s="928">
        <v>0</v>
      </c>
      <c r="AG66" s="874">
        <f t="shared" si="18"/>
        <v>0</v>
      </c>
      <c r="AH66" s="902">
        <f t="shared" si="4"/>
        <v>0</v>
      </c>
      <c r="AI66" s="902">
        <f t="shared" si="20"/>
        <v>0</v>
      </c>
      <c r="AJ66" s="874">
        <f t="shared" si="19"/>
        <v>0</v>
      </c>
    </row>
    <row r="67" spans="1:36" s="930" customFormat="1" ht="26.1" customHeight="1">
      <c r="A67" s="919" t="s">
        <v>648</v>
      </c>
      <c r="B67" s="920" t="s">
        <v>649</v>
      </c>
      <c r="C67" s="921" t="s">
        <v>650</v>
      </c>
      <c r="D67" s="942" t="s">
        <v>483</v>
      </c>
      <c r="E67" s="920" t="s">
        <v>651</v>
      </c>
      <c r="F67" s="923" t="s">
        <v>624</v>
      </c>
      <c r="G67" s="921" t="s">
        <v>314</v>
      </c>
      <c r="H67" s="923"/>
      <c r="I67" s="923"/>
      <c r="J67" s="924">
        <v>0.28000000000000003</v>
      </c>
      <c r="K67" s="921" t="s">
        <v>314</v>
      </c>
      <c r="L67" s="924">
        <v>0.05</v>
      </c>
      <c r="M67" s="932" t="s">
        <v>314</v>
      </c>
      <c r="N67" s="923"/>
      <c r="O67" s="923"/>
      <c r="P67" s="923" t="s">
        <v>625</v>
      </c>
      <c r="Q67" s="921" t="s">
        <v>652</v>
      </c>
      <c r="R67" s="926">
        <v>9792</v>
      </c>
      <c r="S67" s="926">
        <v>7600</v>
      </c>
      <c r="T67" s="923" t="s">
        <v>653</v>
      </c>
      <c r="U67" s="938"/>
      <c r="V67" s="923" t="s">
        <v>654</v>
      </c>
      <c r="W67" s="921" t="s">
        <v>265</v>
      </c>
      <c r="X67" s="927">
        <v>1</v>
      </c>
      <c r="Y67" s="926">
        <v>152005</v>
      </c>
      <c r="Z67" s="939"/>
      <c r="AA67" s="940"/>
      <c r="AB67" s="939"/>
      <c r="AC67" s="929">
        <v>152005</v>
      </c>
      <c r="AD67" s="929"/>
      <c r="AE67" s="929">
        <v>152005</v>
      </c>
      <c r="AF67" s="928">
        <v>1</v>
      </c>
      <c r="AG67" s="874">
        <f t="shared" si="18"/>
        <v>11941.463414634147</v>
      </c>
      <c r="AH67" s="902">
        <f t="shared" si="4"/>
        <v>9792</v>
      </c>
      <c r="AI67" s="902">
        <f t="shared" si="20"/>
        <v>2149.4634146341468</v>
      </c>
      <c r="AJ67" s="874">
        <f t="shared" si="19"/>
        <v>11941.463414634147</v>
      </c>
    </row>
    <row r="68" spans="1:36" s="930" customFormat="1" ht="26.1" customHeight="1">
      <c r="A68" s="919" t="s">
        <v>655</v>
      </c>
      <c r="B68" s="920" t="s">
        <v>656</v>
      </c>
      <c r="C68" s="921" t="s">
        <v>657</v>
      </c>
      <c r="D68" s="942" t="s">
        <v>180</v>
      </c>
      <c r="E68" s="920" t="s">
        <v>658</v>
      </c>
      <c r="F68" s="923" t="s">
        <v>131</v>
      </c>
      <c r="G68" s="921" t="s">
        <v>367</v>
      </c>
      <c r="H68" s="923"/>
      <c r="I68" s="923"/>
      <c r="J68" s="924">
        <v>0.18</v>
      </c>
      <c r="K68" s="921" t="s">
        <v>659</v>
      </c>
      <c r="L68" s="924"/>
      <c r="M68" s="932"/>
      <c r="N68" s="923"/>
      <c r="O68" s="923"/>
      <c r="P68" s="923" t="s">
        <v>135</v>
      </c>
      <c r="Q68" s="921" t="s">
        <v>660</v>
      </c>
      <c r="R68" s="926">
        <v>8175</v>
      </c>
      <c r="S68" s="926">
        <v>6562</v>
      </c>
      <c r="T68" s="923" t="s">
        <v>661</v>
      </c>
      <c r="U68" s="938"/>
      <c r="V68" s="923" t="s">
        <v>662</v>
      </c>
      <c r="W68" s="921" t="s">
        <v>176</v>
      </c>
      <c r="X68" s="927">
        <v>1</v>
      </c>
      <c r="Y68" s="926">
        <v>144368</v>
      </c>
      <c r="Z68" s="939"/>
      <c r="AA68" s="940"/>
      <c r="AB68" s="939"/>
      <c r="AC68" s="929">
        <v>144368</v>
      </c>
      <c r="AD68" s="929"/>
      <c r="AE68" s="929">
        <v>144368</v>
      </c>
      <c r="AF68" s="928">
        <v>0</v>
      </c>
      <c r="AG68" s="874">
        <f t="shared" si="18"/>
        <v>0</v>
      </c>
      <c r="AH68" s="902">
        <f t="shared" si="4"/>
        <v>0</v>
      </c>
      <c r="AI68" s="902">
        <f t="shared" si="20"/>
        <v>0</v>
      </c>
      <c r="AJ68" s="874">
        <f t="shared" si="19"/>
        <v>0</v>
      </c>
    </row>
    <row r="69" spans="1:36" s="930" customFormat="1" ht="32.25" customHeight="1">
      <c r="A69" s="919" t="s">
        <v>663</v>
      </c>
      <c r="B69" s="920" t="s">
        <v>664</v>
      </c>
      <c r="C69" s="921">
        <v>24898</v>
      </c>
      <c r="D69" s="942" t="s">
        <v>533</v>
      </c>
      <c r="E69" s="920" t="s">
        <v>665</v>
      </c>
      <c r="F69" s="923" t="s">
        <v>388</v>
      </c>
      <c r="G69" s="921" t="s">
        <v>336</v>
      </c>
      <c r="H69" s="923"/>
      <c r="I69" s="923"/>
      <c r="J69" s="924"/>
      <c r="K69" s="921"/>
      <c r="L69" s="924">
        <v>0.1</v>
      </c>
      <c r="M69" s="932" t="s">
        <v>336</v>
      </c>
      <c r="N69" s="923"/>
      <c r="O69" s="923"/>
      <c r="P69" s="923" t="s">
        <v>609</v>
      </c>
      <c r="Q69" s="921" t="s">
        <v>666</v>
      </c>
      <c r="R69" s="926">
        <v>6208</v>
      </c>
      <c r="S69" s="926">
        <v>5434</v>
      </c>
      <c r="T69" s="923" t="s">
        <v>667</v>
      </c>
      <c r="U69" s="938"/>
      <c r="V69" s="923" t="s">
        <v>668</v>
      </c>
      <c r="W69" s="921" t="s">
        <v>252</v>
      </c>
      <c r="X69" s="927">
        <v>1</v>
      </c>
      <c r="Y69" s="926"/>
      <c r="Z69" s="939"/>
      <c r="AA69" s="940">
        <v>263161</v>
      </c>
      <c r="AB69" s="939"/>
      <c r="AC69" s="929">
        <v>263161</v>
      </c>
      <c r="AD69" s="929">
        <v>18623</v>
      </c>
      <c r="AE69" s="929">
        <v>244538</v>
      </c>
      <c r="AF69" s="928">
        <v>5</v>
      </c>
      <c r="AG69" s="874">
        <f t="shared" si="18"/>
        <v>37853.658536585368</v>
      </c>
      <c r="AH69" s="902">
        <f t="shared" si="4"/>
        <v>31040</v>
      </c>
      <c r="AI69" s="902">
        <f t="shared" si="20"/>
        <v>6813.658536585368</v>
      </c>
      <c r="AJ69" s="874">
        <f t="shared" si="19"/>
        <v>19230.658536585368</v>
      </c>
    </row>
    <row r="70" spans="1:36" s="930" customFormat="1" ht="26.1" customHeight="1">
      <c r="A70" s="919" t="s">
        <v>669</v>
      </c>
      <c r="B70" s="920" t="s">
        <v>670</v>
      </c>
      <c r="C70" s="921">
        <v>25528</v>
      </c>
      <c r="D70" s="942" t="s">
        <v>671</v>
      </c>
      <c r="E70" s="920" t="s">
        <v>672</v>
      </c>
      <c r="F70" s="923" t="s">
        <v>378</v>
      </c>
      <c r="G70" s="921" t="s">
        <v>183</v>
      </c>
      <c r="H70" s="923"/>
      <c r="I70" s="923"/>
      <c r="J70" s="924">
        <v>0.23</v>
      </c>
      <c r="K70" s="921" t="s">
        <v>224</v>
      </c>
      <c r="L70" s="924">
        <v>0.05</v>
      </c>
      <c r="M70" s="932" t="s">
        <v>183</v>
      </c>
      <c r="N70" s="923"/>
      <c r="O70" s="923"/>
      <c r="P70" s="923" t="s">
        <v>673</v>
      </c>
      <c r="Q70" s="921" t="s">
        <v>674</v>
      </c>
      <c r="R70" s="926">
        <v>7288</v>
      </c>
      <c r="S70" s="926">
        <v>6011</v>
      </c>
      <c r="T70" s="923" t="s">
        <v>675</v>
      </c>
      <c r="U70" s="938"/>
      <c r="V70" s="923" t="s">
        <v>676</v>
      </c>
      <c r="W70" s="921" t="s">
        <v>252</v>
      </c>
      <c r="X70" s="927">
        <v>1</v>
      </c>
      <c r="Y70" s="926"/>
      <c r="Z70" s="939"/>
      <c r="AA70" s="940">
        <v>251813</v>
      </c>
      <c r="AB70" s="939"/>
      <c r="AC70" s="929">
        <v>251813</v>
      </c>
      <c r="AD70" s="929">
        <v>21865</v>
      </c>
      <c r="AE70" s="929">
        <v>229948</v>
      </c>
      <c r="AF70" s="928">
        <v>5</v>
      </c>
      <c r="AG70" s="874">
        <f t="shared" si="18"/>
        <v>44439.024390243903</v>
      </c>
      <c r="AH70" s="902">
        <f t="shared" si="4"/>
        <v>36440</v>
      </c>
      <c r="AI70" s="902">
        <f t="shared" si="20"/>
        <v>7999.0243902439033</v>
      </c>
      <c r="AJ70" s="874">
        <f t="shared" si="19"/>
        <v>22574.024390243903</v>
      </c>
    </row>
    <row r="71" spans="1:36" s="930" customFormat="1" ht="26.1" customHeight="1">
      <c r="A71" s="919" t="s">
        <v>677</v>
      </c>
      <c r="B71" s="920" t="s">
        <v>678</v>
      </c>
      <c r="C71" s="921">
        <v>25068</v>
      </c>
      <c r="D71" s="942" t="s">
        <v>542</v>
      </c>
      <c r="E71" s="920" t="s">
        <v>602</v>
      </c>
      <c r="F71" s="923" t="s">
        <v>440</v>
      </c>
      <c r="G71" s="921" t="s">
        <v>224</v>
      </c>
      <c r="H71" s="923"/>
      <c r="I71" s="923"/>
      <c r="J71" s="924">
        <v>0.28000000000000003</v>
      </c>
      <c r="K71" s="921" t="s">
        <v>208</v>
      </c>
      <c r="L71" s="924">
        <v>0.09</v>
      </c>
      <c r="M71" s="932" t="s">
        <v>562</v>
      </c>
      <c r="N71" s="923"/>
      <c r="O71" s="923"/>
      <c r="P71" s="923" t="s">
        <v>679</v>
      </c>
      <c r="Q71" s="921" t="s">
        <v>680</v>
      </c>
      <c r="R71" s="926">
        <v>7935</v>
      </c>
      <c r="S71" s="926">
        <v>6802</v>
      </c>
      <c r="T71" s="923" t="s">
        <v>681</v>
      </c>
      <c r="U71" s="938"/>
      <c r="V71" s="923" t="s">
        <v>682</v>
      </c>
      <c r="W71" s="921" t="s">
        <v>252</v>
      </c>
      <c r="X71" s="927">
        <v>1</v>
      </c>
      <c r="Y71" s="926"/>
      <c r="Z71" s="939"/>
      <c r="AA71" s="940">
        <v>350294</v>
      </c>
      <c r="AB71" s="939"/>
      <c r="AC71" s="929">
        <v>350294</v>
      </c>
      <c r="AD71" s="929">
        <v>23805</v>
      </c>
      <c r="AE71" s="929">
        <v>326489</v>
      </c>
      <c r="AF71" s="928">
        <v>5</v>
      </c>
      <c r="AG71" s="874">
        <f t="shared" si="18"/>
        <v>48384.14634146342</v>
      </c>
      <c r="AH71" s="902">
        <f t="shared" si="4"/>
        <v>39675</v>
      </c>
      <c r="AI71" s="902">
        <f t="shared" si="20"/>
        <v>8709.14634146342</v>
      </c>
      <c r="AJ71" s="874">
        <f t="shared" si="19"/>
        <v>24579.14634146342</v>
      </c>
    </row>
    <row r="72" spans="1:36" s="930" customFormat="1" ht="26.1" customHeight="1">
      <c r="A72" s="919" t="s">
        <v>683</v>
      </c>
      <c r="B72" s="920" t="s">
        <v>684</v>
      </c>
      <c r="C72" s="921" t="s">
        <v>685</v>
      </c>
      <c r="D72" s="942" t="s">
        <v>686</v>
      </c>
      <c r="E72" s="920" t="s">
        <v>687</v>
      </c>
      <c r="F72" s="923" t="s">
        <v>440</v>
      </c>
      <c r="G72" s="921" t="s">
        <v>183</v>
      </c>
      <c r="H72" s="923"/>
      <c r="I72" s="923"/>
      <c r="J72" s="924">
        <v>0.27</v>
      </c>
      <c r="K72" s="921" t="s">
        <v>688</v>
      </c>
      <c r="L72" s="924" t="s">
        <v>247</v>
      </c>
      <c r="M72" s="932" t="s">
        <v>183</v>
      </c>
      <c r="N72" s="923"/>
      <c r="O72" s="923"/>
      <c r="P72" s="923" t="s">
        <v>585</v>
      </c>
      <c r="Q72" s="921" t="s">
        <v>188</v>
      </c>
      <c r="R72" s="926">
        <v>8440</v>
      </c>
      <c r="S72" s="926">
        <v>6865</v>
      </c>
      <c r="T72" s="923" t="s">
        <v>689</v>
      </c>
      <c r="U72" s="938"/>
      <c r="V72" s="923" t="s">
        <v>690</v>
      </c>
      <c r="W72" s="921" t="s">
        <v>564</v>
      </c>
      <c r="X72" s="927">
        <v>1</v>
      </c>
      <c r="Y72" s="926">
        <v>137294</v>
      </c>
      <c r="Z72" s="939"/>
      <c r="AA72" s="940"/>
      <c r="AB72" s="939"/>
      <c r="AC72" s="929">
        <v>137294</v>
      </c>
      <c r="AD72" s="929"/>
      <c r="AE72" s="929">
        <v>137294</v>
      </c>
      <c r="AF72" s="928">
        <v>2</v>
      </c>
      <c r="AG72" s="874">
        <f t="shared" si="18"/>
        <v>20585.365853658539</v>
      </c>
      <c r="AH72" s="902">
        <f t="shared" si="4"/>
        <v>16880</v>
      </c>
      <c r="AI72" s="902">
        <f t="shared" si="20"/>
        <v>3705.365853658539</v>
      </c>
      <c r="AJ72" s="874">
        <f t="shared" si="19"/>
        <v>20585.365853658539</v>
      </c>
    </row>
    <row r="73" spans="1:36" s="930" customFormat="1" ht="26.1" customHeight="1">
      <c r="A73" s="919" t="s">
        <v>691</v>
      </c>
      <c r="B73" s="920" t="s">
        <v>692</v>
      </c>
      <c r="C73" s="921" t="s">
        <v>693</v>
      </c>
      <c r="D73" s="942" t="s">
        <v>694</v>
      </c>
      <c r="E73" s="920" t="s">
        <v>525</v>
      </c>
      <c r="F73" s="923" t="s">
        <v>535</v>
      </c>
      <c r="G73" s="921" t="s">
        <v>183</v>
      </c>
      <c r="H73" s="923"/>
      <c r="I73" s="923"/>
      <c r="J73" s="924">
        <v>0.25</v>
      </c>
      <c r="K73" s="921" t="s">
        <v>479</v>
      </c>
      <c r="L73" s="924" t="s">
        <v>695</v>
      </c>
      <c r="M73" s="932" t="s">
        <v>183</v>
      </c>
      <c r="N73" s="923"/>
      <c r="O73" s="923"/>
      <c r="P73" s="923" t="s">
        <v>555</v>
      </c>
      <c r="Q73" s="921" t="s">
        <v>696</v>
      </c>
      <c r="R73" s="926">
        <v>8167</v>
      </c>
      <c r="S73" s="926">
        <v>6559</v>
      </c>
      <c r="T73" s="923" t="s">
        <v>697</v>
      </c>
      <c r="U73" s="938"/>
      <c r="V73" s="923" t="s">
        <v>698</v>
      </c>
      <c r="W73" s="921" t="s">
        <v>314</v>
      </c>
      <c r="X73" s="927">
        <v>1</v>
      </c>
      <c r="Y73" s="926">
        <v>141023</v>
      </c>
      <c r="Z73" s="939"/>
      <c r="AA73" s="940"/>
      <c r="AB73" s="939"/>
      <c r="AC73" s="929">
        <v>141023</v>
      </c>
      <c r="AD73" s="929"/>
      <c r="AE73" s="929">
        <v>141023</v>
      </c>
      <c r="AF73" s="928">
        <v>3</v>
      </c>
      <c r="AG73" s="874">
        <f t="shared" si="18"/>
        <v>29879.268292682929</v>
      </c>
      <c r="AH73" s="902">
        <f t="shared" ref="AH73:AH136" si="23">AF73*R73</f>
        <v>24501</v>
      </c>
      <c r="AI73" s="902">
        <f t="shared" si="20"/>
        <v>5378.2682926829293</v>
      </c>
      <c r="AJ73" s="874">
        <f t="shared" si="19"/>
        <v>29879.268292682929</v>
      </c>
    </row>
    <row r="74" spans="1:36" s="930" customFormat="1" ht="26.1" customHeight="1">
      <c r="A74" s="919" t="s">
        <v>699</v>
      </c>
      <c r="B74" s="920" t="s">
        <v>700</v>
      </c>
      <c r="C74" s="921" t="s">
        <v>701</v>
      </c>
      <c r="D74" s="942" t="s">
        <v>694</v>
      </c>
      <c r="E74" s="920" t="s">
        <v>525</v>
      </c>
      <c r="F74" s="923" t="s">
        <v>440</v>
      </c>
      <c r="G74" s="921" t="s">
        <v>183</v>
      </c>
      <c r="H74" s="923"/>
      <c r="I74" s="923"/>
      <c r="J74" s="924">
        <v>0.32</v>
      </c>
      <c r="K74" s="921" t="s">
        <v>164</v>
      </c>
      <c r="L74" s="924" t="s">
        <v>247</v>
      </c>
      <c r="M74" s="932" t="s">
        <v>183</v>
      </c>
      <c r="N74" s="923"/>
      <c r="O74" s="923"/>
      <c r="P74" s="923" t="s">
        <v>702</v>
      </c>
      <c r="Q74" s="921" t="s">
        <v>703</v>
      </c>
      <c r="R74" s="926">
        <v>8704</v>
      </c>
      <c r="S74" s="926">
        <v>7056</v>
      </c>
      <c r="T74" s="923" t="s">
        <v>704</v>
      </c>
      <c r="U74" s="938"/>
      <c r="V74" s="923" t="s">
        <v>705</v>
      </c>
      <c r="W74" s="921" t="s">
        <v>314</v>
      </c>
      <c r="X74" s="927">
        <v>1</v>
      </c>
      <c r="Y74" s="926">
        <v>183444</v>
      </c>
      <c r="Z74" s="939"/>
      <c r="AA74" s="940"/>
      <c r="AB74" s="939"/>
      <c r="AC74" s="929">
        <v>183444</v>
      </c>
      <c r="AD74" s="929"/>
      <c r="AE74" s="929">
        <v>183444</v>
      </c>
      <c r="AF74" s="928">
        <v>3</v>
      </c>
      <c r="AG74" s="874">
        <f t="shared" si="18"/>
        <v>31843.90243902439</v>
      </c>
      <c r="AH74" s="902">
        <f t="shared" si="23"/>
        <v>26112</v>
      </c>
      <c r="AI74" s="902">
        <f t="shared" si="20"/>
        <v>5731.9024390243903</v>
      </c>
      <c r="AJ74" s="874">
        <f t="shared" si="19"/>
        <v>31843.90243902439</v>
      </c>
    </row>
    <row r="75" spans="1:36" s="930" customFormat="1" ht="42" customHeight="1">
      <c r="A75" s="919" t="s">
        <v>706</v>
      </c>
      <c r="B75" s="920" t="s">
        <v>707</v>
      </c>
      <c r="C75" s="921" t="s">
        <v>708</v>
      </c>
      <c r="D75" s="942" t="s">
        <v>709</v>
      </c>
      <c r="E75" s="920" t="s">
        <v>710</v>
      </c>
      <c r="F75" s="923" t="s">
        <v>131</v>
      </c>
      <c r="G75" s="921" t="s">
        <v>711</v>
      </c>
      <c r="H75" s="923">
        <v>0.4</v>
      </c>
      <c r="I75" s="923" t="s">
        <v>712</v>
      </c>
      <c r="J75" s="924">
        <v>0.16</v>
      </c>
      <c r="K75" s="921" t="s">
        <v>132</v>
      </c>
      <c r="L75" s="924"/>
      <c r="M75" s="932"/>
      <c r="N75" s="923"/>
      <c r="O75" s="923"/>
      <c r="P75" s="923" t="s">
        <v>145</v>
      </c>
      <c r="Q75" s="921" t="s">
        <v>713</v>
      </c>
      <c r="R75" s="926">
        <v>6929</v>
      </c>
      <c r="S75" s="926">
        <v>6371</v>
      </c>
      <c r="T75" s="923" t="s">
        <v>597</v>
      </c>
      <c r="U75" s="938"/>
      <c r="V75" s="923" t="s">
        <v>714</v>
      </c>
      <c r="W75" s="921" t="s">
        <v>176</v>
      </c>
      <c r="X75" s="927">
        <v>1</v>
      </c>
      <c r="Y75" s="926"/>
      <c r="Z75" s="939"/>
      <c r="AA75" s="940">
        <v>278793</v>
      </c>
      <c r="AB75" s="939"/>
      <c r="AC75" s="929">
        <v>278793</v>
      </c>
      <c r="AD75" s="929">
        <v>20786</v>
      </c>
      <c r="AE75" s="929">
        <v>258007</v>
      </c>
      <c r="AF75" s="928">
        <v>0</v>
      </c>
      <c r="AG75" s="874">
        <f t="shared" si="18"/>
        <v>0</v>
      </c>
      <c r="AH75" s="902">
        <f t="shared" si="23"/>
        <v>0</v>
      </c>
      <c r="AI75" s="902">
        <f t="shared" si="20"/>
        <v>0</v>
      </c>
      <c r="AJ75" s="874">
        <f t="shared" si="19"/>
        <v>-20786</v>
      </c>
    </row>
    <row r="76" spans="1:36" s="930" customFormat="1" ht="26.1" customHeight="1">
      <c r="A76" s="919" t="s">
        <v>715</v>
      </c>
      <c r="B76" s="920" t="s">
        <v>716</v>
      </c>
      <c r="C76" s="921" t="s">
        <v>717</v>
      </c>
      <c r="D76" s="942" t="s">
        <v>718</v>
      </c>
      <c r="E76" s="920" t="s">
        <v>719</v>
      </c>
      <c r="F76" s="923" t="s">
        <v>440</v>
      </c>
      <c r="G76" s="921" t="s">
        <v>224</v>
      </c>
      <c r="H76" s="923"/>
      <c r="I76" s="923"/>
      <c r="J76" s="924"/>
      <c r="K76" s="921"/>
      <c r="L76" s="924">
        <v>0.09</v>
      </c>
      <c r="M76" s="932" t="s">
        <v>224</v>
      </c>
      <c r="N76" s="923"/>
      <c r="O76" s="923"/>
      <c r="P76" s="923" t="s">
        <v>585</v>
      </c>
      <c r="Q76" s="921" t="s">
        <v>720</v>
      </c>
      <c r="R76" s="926">
        <v>6594</v>
      </c>
      <c r="S76" s="926">
        <v>5535</v>
      </c>
      <c r="T76" s="923" t="s">
        <v>591</v>
      </c>
      <c r="U76" s="938"/>
      <c r="V76" s="923" t="s">
        <v>721</v>
      </c>
      <c r="W76" s="921" t="s">
        <v>176</v>
      </c>
      <c r="X76" s="927">
        <v>1</v>
      </c>
      <c r="Y76" s="926"/>
      <c r="Z76" s="939"/>
      <c r="AA76" s="940">
        <v>285445</v>
      </c>
      <c r="AB76" s="939"/>
      <c r="AC76" s="929">
        <v>285445</v>
      </c>
      <c r="AD76" s="929">
        <v>19782</v>
      </c>
      <c r="AE76" s="929">
        <v>265663</v>
      </c>
      <c r="AF76" s="928">
        <v>0</v>
      </c>
      <c r="AG76" s="874">
        <f t="shared" si="18"/>
        <v>0</v>
      </c>
      <c r="AH76" s="902">
        <f t="shared" si="23"/>
        <v>0</v>
      </c>
      <c r="AI76" s="902">
        <f t="shared" si="20"/>
        <v>0</v>
      </c>
      <c r="AJ76" s="874">
        <f t="shared" si="19"/>
        <v>-19782</v>
      </c>
    </row>
    <row r="77" spans="1:36" s="930" customFormat="1" ht="26.1" customHeight="1">
      <c r="A77" s="919" t="s">
        <v>722</v>
      </c>
      <c r="B77" s="920" t="s">
        <v>723</v>
      </c>
      <c r="C77" s="921">
        <v>24740</v>
      </c>
      <c r="D77" s="942" t="s">
        <v>724</v>
      </c>
      <c r="E77" s="920" t="s">
        <v>725</v>
      </c>
      <c r="F77" s="923" t="s">
        <v>726</v>
      </c>
      <c r="G77" s="921" t="s">
        <v>183</v>
      </c>
      <c r="H77" s="923" t="s">
        <v>727</v>
      </c>
      <c r="I77" s="923" t="s">
        <v>728</v>
      </c>
      <c r="J77" s="924" t="s">
        <v>729</v>
      </c>
      <c r="K77" s="921" t="s">
        <v>659</v>
      </c>
      <c r="L77" s="924">
        <v>0.13</v>
      </c>
      <c r="M77" s="932" t="s">
        <v>183</v>
      </c>
      <c r="N77" s="923"/>
      <c r="O77" s="923"/>
      <c r="P77" s="923" t="s">
        <v>730</v>
      </c>
      <c r="Q77" s="921" t="s">
        <v>731</v>
      </c>
      <c r="R77" s="926">
        <v>9023</v>
      </c>
      <c r="S77" s="926">
        <v>7501</v>
      </c>
      <c r="T77" s="923" t="s">
        <v>137</v>
      </c>
      <c r="U77" s="938"/>
      <c r="V77" s="923" t="s">
        <v>732</v>
      </c>
      <c r="W77" s="921" t="s">
        <v>176</v>
      </c>
      <c r="X77" s="927">
        <v>1</v>
      </c>
      <c r="Y77" s="926">
        <v>151895</v>
      </c>
      <c r="Z77" s="939"/>
      <c r="AA77" s="940"/>
      <c r="AB77" s="939"/>
      <c r="AC77" s="929">
        <v>151895</v>
      </c>
      <c r="AD77" s="929"/>
      <c r="AE77" s="929">
        <v>151895</v>
      </c>
      <c r="AF77" s="928">
        <v>0</v>
      </c>
      <c r="AG77" s="874">
        <f t="shared" si="18"/>
        <v>0</v>
      </c>
      <c r="AH77" s="902">
        <f t="shared" si="23"/>
        <v>0</v>
      </c>
      <c r="AI77" s="902">
        <f t="shared" si="20"/>
        <v>0</v>
      </c>
      <c r="AJ77" s="874">
        <f t="shared" si="19"/>
        <v>0</v>
      </c>
    </row>
    <row r="78" spans="1:36" s="930" customFormat="1" ht="26.1" customHeight="1">
      <c r="A78" s="919" t="s">
        <v>733</v>
      </c>
      <c r="B78" s="920" t="s">
        <v>734</v>
      </c>
      <c r="C78" s="921" t="s">
        <v>735</v>
      </c>
      <c r="D78" s="942" t="s">
        <v>736</v>
      </c>
      <c r="E78" s="920" t="s">
        <v>737</v>
      </c>
      <c r="F78" s="923" t="s">
        <v>738</v>
      </c>
      <c r="G78" s="921" t="s">
        <v>314</v>
      </c>
      <c r="H78" s="923">
        <v>0.2</v>
      </c>
      <c r="I78" s="923" t="s">
        <v>739</v>
      </c>
      <c r="J78" s="924">
        <v>0.3</v>
      </c>
      <c r="K78" s="921">
        <v>43709</v>
      </c>
      <c r="L78" s="924">
        <v>0.06</v>
      </c>
      <c r="M78" s="932" t="s">
        <v>314</v>
      </c>
      <c r="N78" s="923"/>
      <c r="O78" s="923"/>
      <c r="P78" s="923" t="s">
        <v>740</v>
      </c>
      <c r="Q78" s="921" t="s">
        <v>741</v>
      </c>
      <c r="R78" s="926">
        <v>10612</v>
      </c>
      <c r="S78" s="926">
        <v>8429</v>
      </c>
      <c r="T78" s="923" t="s">
        <v>611</v>
      </c>
      <c r="U78" s="938"/>
      <c r="V78" s="923" t="s">
        <v>742</v>
      </c>
      <c r="W78" s="921" t="s">
        <v>176</v>
      </c>
      <c r="X78" s="927">
        <v>1</v>
      </c>
      <c r="Y78" s="926">
        <v>153838</v>
      </c>
      <c r="Z78" s="939"/>
      <c r="AA78" s="940"/>
      <c r="AB78" s="939"/>
      <c r="AC78" s="929">
        <v>153838</v>
      </c>
      <c r="AD78" s="929"/>
      <c r="AE78" s="929">
        <v>153838</v>
      </c>
      <c r="AF78" s="928">
        <v>0</v>
      </c>
      <c r="AG78" s="874">
        <f t="shared" si="18"/>
        <v>0</v>
      </c>
      <c r="AH78" s="902">
        <f t="shared" si="23"/>
        <v>0</v>
      </c>
      <c r="AI78" s="902">
        <f t="shared" si="20"/>
        <v>0</v>
      </c>
      <c r="AJ78" s="874">
        <f t="shared" si="19"/>
        <v>0</v>
      </c>
    </row>
    <row r="79" spans="1:36" s="930" customFormat="1" ht="26.1" customHeight="1">
      <c r="A79" s="919" t="s">
        <v>743</v>
      </c>
      <c r="B79" s="920" t="s">
        <v>744</v>
      </c>
      <c r="C79" s="921">
        <v>22905</v>
      </c>
      <c r="D79" s="942" t="s">
        <v>542</v>
      </c>
      <c r="E79" s="920" t="s">
        <v>737</v>
      </c>
      <c r="F79" s="923" t="s">
        <v>616</v>
      </c>
      <c r="G79" s="921" t="s">
        <v>139</v>
      </c>
      <c r="H79" s="923">
        <v>0.2</v>
      </c>
      <c r="I79" s="923" t="s">
        <v>745</v>
      </c>
      <c r="J79" s="924">
        <v>0.33</v>
      </c>
      <c r="K79" s="921" t="s">
        <v>164</v>
      </c>
      <c r="L79" s="924">
        <v>0.12</v>
      </c>
      <c r="M79" s="932" t="s">
        <v>139</v>
      </c>
      <c r="N79" s="923"/>
      <c r="O79" s="923"/>
      <c r="P79" s="923" t="s">
        <v>746</v>
      </c>
      <c r="Q79" s="921" t="s">
        <v>249</v>
      </c>
      <c r="R79" s="926">
        <v>9011</v>
      </c>
      <c r="S79" s="926">
        <v>7533</v>
      </c>
      <c r="T79" s="923" t="s">
        <v>747</v>
      </c>
      <c r="U79" s="938"/>
      <c r="V79" s="923" t="s">
        <v>408</v>
      </c>
      <c r="W79" s="921" t="s">
        <v>176</v>
      </c>
      <c r="X79" s="927">
        <v>1</v>
      </c>
      <c r="Y79" s="926">
        <v>156304</v>
      </c>
      <c r="Z79" s="939"/>
      <c r="AA79" s="940"/>
      <c r="AB79" s="939"/>
      <c r="AC79" s="929">
        <v>156304</v>
      </c>
      <c r="AD79" s="929"/>
      <c r="AE79" s="929">
        <v>156304</v>
      </c>
      <c r="AF79" s="928">
        <v>0</v>
      </c>
      <c r="AG79" s="874">
        <f t="shared" si="18"/>
        <v>0</v>
      </c>
      <c r="AH79" s="902">
        <f t="shared" si="23"/>
        <v>0</v>
      </c>
      <c r="AI79" s="902">
        <f t="shared" si="20"/>
        <v>0</v>
      </c>
      <c r="AJ79" s="874">
        <f t="shared" si="19"/>
        <v>0</v>
      </c>
    </row>
    <row r="80" spans="1:36" s="930" customFormat="1" ht="26.1" customHeight="1">
      <c r="A80" s="919" t="s">
        <v>748</v>
      </c>
      <c r="B80" s="920" t="s">
        <v>749</v>
      </c>
      <c r="C80" s="921">
        <v>24523</v>
      </c>
      <c r="D80" s="942" t="s">
        <v>736</v>
      </c>
      <c r="E80" s="920" t="s">
        <v>750</v>
      </c>
      <c r="F80" s="923" t="s">
        <v>258</v>
      </c>
      <c r="G80" s="921" t="s">
        <v>217</v>
      </c>
      <c r="H80" s="923"/>
      <c r="I80" s="923"/>
      <c r="J80" s="924">
        <v>0.22</v>
      </c>
      <c r="K80" s="921" t="s">
        <v>479</v>
      </c>
      <c r="L80" s="924"/>
      <c r="M80" s="932"/>
      <c r="N80" s="923"/>
      <c r="O80" s="923"/>
      <c r="P80" s="923" t="s">
        <v>261</v>
      </c>
      <c r="Q80" s="921" t="s">
        <v>262</v>
      </c>
      <c r="R80" s="926">
        <v>7380</v>
      </c>
      <c r="S80" s="926">
        <v>5969</v>
      </c>
      <c r="T80" s="923" t="s">
        <v>751</v>
      </c>
      <c r="U80" s="938"/>
      <c r="V80" s="923" t="s">
        <v>752</v>
      </c>
      <c r="W80" s="921" t="s">
        <v>176</v>
      </c>
      <c r="X80" s="927">
        <v>1</v>
      </c>
      <c r="Y80" s="926">
        <v>83569</v>
      </c>
      <c r="Z80" s="939"/>
      <c r="AA80" s="940"/>
      <c r="AB80" s="939"/>
      <c r="AC80" s="929">
        <v>83569</v>
      </c>
      <c r="AD80" s="929"/>
      <c r="AE80" s="929">
        <v>83569</v>
      </c>
      <c r="AF80" s="928">
        <v>0</v>
      </c>
      <c r="AG80" s="874">
        <f t="shared" si="18"/>
        <v>0</v>
      </c>
      <c r="AH80" s="902">
        <f t="shared" si="23"/>
        <v>0</v>
      </c>
      <c r="AI80" s="902">
        <f t="shared" si="20"/>
        <v>0</v>
      </c>
      <c r="AJ80" s="874">
        <f t="shared" si="19"/>
        <v>0</v>
      </c>
    </row>
    <row r="81" spans="1:36" s="930" customFormat="1" ht="26.1" customHeight="1">
      <c r="A81" s="919" t="s">
        <v>753</v>
      </c>
      <c r="B81" s="920" t="s">
        <v>754</v>
      </c>
      <c r="C81" s="921" t="s">
        <v>755</v>
      </c>
      <c r="D81" s="942" t="s">
        <v>601</v>
      </c>
      <c r="E81" s="920" t="s">
        <v>750</v>
      </c>
      <c r="F81" s="923" t="s">
        <v>569</v>
      </c>
      <c r="G81" s="921" t="s">
        <v>183</v>
      </c>
      <c r="H81" s="923"/>
      <c r="I81" s="923"/>
      <c r="J81" s="924">
        <v>0.25</v>
      </c>
      <c r="K81" s="921" t="s">
        <v>170</v>
      </c>
      <c r="L81" s="924"/>
      <c r="M81" s="932"/>
      <c r="N81" s="923"/>
      <c r="O81" s="923"/>
      <c r="P81" s="923" t="s">
        <v>570</v>
      </c>
      <c r="Q81" s="921" t="s">
        <v>571</v>
      </c>
      <c r="R81" s="926">
        <v>8015</v>
      </c>
      <c r="S81" s="926">
        <v>6453</v>
      </c>
      <c r="T81" s="923" t="s">
        <v>756</v>
      </c>
      <c r="U81" s="938"/>
      <c r="V81" s="923" t="s">
        <v>757</v>
      </c>
      <c r="W81" s="921" t="s">
        <v>176</v>
      </c>
      <c r="X81" s="927">
        <v>1</v>
      </c>
      <c r="Y81" s="926">
        <v>125850</v>
      </c>
      <c r="Z81" s="939"/>
      <c r="AA81" s="940"/>
      <c r="AB81" s="939"/>
      <c r="AC81" s="929">
        <v>125850</v>
      </c>
      <c r="AD81" s="929"/>
      <c r="AE81" s="929">
        <v>125850</v>
      </c>
      <c r="AF81" s="928">
        <v>0</v>
      </c>
      <c r="AG81" s="874">
        <f t="shared" si="18"/>
        <v>0</v>
      </c>
      <c r="AH81" s="902">
        <f t="shared" si="23"/>
        <v>0</v>
      </c>
      <c r="AI81" s="902">
        <f t="shared" si="20"/>
        <v>0</v>
      </c>
      <c r="AJ81" s="874">
        <f t="shared" si="19"/>
        <v>0</v>
      </c>
    </row>
    <row r="82" spans="1:36" s="930" customFormat="1" ht="26.1" customHeight="1">
      <c r="A82" s="919" t="s">
        <v>758</v>
      </c>
      <c r="B82" s="920" t="s">
        <v>759</v>
      </c>
      <c r="C82" s="921">
        <v>23507</v>
      </c>
      <c r="D82" s="942" t="s">
        <v>760</v>
      </c>
      <c r="E82" s="920" t="s">
        <v>761</v>
      </c>
      <c r="F82" s="923" t="s">
        <v>624</v>
      </c>
      <c r="G82" s="921" t="s">
        <v>170</v>
      </c>
      <c r="H82" s="923">
        <v>0.25</v>
      </c>
      <c r="I82" s="923">
        <v>38261</v>
      </c>
      <c r="J82" s="924">
        <v>0.36</v>
      </c>
      <c r="K82" s="921" t="s">
        <v>314</v>
      </c>
      <c r="L82" s="924">
        <v>0.05</v>
      </c>
      <c r="M82" s="932" t="s">
        <v>170</v>
      </c>
      <c r="N82" s="923"/>
      <c r="O82" s="923"/>
      <c r="P82" s="923" t="s">
        <v>625</v>
      </c>
      <c r="Q82" s="921" t="s">
        <v>762</v>
      </c>
      <c r="R82" s="926">
        <v>10911</v>
      </c>
      <c r="S82" s="926">
        <v>9943</v>
      </c>
      <c r="T82" s="923" t="s">
        <v>763</v>
      </c>
      <c r="U82" s="938"/>
      <c r="V82" s="923" t="s">
        <v>764</v>
      </c>
      <c r="W82" s="921" t="s">
        <v>176</v>
      </c>
      <c r="X82" s="927">
        <v>1</v>
      </c>
      <c r="Y82" s="926">
        <v>235508</v>
      </c>
      <c r="Z82" s="939"/>
      <c r="AA82" s="940"/>
      <c r="AB82" s="939"/>
      <c r="AC82" s="929">
        <v>235508</v>
      </c>
      <c r="AD82" s="929"/>
      <c r="AE82" s="929">
        <v>235508</v>
      </c>
      <c r="AF82" s="928">
        <v>0</v>
      </c>
      <c r="AG82" s="874">
        <f t="shared" si="18"/>
        <v>0</v>
      </c>
      <c r="AH82" s="902">
        <f t="shared" si="23"/>
        <v>0</v>
      </c>
      <c r="AI82" s="902">
        <f t="shared" si="20"/>
        <v>0</v>
      </c>
      <c r="AJ82" s="874">
        <f t="shared" si="19"/>
        <v>0</v>
      </c>
    </row>
    <row r="83" spans="1:36" s="930" customFormat="1" ht="26.1" customHeight="1">
      <c r="A83" s="919" t="s">
        <v>765</v>
      </c>
      <c r="B83" s="920" t="s">
        <v>766</v>
      </c>
      <c r="C83" s="921">
        <v>25319</v>
      </c>
      <c r="D83" s="942" t="s">
        <v>567</v>
      </c>
      <c r="E83" s="920" t="s">
        <v>767</v>
      </c>
      <c r="F83" s="923" t="s">
        <v>169</v>
      </c>
      <c r="G83" s="921" t="s">
        <v>314</v>
      </c>
      <c r="H83" s="923"/>
      <c r="I83" s="923"/>
      <c r="J83" s="924">
        <v>0.27</v>
      </c>
      <c r="K83" s="921" t="s">
        <v>164</v>
      </c>
      <c r="L83" s="924">
        <v>0.11</v>
      </c>
      <c r="M83" s="932" t="s">
        <v>314</v>
      </c>
      <c r="N83" s="923"/>
      <c r="O83" s="923"/>
      <c r="P83" s="923" t="s">
        <v>768</v>
      </c>
      <c r="Q83" s="921" t="s">
        <v>720</v>
      </c>
      <c r="R83" s="926">
        <v>8528</v>
      </c>
      <c r="S83" s="926">
        <v>7085</v>
      </c>
      <c r="T83" s="923" t="s">
        <v>769</v>
      </c>
      <c r="U83" s="938"/>
      <c r="V83" s="923" t="s">
        <v>770</v>
      </c>
      <c r="W83" s="921" t="s">
        <v>176</v>
      </c>
      <c r="X83" s="927">
        <v>1</v>
      </c>
      <c r="Y83" s="926">
        <v>161193</v>
      </c>
      <c r="Z83" s="939"/>
      <c r="AA83" s="940"/>
      <c r="AB83" s="939"/>
      <c r="AC83" s="929">
        <v>161193</v>
      </c>
      <c r="AD83" s="929"/>
      <c r="AE83" s="929">
        <v>161193</v>
      </c>
      <c r="AF83" s="928">
        <v>0</v>
      </c>
      <c r="AG83" s="874">
        <f t="shared" si="18"/>
        <v>0</v>
      </c>
      <c r="AH83" s="902">
        <f t="shared" si="23"/>
        <v>0</v>
      </c>
      <c r="AI83" s="902">
        <f t="shared" si="20"/>
        <v>0</v>
      </c>
      <c r="AJ83" s="874">
        <f t="shared" si="19"/>
        <v>0</v>
      </c>
    </row>
    <row r="84" spans="1:36" s="930" customFormat="1" ht="26.1" customHeight="1">
      <c r="A84" s="919" t="s">
        <v>771</v>
      </c>
      <c r="B84" s="920" t="s">
        <v>772</v>
      </c>
      <c r="C84" s="921">
        <v>23670</v>
      </c>
      <c r="D84" s="942" t="s">
        <v>533</v>
      </c>
      <c r="E84" s="920" t="s">
        <v>773</v>
      </c>
      <c r="F84" s="923" t="s">
        <v>388</v>
      </c>
      <c r="G84" s="921" t="s">
        <v>564</v>
      </c>
      <c r="H84" s="923"/>
      <c r="I84" s="923"/>
      <c r="J84" s="924">
        <v>0.3</v>
      </c>
      <c r="K84" s="921" t="s">
        <v>479</v>
      </c>
      <c r="L84" s="924">
        <v>0.1</v>
      </c>
      <c r="M84" s="932" t="s">
        <v>564</v>
      </c>
      <c r="N84" s="923"/>
      <c r="O84" s="923"/>
      <c r="P84" s="923" t="s">
        <v>609</v>
      </c>
      <c r="Q84" s="921" t="s">
        <v>619</v>
      </c>
      <c r="R84" s="926">
        <v>8650</v>
      </c>
      <c r="S84" s="926">
        <v>7067</v>
      </c>
      <c r="T84" s="923" t="s">
        <v>591</v>
      </c>
      <c r="U84" s="938"/>
      <c r="V84" s="923" t="s">
        <v>774</v>
      </c>
      <c r="W84" s="921" t="s">
        <v>176</v>
      </c>
      <c r="X84" s="927">
        <v>1</v>
      </c>
      <c r="Y84" s="926">
        <v>176684</v>
      </c>
      <c r="Z84" s="939"/>
      <c r="AA84" s="940"/>
      <c r="AB84" s="939"/>
      <c r="AC84" s="929">
        <v>176684</v>
      </c>
      <c r="AD84" s="929"/>
      <c r="AE84" s="929">
        <v>176684</v>
      </c>
      <c r="AF84" s="928">
        <v>0</v>
      </c>
      <c r="AG84" s="874">
        <f t="shared" si="18"/>
        <v>0</v>
      </c>
      <c r="AH84" s="902">
        <f t="shared" si="23"/>
        <v>0</v>
      </c>
      <c r="AI84" s="902">
        <f t="shared" si="20"/>
        <v>0</v>
      </c>
      <c r="AJ84" s="874">
        <f t="shared" si="19"/>
        <v>0</v>
      </c>
    </row>
    <row r="85" spans="1:36" s="930" customFormat="1" ht="36.75" customHeight="1">
      <c r="A85" s="919" t="s">
        <v>775</v>
      </c>
      <c r="B85" s="920" t="s">
        <v>776</v>
      </c>
      <c r="C85" s="921" t="s">
        <v>777</v>
      </c>
      <c r="D85" s="942" t="s">
        <v>601</v>
      </c>
      <c r="E85" s="920" t="s">
        <v>778</v>
      </c>
      <c r="F85" s="923" t="s">
        <v>505</v>
      </c>
      <c r="G85" s="921" t="s">
        <v>183</v>
      </c>
      <c r="H85" s="923"/>
      <c r="I85" s="923"/>
      <c r="J85" s="924">
        <v>0.37</v>
      </c>
      <c r="K85" s="921" t="s">
        <v>659</v>
      </c>
      <c r="L85" s="924"/>
      <c r="M85" s="932"/>
      <c r="N85" s="923"/>
      <c r="O85" s="923"/>
      <c r="P85" s="923" t="s">
        <v>507</v>
      </c>
      <c r="Q85" s="921" t="s">
        <v>779</v>
      </c>
      <c r="R85" s="926">
        <v>9982</v>
      </c>
      <c r="S85" s="926">
        <v>8159</v>
      </c>
      <c r="T85" s="923" t="s">
        <v>780</v>
      </c>
      <c r="U85" s="938"/>
      <c r="V85" s="923" t="s">
        <v>781</v>
      </c>
      <c r="W85" s="921" t="s">
        <v>176</v>
      </c>
      <c r="X85" s="927">
        <v>1</v>
      </c>
      <c r="Y85" s="926">
        <v>201941</v>
      </c>
      <c r="Z85" s="939"/>
      <c r="AA85" s="940"/>
      <c r="AB85" s="939"/>
      <c r="AC85" s="929">
        <v>201941</v>
      </c>
      <c r="AD85" s="929"/>
      <c r="AE85" s="929">
        <v>201941</v>
      </c>
      <c r="AF85" s="928">
        <v>0</v>
      </c>
      <c r="AG85" s="874">
        <f t="shared" si="18"/>
        <v>0</v>
      </c>
      <c r="AH85" s="902">
        <f t="shared" si="23"/>
        <v>0</v>
      </c>
      <c r="AI85" s="902">
        <f t="shared" si="20"/>
        <v>0</v>
      </c>
      <c r="AJ85" s="874">
        <f t="shared" si="19"/>
        <v>0</v>
      </c>
    </row>
    <row r="86" spans="1:36" s="930" customFormat="1" ht="35.25" customHeight="1">
      <c r="A86" s="919" t="s">
        <v>782</v>
      </c>
      <c r="B86" s="920" t="s">
        <v>783</v>
      </c>
      <c r="C86" s="921">
        <v>23002</v>
      </c>
      <c r="D86" s="942" t="s">
        <v>784</v>
      </c>
      <c r="E86" s="920" t="s">
        <v>778</v>
      </c>
      <c r="F86" s="923" t="s">
        <v>505</v>
      </c>
      <c r="G86" s="921" t="s">
        <v>265</v>
      </c>
      <c r="H86" s="923"/>
      <c r="I86" s="923"/>
      <c r="J86" s="924">
        <v>0.25</v>
      </c>
      <c r="K86" s="921" t="s">
        <v>479</v>
      </c>
      <c r="L86" s="924"/>
      <c r="M86" s="932"/>
      <c r="N86" s="923"/>
      <c r="O86" s="923"/>
      <c r="P86" s="923" t="s">
        <v>507</v>
      </c>
      <c r="Q86" s="921" t="s">
        <v>785</v>
      </c>
      <c r="R86" s="926">
        <v>9107</v>
      </c>
      <c r="S86" s="926">
        <v>7051</v>
      </c>
      <c r="T86" s="923" t="s">
        <v>786</v>
      </c>
      <c r="U86" s="938"/>
      <c r="V86" s="923" t="s">
        <v>787</v>
      </c>
      <c r="W86" s="921" t="s">
        <v>176</v>
      </c>
      <c r="X86" s="927">
        <v>1</v>
      </c>
      <c r="Y86" s="926">
        <v>123393</v>
      </c>
      <c r="Z86" s="939"/>
      <c r="AA86" s="940"/>
      <c r="AB86" s="939"/>
      <c r="AC86" s="929">
        <v>123393</v>
      </c>
      <c r="AD86" s="929"/>
      <c r="AE86" s="929">
        <v>123393</v>
      </c>
      <c r="AF86" s="928">
        <v>0</v>
      </c>
      <c r="AG86" s="874">
        <f t="shared" si="18"/>
        <v>0</v>
      </c>
      <c r="AH86" s="902">
        <f t="shared" si="23"/>
        <v>0</v>
      </c>
      <c r="AI86" s="902">
        <f t="shared" si="20"/>
        <v>0</v>
      </c>
      <c r="AJ86" s="874">
        <f t="shared" si="19"/>
        <v>0</v>
      </c>
    </row>
    <row r="87" spans="1:36" s="930" customFormat="1" ht="26.1" customHeight="1">
      <c r="A87" s="919" t="s">
        <v>788</v>
      </c>
      <c r="B87" s="920" t="s">
        <v>789</v>
      </c>
      <c r="C87" s="921">
        <v>22934</v>
      </c>
      <c r="D87" s="942" t="s">
        <v>790</v>
      </c>
      <c r="E87" s="920" t="s">
        <v>791</v>
      </c>
      <c r="F87" s="923" t="s">
        <v>792</v>
      </c>
      <c r="G87" s="921" t="s">
        <v>564</v>
      </c>
      <c r="H87" s="923"/>
      <c r="I87" s="923"/>
      <c r="J87" s="924">
        <v>0.36</v>
      </c>
      <c r="K87" s="921" t="s">
        <v>164</v>
      </c>
      <c r="L87" s="924">
        <v>0.1</v>
      </c>
      <c r="M87" s="932" t="s">
        <v>564</v>
      </c>
      <c r="N87" s="923"/>
      <c r="O87" s="923"/>
      <c r="P87" s="923" t="s">
        <v>793</v>
      </c>
      <c r="Q87" s="921" t="s">
        <v>794</v>
      </c>
      <c r="R87" s="926">
        <v>11495</v>
      </c>
      <c r="S87" s="926">
        <v>9813</v>
      </c>
      <c r="T87" s="923" t="s">
        <v>763</v>
      </c>
      <c r="U87" s="938"/>
      <c r="V87" s="923" t="s">
        <v>795</v>
      </c>
      <c r="W87" s="921" t="s">
        <v>176</v>
      </c>
      <c r="X87" s="927">
        <v>1</v>
      </c>
      <c r="Y87" s="926">
        <v>218343</v>
      </c>
      <c r="Z87" s="939"/>
      <c r="AA87" s="940"/>
      <c r="AB87" s="939"/>
      <c r="AC87" s="929">
        <v>218343</v>
      </c>
      <c r="AD87" s="929"/>
      <c r="AE87" s="929">
        <v>218343</v>
      </c>
      <c r="AF87" s="928">
        <v>0</v>
      </c>
      <c r="AG87" s="874">
        <f t="shared" si="18"/>
        <v>0</v>
      </c>
      <c r="AH87" s="902">
        <f t="shared" si="23"/>
        <v>0</v>
      </c>
      <c r="AI87" s="902">
        <f t="shared" si="20"/>
        <v>0</v>
      </c>
      <c r="AJ87" s="874">
        <f t="shared" si="19"/>
        <v>0</v>
      </c>
    </row>
    <row r="88" spans="1:36" s="930" customFormat="1" ht="26.1" customHeight="1">
      <c r="A88" s="919" t="s">
        <v>796</v>
      </c>
      <c r="B88" s="920" t="s">
        <v>797</v>
      </c>
      <c r="C88" s="921">
        <v>25130</v>
      </c>
      <c r="D88" s="942" t="s">
        <v>798</v>
      </c>
      <c r="E88" s="920" t="s">
        <v>799</v>
      </c>
      <c r="F88" s="923" t="s">
        <v>413</v>
      </c>
      <c r="G88" s="921" t="s">
        <v>564</v>
      </c>
      <c r="H88" s="923"/>
      <c r="I88" s="923"/>
      <c r="J88" s="924">
        <v>0.25</v>
      </c>
      <c r="K88" s="921" t="s">
        <v>170</v>
      </c>
      <c r="L88" s="924">
        <v>7.0000000000000007E-2</v>
      </c>
      <c r="M88" s="932" t="s">
        <v>564</v>
      </c>
      <c r="N88" s="923"/>
      <c r="O88" s="923"/>
      <c r="P88" s="923" t="s">
        <v>379</v>
      </c>
      <c r="Q88" s="921" t="s">
        <v>800</v>
      </c>
      <c r="R88" s="926">
        <v>8091</v>
      </c>
      <c r="S88" s="926">
        <v>6456</v>
      </c>
      <c r="T88" s="923" t="s">
        <v>756</v>
      </c>
      <c r="U88" s="938"/>
      <c r="V88" s="923" t="s">
        <v>801</v>
      </c>
      <c r="W88" s="921" t="s">
        <v>176</v>
      </c>
      <c r="X88" s="927">
        <v>1</v>
      </c>
      <c r="Y88" s="926">
        <v>125899</v>
      </c>
      <c r="Z88" s="939"/>
      <c r="AA88" s="940"/>
      <c r="AB88" s="939"/>
      <c r="AC88" s="929">
        <v>125899</v>
      </c>
      <c r="AD88" s="929"/>
      <c r="AE88" s="929">
        <v>125899</v>
      </c>
      <c r="AF88" s="928">
        <v>0</v>
      </c>
      <c r="AG88" s="874">
        <f t="shared" si="18"/>
        <v>0</v>
      </c>
      <c r="AH88" s="902">
        <f t="shared" si="23"/>
        <v>0</v>
      </c>
      <c r="AI88" s="902">
        <f t="shared" si="20"/>
        <v>0</v>
      </c>
      <c r="AJ88" s="874">
        <f t="shared" si="19"/>
        <v>0</v>
      </c>
    </row>
    <row r="89" spans="1:36" s="930" customFormat="1" ht="26.1" customHeight="1">
      <c r="A89" s="919" t="s">
        <v>802</v>
      </c>
      <c r="B89" s="920" t="s">
        <v>803</v>
      </c>
      <c r="C89" s="921" t="s">
        <v>804</v>
      </c>
      <c r="D89" s="942" t="s">
        <v>805</v>
      </c>
      <c r="E89" s="920" t="s">
        <v>799</v>
      </c>
      <c r="F89" s="923" t="s">
        <v>440</v>
      </c>
      <c r="G89" s="921" t="s">
        <v>564</v>
      </c>
      <c r="H89" s="923"/>
      <c r="I89" s="923"/>
      <c r="J89" s="924">
        <v>0.28999999999999998</v>
      </c>
      <c r="K89" s="921" t="s">
        <v>348</v>
      </c>
      <c r="L89" s="924">
        <v>0.09</v>
      </c>
      <c r="M89" s="932" t="s">
        <v>564</v>
      </c>
      <c r="N89" s="923"/>
      <c r="O89" s="923"/>
      <c r="P89" s="923" t="s">
        <v>679</v>
      </c>
      <c r="Q89" s="921" t="s">
        <v>806</v>
      </c>
      <c r="R89" s="926">
        <v>8506</v>
      </c>
      <c r="S89" s="926">
        <v>6903</v>
      </c>
      <c r="T89" s="923" t="s">
        <v>807</v>
      </c>
      <c r="U89" s="938"/>
      <c r="V89" s="923" t="s">
        <v>419</v>
      </c>
      <c r="W89" s="921" t="s">
        <v>176</v>
      </c>
      <c r="X89" s="927">
        <v>1</v>
      </c>
      <c r="Y89" s="926">
        <v>169135</v>
      </c>
      <c r="Z89" s="939"/>
      <c r="AA89" s="940"/>
      <c r="AB89" s="939"/>
      <c r="AC89" s="929">
        <v>169135</v>
      </c>
      <c r="AD89" s="929"/>
      <c r="AE89" s="929">
        <v>169135</v>
      </c>
      <c r="AF89" s="928">
        <v>0</v>
      </c>
      <c r="AG89" s="874">
        <f t="shared" si="18"/>
        <v>0</v>
      </c>
      <c r="AH89" s="902">
        <f t="shared" si="23"/>
        <v>0</v>
      </c>
      <c r="AI89" s="902">
        <f t="shared" si="20"/>
        <v>0</v>
      </c>
      <c r="AJ89" s="874">
        <f t="shared" si="19"/>
        <v>0</v>
      </c>
    </row>
    <row r="90" spans="1:36" s="930" customFormat="1" ht="26.1" customHeight="1">
      <c r="A90" s="919" t="s">
        <v>808</v>
      </c>
      <c r="B90" s="920" t="s">
        <v>809</v>
      </c>
      <c r="C90" s="921">
        <v>25256</v>
      </c>
      <c r="D90" s="942" t="s">
        <v>798</v>
      </c>
      <c r="E90" s="920" t="s">
        <v>584</v>
      </c>
      <c r="F90" s="923" t="s">
        <v>388</v>
      </c>
      <c r="G90" s="921" t="s">
        <v>314</v>
      </c>
      <c r="H90" s="923"/>
      <c r="I90" s="923"/>
      <c r="J90" s="924">
        <v>0.3</v>
      </c>
      <c r="K90" s="921" t="s">
        <v>479</v>
      </c>
      <c r="L90" s="924">
        <v>0.1</v>
      </c>
      <c r="M90" s="932" t="s">
        <v>314</v>
      </c>
      <c r="N90" s="923"/>
      <c r="O90" s="923"/>
      <c r="P90" s="923" t="s">
        <v>609</v>
      </c>
      <c r="Q90" s="921" t="s">
        <v>720</v>
      </c>
      <c r="R90" s="926">
        <v>8650</v>
      </c>
      <c r="S90" s="926">
        <v>7073</v>
      </c>
      <c r="T90" s="923" t="s">
        <v>591</v>
      </c>
      <c r="U90" s="938"/>
      <c r="V90" s="923" t="s">
        <v>810</v>
      </c>
      <c r="W90" s="921" t="s">
        <v>176</v>
      </c>
      <c r="X90" s="927">
        <v>1</v>
      </c>
      <c r="Y90" s="926">
        <v>169752</v>
      </c>
      <c r="Z90" s="939"/>
      <c r="AA90" s="940"/>
      <c r="AB90" s="939"/>
      <c r="AC90" s="929">
        <v>169752</v>
      </c>
      <c r="AD90" s="929"/>
      <c r="AE90" s="929">
        <v>169752</v>
      </c>
      <c r="AF90" s="928">
        <v>0</v>
      </c>
      <c r="AG90" s="874">
        <f t="shared" si="18"/>
        <v>0</v>
      </c>
      <c r="AH90" s="902">
        <f t="shared" si="23"/>
        <v>0</v>
      </c>
      <c r="AI90" s="902">
        <f t="shared" si="20"/>
        <v>0</v>
      </c>
      <c r="AJ90" s="874">
        <f t="shared" si="19"/>
        <v>0</v>
      </c>
    </row>
    <row r="91" spans="1:36" s="930" customFormat="1" ht="26.1" customHeight="1">
      <c r="A91" s="919" t="s">
        <v>811</v>
      </c>
      <c r="B91" s="920" t="s">
        <v>812</v>
      </c>
      <c r="C91" s="921">
        <v>23333</v>
      </c>
      <c r="D91" s="942" t="s">
        <v>813</v>
      </c>
      <c r="E91" s="920" t="s">
        <v>814</v>
      </c>
      <c r="F91" s="923" t="s">
        <v>815</v>
      </c>
      <c r="G91" s="921" t="s">
        <v>183</v>
      </c>
      <c r="H91" s="923"/>
      <c r="I91" s="923"/>
      <c r="J91" s="924">
        <v>0.34</v>
      </c>
      <c r="K91" s="921" t="s">
        <v>164</v>
      </c>
      <c r="L91" s="924">
        <v>0.13</v>
      </c>
      <c r="M91" s="932" t="s">
        <v>183</v>
      </c>
      <c r="N91" s="923"/>
      <c r="O91" s="923"/>
      <c r="P91" s="923" t="s">
        <v>816</v>
      </c>
      <c r="Q91" s="921" t="s">
        <v>188</v>
      </c>
      <c r="R91" s="926">
        <v>11431</v>
      </c>
      <c r="S91" s="926">
        <v>9449</v>
      </c>
      <c r="T91" s="923" t="s">
        <v>817</v>
      </c>
      <c r="U91" s="938"/>
      <c r="V91" s="923" t="s">
        <v>818</v>
      </c>
      <c r="W91" s="921" t="s">
        <v>176</v>
      </c>
      <c r="X91" s="927">
        <v>1</v>
      </c>
      <c r="Y91" s="926">
        <v>229138</v>
      </c>
      <c r="Z91" s="939"/>
      <c r="AA91" s="940"/>
      <c r="AB91" s="939"/>
      <c r="AC91" s="929">
        <v>229138</v>
      </c>
      <c r="AD91" s="929"/>
      <c r="AE91" s="929">
        <v>229138</v>
      </c>
      <c r="AF91" s="928">
        <v>0</v>
      </c>
      <c r="AG91" s="874">
        <f t="shared" si="18"/>
        <v>0</v>
      </c>
      <c r="AH91" s="902">
        <f t="shared" si="23"/>
        <v>0</v>
      </c>
      <c r="AI91" s="902">
        <f t="shared" si="20"/>
        <v>0</v>
      </c>
      <c r="AJ91" s="874">
        <f t="shared" si="19"/>
        <v>0</v>
      </c>
    </row>
    <row r="92" spans="1:36" s="930" customFormat="1" ht="26.1" customHeight="1">
      <c r="A92" s="919" t="s">
        <v>819</v>
      </c>
      <c r="B92" s="920" t="s">
        <v>820</v>
      </c>
      <c r="C92" s="921">
        <v>24818</v>
      </c>
      <c r="D92" s="942" t="s">
        <v>821</v>
      </c>
      <c r="E92" s="920" t="s">
        <v>822</v>
      </c>
      <c r="F92" s="923" t="s">
        <v>440</v>
      </c>
      <c r="G92" s="921" t="s">
        <v>183</v>
      </c>
      <c r="H92" s="923"/>
      <c r="I92" s="923"/>
      <c r="J92" s="924">
        <v>0.32</v>
      </c>
      <c r="K92" s="921" t="s">
        <v>164</v>
      </c>
      <c r="L92" s="924">
        <v>0.09</v>
      </c>
      <c r="M92" s="932" t="s">
        <v>183</v>
      </c>
      <c r="N92" s="923"/>
      <c r="O92" s="923"/>
      <c r="P92" s="923" t="s">
        <v>585</v>
      </c>
      <c r="Q92" s="921" t="s">
        <v>188</v>
      </c>
      <c r="R92" s="926">
        <v>8704</v>
      </c>
      <c r="S92" s="926">
        <v>7184</v>
      </c>
      <c r="T92" s="923" t="s">
        <v>823</v>
      </c>
      <c r="U92" s="938"/>
      <c r="V92" s="923" t="s">
        <v>824</v>
      </c>
      <c r="W92" s="921" t="s">
        <v>176</v>
      </c>
      <c r="X92" s="927">
        <v>1</v>
      </c>
      <c r="Y92" s="926">
        <v>152667</v>
      </c>
      <c r="Z92" s="939"/>
      <c r="AA92" s="940"/>
      <c r="AB92" s="939"/>
      <c r="AC92" s="929">
        <v>152667</v>
      </c>
      <c r="AD92" s="929"/>
      <c r="AE92" s="929">
        <v>152667</v>
      </c>
      <c r="AF92" s="928">
        <v>0</v>
      </c>
      <c r="AG92" s="874">
        <f t="shared" si="18"/>
        <v>0</v>
      </c>
      <c r="AH92" s="902">
        <f t="shared" si="23"/>
        <v>0</v>
      </c>
      <c r="AI92" s="902">
        <f t="shared" si="20"/>
        <v>0</v>
      </c>
      <c r="AJ92" s="874">
        <f t="shared" si="19"/>
        <v>0</v>
      </c>
    </row>
    <row r="93" spans="1:36" s="930" customFormat="1" ht="26.1" customHeight="1">
      <c r="A93" s="919" t="s">
        <v>825</v>
      </c>
      <c r="B93" s="920" t="s">
        <v>826</v>
      </c>
      <c r="C93" s="921">
        <v>25486</v>
      </c>
      <c r="D93" s="942" t="s">
        <v>827</v>
      </c>
      <c r="E93" s="920" t="s">
        <v>828</v>
      </c>
      <c r="F93" s="923" t="s">
        <v>535</v>
      </c>
      <c r="G93" s="921" t="s">
        <v>564</v>
      </c>
      <c r="H93" s="923"/>
      <c r="I93" s="923"/>
      <c r="J93" s="924">
        <v>0.28999999999999998</v>
      </c>
      <c r="K93" s="921" t="s">
        <v>170</v>
      </c>
      <c r="L93" s="924">
        <v>0.09</v>
      </c>
      <c r="M93" s="932" t="s">
        <v>564</v>
      </c>
      <c r="N93" s="923"/>
      <c r="O93" s="923"/>
      <c r="P93" s="923" t="s">
        <v>679</v>
      </c>
      <c r="Q93" s="921" t="s">
        <v>794</v>
      </c>
      <c r="R93" s="926">
        <v>8506</v>
      </c>
      <c r="S93" s="926"/>
      <c r="T93" s="923" t="s">
        <v>538</v>
      </c>
      <c r="U93" s="938"/>
      <c r="V93" s="923" t="s">
        <v>829</v>
      </c>
      <c r="W93" s="921" t="s">
        <v>176</v>
      </c>
      <c r="X93" s="927">
        <v>1</v>
      </c>
      <c r="Y93" s="926">
        <v>172808</v>
      </c>
      <c r="Z93" s="939"/>
      <c r="AA93" s="940"/>
      <c r="AB93" s="939"/>
      <c r="AC93" s="929">
        <v>172808</v>
      </c>
      <c r="AD93" s="929"/>
      <c r="AE93" s="929">
        <v>172808</v>
      </c>
      <c r="AF93" s="928">
        <v>0</v>
      </c>
      <c r="AG93" s="874">
        <f t="shared" si="18"/>
        <v>0</v>
      </c>
      <c r="AH93" s="902">
        <f t="shared" si="23"/>
        <v>0</v>
      </c>
      <c r="AI93" s="902">
        <f t="shared" si="20"/>
        <v>0</v>
      </c>
      <c r="AJ93" s="874">
        <f t="shared" si="19"/>
        <v>0</v>
      </c>
    </row>
    <row r="94" spans="1:36" s="930" customFormat="1" ht="26.1" customHeight="1">
      <c r="A94" s="919" t="s">
        <v>830</v>
      </c>
      <c r="B94" s="920" t="s">
        <v>831</v>
      </c>
      <c r="C94" s="921">
        <v>22974</v>
      </c>
      <c r="D94" s="942"/>
      <c r="E94" s="920" t="s">
        <v>832</v>
      </c>
      <c r="F94" s="923" t="s">
        <v>833</v>
      </c>
      <c r="G94" s="921" t="s">
        <v>314</v>
      </c>
      <c r="H94" s="923"/>
      <c r="I94" s="923"/>
      <c r="J94" s="924"/>
      <c r="K94" s="921"/>
      <c r="L94" s="924">
        <v>0.1</v>
      </c>
      <c r="M94" s="932" t="s">
        <v>314</v>
      </c>
      <c r="N94" s="923"/>
      <c r="O94" s="923"/>
      <c r="P94" s="923" t="s">
        <v>834</v>
      </c>
      <c r="Q94" s="921" t="s">
        <v>835</v>
      </c>
      <c r="R94" s="926">
        <v>4884</v>
      </c>
      <c r="S94" s="926">
        <v>4064</v>
      </c>
      <c r="T94" s="923" t="s">
        <v>836</v>
      </c>
      <c r="U94" s="938"/>
      <c r="V94" s="923" t="s">
        <v>837</v>
      </c>
      <c r="W94" s="921" t="s">
        <v>176</v>
      </c>
      <c r="X94" s="927">
        <v>1</v>
      </c>
      <c r="Y94" s="926">
        <v>56904</v>
      </c>
      <c r="Z94" s="939"/>
      <c r="AA94" s="940"/>
      <c r="AB94" s="939"/>
      <c r="AC94" s="929">
        <v>56904</v>
      </c>
      <c r="AD94" s="929"/>
      <c r="AE94" s="929">
        <v>56904</v>
      </c>
      <c r="AF94" s="928">
        <v>0</v>
      </c>
      <c r="AG94" s="874">
        <f t="shared" si="18"/>
        <v>0</v>
      </c>
      <c r="AH94" s="902">
        <f t="shared" si="23"/>
        <v>0</v>
      </c>
      <c r="AI94" s="902">
        <f t="shared" si="20"/>
        <v>0</v>
      </c>
      <c r="AJ94" s="874">
        <f t="shared" si="19"/>
        <v>0</v>
      </c>
    </row>
    <row r="95" spans="1:36" s="930" customFormat="1" ht="26.1" customHeight="1">
      <c r="A95" s="919" t="s">
        <v>838</v>
      </c>
      <c r="B95" s="920" t="s">
        <v>839</v>
      </c>
      <c r="C95" s="921" t="s">
        <v>840</v>
      </c>
      <c r="D95" s="942"/>
      <c r="E95" s="920" t="s">
        <v>841</v>
      </c>
      <c r="F95" s="923" t="s">
        <v>842</v>
      </c>
      <c r="G95" s="921" t="s">
        <v>183</v>
      </c>
      <c r="H95" s="923"/>
      <c r="I95" s="923"/>
      <c r="J95" s="924"/>
      <c r="K95" s="921"/>
      <c r="L95" s="924">
        <v>0.09</v>
      </c>
      <c r="M95" s="932" t="s">
        <v>183</v>
      </c>
      <c r="N95" s="923"/>
      <c r="O95" s="923"/>
      <c r="P95" s="923" t="s">
        <v>843</v>
      </c>
      <c r="Q95" s="921" t="s">
        <v>844</v>
      </c>
      <c r="R95" s="926">
        <v>4839</v>
      </c>
      <c r="S95" s="926">
        <v>4059</v>
      </c>
      <c r="T95" s="923" t="s">
        <v>845</v>
      </c>
      <c r="U95" s="938"/>
      <c r="V95" s="923" t="s">
        <v>846</v>
      </c>
      <c r="W95" s="921" t="s">
        <v>176</v>
      </c>
      <c r="X95" s="927">
        <v>1</v>
      </c>
      <c r="Y95" s="926">
        <v>80182</v>
      </c>
      <c r="Z95" s="939"/>
      <c r="AA95" s="940"/>
      <c r="AB95" s="939"/>
      <c r="AC95" s="929">
        <v>80182</v>
      </c>
      <c r="AD95" s="929"/>
      <c r="AE95" s="929">
        <v>80182</v>
      </c>
      <c r="AF95" s="928">
        <v>0</v>
      </c>
      <c r="AG95" s="874">
        <f t="shared" si="18"/>
        <v>0</v>
      </c>
      <c r="AH95" s="902">
        <f t="shared" si="23"/>
        <v>0</v>
      </c>
      <c r="AI95" s="902">
        <f t="shared" si="20"/>
        <v>0</v>
      </c>
      <c r="AJ95" s="874">
        <f t="shared" si="19"/>
        <v>0</v>
      </c>
    </row>
    <row r="96" spans="1:36" s="878" customFormat="1" ht="26.1" customHeight="1">
      <c r="A96" s="919" t="s">
        <v>847</v>
      </c>
      <c r="B96" s="897" t="s">
        <v>848</v>
      </c>
      <c r="C96" s="887" t="s">
        <v>849</v>
      </c>
      <c r="D96" s="881" t="s">
        <v>850</v>
      </c>
      <c r="E96" s="885" t="s">
        <v>851</v>
      </c>
      <c r="F96" s="899"/>
      <c r="G96" s="887"/>
      <c r="H96" s="899"/>
      <c r="I96" s="887"/>
      <c r="J96" s="900"/>
      <c r="K96" s="898"/>
      <c r="L96" s="865"/>
      <c r="M96" s="898"/>
      <c r="N96" s="899"/>
      <c r="O96" s="899"/>
      <c r="P96" s="881"/>
      <c r="Q96" s="890"/>
      <c r="R96" s="872">
        <v>2849</v>
      </c>
      <c r="S96" s="872"/>
      <c r="T96" s="901" t="s">
        <v>852</v>
      </c>
      <c r="U96" s="898"/>
      <c r="V96" s="881" t="s">
        <v>853</v>
      </c>
      <c r="W96" s="887" t="s">
        <v>854</v>
      </c>
      <c r="X96" s="873">
        <v>1</v>
      </c>
      <c r="Y96" s="874"/>
      <c r="Z96" s="874"/>
      <c r="AA96" s="874">
        <v>51216</v>
      </c>
      <c r="AB96" s="874"/>
      <c r="AC96" s="876">
        <f>AA96</f>
        <v>51216</v>
      </c>
      <c r="AD96" s="876">
        <v>8548</v>
      </c>
      <c r="AE96" s="876">
        <f>AC96-AD96</f>
        <v>42668</v>
      </c>
      <c r="AF96" s="874">
        <v>7</v>
      </c>
      <c r="AG96" s="874">
        <f t="shared" si="18"/>
        <v>19943</v>
      </c>
      <c r="AH96" s="874">
        <f t="shared" si="23"/>
        <v>19943</v>
      </c>
      <c r="AI96" s="874">
        <v>0</v>
      </c>
      <c r="AJ96" s="874">
        <f t="shared" si="19"/>
        <v>11395</v>
      </c>
    </row>
    <row r="97" spans="1:36" s="878" customFormat="1" ht="36.75" customHeight="1">
      <c r="A97" s="919" t="s">
        <v>855</v>
      </c>
      <c r="B97" s="897" t="s">
        <v>856</v>
      </c>
      <c r="C97" s="887" t="s">
        <v>857</v>
      </c>
      <c r="D97" s="881" t="s">
        <v>858</v>
      </c>
      <c r="E97" s="885" t="s">
        <v>859</v>
      </c>
      <c r="F97" s="899" t="s">
        <v>860</v>
      </c>
      <c r="G97" s="887" t="s">
        <v>861</v>
      </c>
      <c r="H97" s="899">
        <v>0.2</v>
      </c>
      <c r="I97" s="887" t="s">
        <v>862</v>
      </c>
      <c r="J97" s="900"/>
      <c r="K97" s="898"/>
      <c r="L97" s="865"/>
      <c r="M97" s="898"/>
      <c r="N97" s="899"/>
      <c r="O97" s="899"/>
      <c r="P97" s="881" t="s">
        <v>863</v>
      </c>
      <c r="Q97" s="890" t="s">
        <v>864</v>
      </c>
      <c r="R97" s="872">
        <v>4034</v>
      </c>
      <c r="S97" s="872"/>
      <c r="T97" s="901" t="s">
        <v>865</v>
      </c>
      <c r="U97" s="898"/>
      <c r="V97" s="881" t="s">
        <v>866</v>
      </c>
      <c r="W97" s="887" t="s">
        <v>252</v>
      </c>
      <c r="X97" s="873">
        <v>1</v>
      </c>
      <c r="Y97" s="874">
        <v>94807</v>
      </c>
      <c r="Z97" s="874"/>
      <c r="AA97" s="874"/>
      <c r="AB97" s="874"/>
      <c r="AC97" s="876">
        <v>94807</v>
      </c>
      <c r="AD97" s="884"/>
      <c r="AE97" s="876">
        <v>94807</v>
      </c>
      <c r="AF97" s="874">
        <v>7</v>
      </c>
      <c r="AG97" s="874">
        <f t="shared" si="18"/>
        <v>37650.666666666664</v>
      </c>
      <c r="AH97" s="874">
        <f t="shared" si="23"/>
        <v>28238</v>
      </c>
      <c r="AI97" s="874">
        <f>((AH97*100%)/75%)-AH97</f>
        <v>9412.6666666666642</v>
      </c>
      <c r="AJ97" s="874">
        <f t="shared" si="19"/>
        <v>37650.666666666664</v>
      </c>
    </row>
    <row r="98" spans="1:36" s="864" customFormat="1" ht="26.1" customHeight="1">
      <c r="A98" s="918" t="s">
        <v>867</v>
      </c>
      <c r="B98" s="1827" t="s">
        <v>36</v>
      </c>
      <c r="C98" s="1827"/>
      <c r="D98" s="1827"/>
      <c r="E98" s="1145"/>
      <c r="F98" s="859"/>
      <c r="G98" s="945"/>
      <c r="H98" s="859"/>
      <c r="I98" s="945"/>
      <c r="J98" s="946"/>
      <c r="K98" s="947"/>
      <c r="L98" s="907"/>
      <c r="M98" s="947"/>
      <c r="N98" s="859"/>
      <c r="O98" s="859"/>
      <c r="P98" s="948"/>
      <c r="Q98" s="949"/>
      <c r="R98" s="909"/>
      <c r="S98" s="909"/>
      <c r="T98" s="950"/>
      <c r="U98" s="947"/>
      <c r="V98" s="948"/>
      <c r="W98" s="945"/>
      <c r="X98" s="911" t="e">
        <f>#REF!</f>
        <v>#REF!</v>
      </c>
      <c r="Y98" s="862" t="e">
        <f>#REF!</f>
        <v>#REF!</v>
      </c>
      <c r="Z98" s="862" t="e">
        <f>#REF!</f>
        <v>#REF!</v>
      </c>
      <c r="AA98" s="862" t="e">
        <f>#REF!</f>
        <v>#REF!</v>
      </c>
      <c r="AB98" s="862" t="e">
        <f>#REF!</f>
        <v>#REF!</v>
      </c>
      <c r="AC98" s="863">
        <f>SUM(AC99:AC106)</f>
        <v>652533</v>
      </c>
      <c r="AD98" s="863">
        <f t="shared" ref="AD98:AJ98" si="24">SUM(AD99:AD106)</f>
        <v>201245</v>
      </c>
      <c r="AE98" s="863">
        <f t="shared" si="24"/>
        <v>451288</v>
      </c>
      <c r="AF98" s="863"/>
      <c r="AG98" s="863">
        <f t="shared" si="24"/>
        <v>241736.33333333331</v>
      </c>
      <c r="AH98" s="863">
        <f t="shared" si="24"/>
        <v>197791</v>
      </c>
      <c r="AI98" s="863">
        <f t="shared" si="24"/>
        <v>43945.333333333336</v>
      </c>
      <c r="AJ98" s="863">
        <f t="shared" si="24"/>
        <v>40491.333333333328</v>
      </c>
    </row>
    <row r="99" spans="1:36" s="878" customFormat="1" ht="26.1" customHeight="1">
      <c r="A99" s="919" t="s">
        <v>868</v>
      </c>
      <c r="B99" s="885" t="s">
        <v>869</v>
      </c>
      <c r="C99" s="951" t="s">
        <v>870</v>
      </c>
      <c r="D99" s="881" t="s">
        <v>871</v>
      </c>
      <c r="E99" s="885" t="s">
        <v>872</v>
      </c>
      <c r="F99" s="899" t="s">
        <v>860</v>
      </c>
      <c r="G99" s="887" t="s">
        <v>873</v>
      </c>
      <c r="H99" s="881" t="s">
        <v>874</v>
      </c>
      <c r="I99" s="880" t="s">
        <v>875</v>
      </c>
      <c r="J99" s="900"/>
      <c r="K99" s="898"/>
      <c r="L99" s="865"/>
      <c r="M99" s="898"/>
      <c r="N99" s="899"/>
      <c r="O99" s="899"/>
      <c r="P99" s="881" t="s">
        <v>863</v>
      </c>
      <c r="Q99" s="890" t="s">
        <v>876</v>
      </c>
      <c r="R99" s="872">
        <v>4062</v>
      </c>
      <c r="S99" s="872"/>
      <c r="T99" s="901" t="s">
        <v>877</v>
      </c>
      <c r="U99" s="898"/>
      <c r="V99" s="881" t="s">
        <v>878</v>
      </c>
      <c r="W99" s="887" t="s">
        <v>164</v>
      </c>
      <c r="X99" s="873">
        <v>1</v>
      </c>
      <c r="Y99" s="874"/>
      <c r="Z99" s="874"/>
      <c r="AA99" s="874">
        <v>126950</v>
      </c>
      <c r="AB99" s="874"/>
      <c r="AC99" s="876">
        <f>AA99</f>
        <v>126950</v>
      </c>
      <c r="AD99" s="876">
        <v>14219</v>
      </c>
      <c r="AE99" s="876">
        <f>AC99-AD99</f>
        <v>112731</v>
      </c>
      <c r="AF99" s="874">
        <v>8</v>
      </c>
      <c r="AG99" s="874">
        <f>AH99+AI99</f>
        <v>43328</v>
      </c>
      <c r="AH99" s="874">
        <f t="shared" si="23"/>
        <v>32496</v>
      </c>
      <c r="AI99" s="874">
        <f>((AH99*100%)/75%)-AH99</f>
        <v>10832</v>
      </c>
      <c r="AJ99" s="874">
        <f>AG99-AD99</f>
        <v>29109</v>
      </c>
    </row>
    <row r="100" spans="1:36" s="878" customFormat="1" ht="26.1" customHeight="1">
      <c r="A100" s="919" t="s">
        <v>879</v>
      </c>
      <c r="B100" s="885" t="s">
        <v>880</v>
      </c>
      <c r="C100" s="951" t="s">
        <v>881</v>
      </c>
      <c r="D100" s="881" t="s">
        <v>882</v>
      </c>
      <c r="E100" s="885" t="s">
        <v>883</v>
      </c>
      <c r="F100" s="899" t="s">
        <v>884</v>
      </c>
      <c r="G100" s="887" t="s">
        <v>885</v>
      </c>
      <c r="H100" s="881"/>
      <c r="I100" s="880"/>
      <c r="J100" s="900"/>
      <c r="K100" s="898"/>
      <c r="L100" s="865"/>
      <c r="M100" s="898"/>
      <c r="N100" s="899"/>
      <c r="O100" s="899"/>
      <c r="P100" s="881"/>
      <c r="Q100" s="890"/>
      <c r="R100" s="872">
        <v>7684</v>
      </c>
      <c r="S100" s="872"/>
      <c r="T100" s="901" t="s">
        <v>137</v>
      </c>
      <c r="U100" s="898"/>
      <c r="V100" s="881" t="s">
        <v>886</v>
      </c>
      <c r="W100" s="887" t="s">
        <v>252</v>
      </c>
      <c r="X100" s="873" t="s">
        <v>126</v>
      </c>
      <c r="Y100" s="874">
        <v>183631</v>
      </c>
      <c r="Z100" s="874"/>
      <c r="AA100" s="874"/>
      <c r="AB100" s="874"/>
      <c r="AC100" s="876">
        <f>Y100</f>
        <v>183631</v>
      </c>
      <c r="AD100" s="876"/>
      <c r="AE100" s="876">
        <f>AC100</f>
        <v>183631</v>
      </c>
      <c r="AF100" s="874">
        <v>5</v>
      </c>
      <c r="AG100" s="874">
        <f t="shared" ref="AG100:AG106" si="25">AH100+AI100</f>
        <v>51226.666666666664</v>
      </c>
      <c r="AH100" s="874">
        <f t="shared" si="23"/>
        <v>38420</v>
      </c>
      <c r="AI100" s="874">
        <f>((AH100*100%)/75%)-AH100</f>
        <v>12806.666666666664</v>
      </c>
      <c r="AJ100" s="874">
        <f t="shared" ref="AJ100:AJ106" si="26">AG100-AD100</f>
        <v>51226.666666666664</v>
      </c>
    </row>
    <row r="101" spans="1:36" s="878" customFormat="1" ht="26.1" customHeight="1">
      <c r="A101" s="919" t="s">
        <v>887</v>
      </c>
      <c r="B101" s="885" t="s">
        <v>888</v>
      </c>
      <c r="C101" s="951" t="s">
        <v>154</v>
      </c>
      <c r="D101" s="881"/>
      <c r="E101" s="885" t="s">
        <v>889</v>
      </c>
      <c r="F101" s="899" t="s">
        <v>890</v>
      </c>
      <c r="G101" s="887" t="s">
        <v>516</v>
      </c>
      <c r="H101" s="881"/>
      <c r="I101" s="880"/>
      <c r="J101" s="900"/>
      <c r="K101" s="898"/>
      <c r="L101" s="865"/>
      <c r="M101" s="898"/>
      <c r="N101" s="899"/>
      <c r="O101" s="899"/>
      <c r="P101" s="881" t="s">
        <v>891</v>
      </c>
      <c r="Q101" s="890" t="s">
        <v>892</v>
      </c>
      <c r="R101" s="872">
        <v>2835</v>
      </c>
      <c r="S101" s="872">
        <v>2306</v>
      </c>
      <c r="T101" s="901" t="s">
        <v>893</v>
      </c>
      <c r="U101" s="898"/>
      <c r="V101" s="881" t="s">
        <v>894</v>
      </c>
      <c r="W101" s="887" t="s">
        <v>252</v>
      </c>
      <c r="X101" s="873">
        <v>1</v>
      </c>
      <c r="Y101" s="874"/>
      <c r="Z101" s="874"/>
      <c r="AA101" s="874">
        <v>48298</v>
      </c>
      <c r="AB101" s="874"/>
      <c r="AC101" s="876">
        <f>AA101</f>
        <v>48298</v>
      </c>
      <c r="AD101" s="876">
        <f>AC101</f>
        <v>48298</v>
      </c>
      <c r="AE101" s="876"/>
      <c r="AF101" s="874">
        <v>5</v>
      </c>
      <c r="AG101" s="874">
        <f t="shared" si="25"/>
        <v>14175</v>
      </c>
      <c r="AH101" s="902">
        <f t="shared" si="23"/>
        <v>14175</v>
      </c>
      <c r="AI101" s="902"/>
      <c r="AJ101" s="874">
        <f t="shared" si="26"/>
        <v>-34123</v>
      </c>
    </row>
    <row r="102" spans="1:36" s="878" customFormat="1" ht="26.1" customHeight="1">
      <c r="A102" s="919" t="s">
        <v>895</v>
      </c>
      <c r="B102" s="885" t="s">
        <v>896</v>
      </c>
      <c r="C102" s="951" t="s">
        <v>154</v>
      </c>
      <c r="D102" s="881"/>
      <c r="E102" s="885" t="s">
        <v>897</v>
      </c>
      <c r="F102" s="899" t="s">
        <v>890</v>
      </c>
      <c r="G102" s="887" t="s">
        <v>516</v>
      </c>
      <c r="H102" s="881"/>
      <c r="I102" s="880"/>
      <c r="J102" s="900"/>
      <c r="K102" s="898"/>
      <c r="L102" s="865"/>
      <c r="M102" s="898"/>
      <c r="N102" s="899"/>
      <c r="O102" s="899"/>
      <c r="P102" s="881" t="s">
        <v>891</v>
      </c>
      <c r="Q102" s="890" t="s">
        <v>892</v>
      </c>
      <c r="R102" s="872">
        <v>2835</v>
      </c>
      <c r="S102" s="872">
        <v>2306</v>
      </c>
      <c r="T102" s="901" t="s">
        <v>898</v>
      </c>
      <c r="U102" s="898"/>
      <c r="V102" s="881" t="s">
        <v>899</v>
      </c>
      <c r="W102" s="887" t="s">
        <v>252</v>
      </c>
      <c r="X102" s="873">
        <v>1</v>
      </c>
      <c r="Y102" s="874"/>
      <c r="Z102" s="874"/>
      <c r="AA102" s="874">
        <v>44838</v>
      </c>
      <c r="AB102" s="874"/>
      <c r="AC102" s="876">
        <f>AA102</f>
        <v>44838</v>
      </c>
      <c r="AD102" s="876">
        <f>AC102</f>
        <v>44838</v>
      </c>
      <c r="AE102" s="876"/>
      <c r="AF102" s="874">
        <v>5</v>
      </c>
      <c r="AG102" s="874">
        <f t="shared" si="25"/>
        <v>14175</v>
      </c>
      <c r="AH102" s="902">
        <f t="shared" si="23"/>
        <v>14175</v>
      </c>
      <c r="AI102" s="902"/>
      <c r="AJ102" s="874">
        <f t="shared" si="26"/>
        <v>-30663</v>
      </c>
    </row>
    <row r="103" spans="1:36" s="878" customFormat="1" ht="26.1" customHeight="1">
      <c r="A103" s="919" t="s">
        <v>900</v>
      </c>
      <c r="B103" s="885" t="s">
        <v>901</v>
      </c>
      <c r="C103" s="951">
        <v>32537</v>
      </c>
      <c r="D103" s="881" t="s">
        <v>902</v>
      </c>
      <c r="E103" s="885" t="s">
        <v>903</v>
      </c>
      <c r="F103" s="899" t="s">
        <v>904</v>
      </c>
      <c r="G103" s="887" t="s">
        <v>224</v>
      </c>
      <c r="H103" s="881"/>
      <c r="I103" s="880"/>
      <c r="J103" s="900"/>
      <c r="K103" s="898"/>
      <c r="L103" s="865"/>
      <c r="M103" s="898"/>
      <c r="N103" s="899"/>
      <c r="O103" s="899"/>
      <c r="P103" s="881" t="s">
        <v>905</v>
      </c>
      <c r="Q103" s="890" t="s">
        <v>906</v>
      </c>
      <c r="R103" s="872">
        <v>2909</v>
      </c>
      <c r="S103" s="872">
        <v>2909</v>
      </c>
      <c r="T103" s="901" t="s">
        <v>907</v>
      </c>
      <c r="U103" s="898"/>
      <c r="V103" s="881" t="s">
        <v>908</v>
      </c>
      <c r="W103" s="887" t="s">
        <v>252</v>
      </c>
      <c r="X103" s="873">
        <v>1</v>
      </c>
      <c r="Y103" s="874"/>
      <c r="Z103" s="874"/>
      <c r="AA103" s="874">
        <v>32953</v>
      </c>
      <c r="AB103" s="874"/>
      <c r="AC103" s="876">
        <v>32953</v>
      </c>
      <c r="AD103" s="876">
        <v>11134</v>
      </c>
      <c r="AE103" s="876">
        <f>AC103-AD103</f>
        <v>21819</v>
      </c>
      <c r="AF103" s="874">
        <v>5</v>
      </c>
      <c r="AG103" s="874">
        <f t="shared" si="25"/>
        <v>14545</v>
      </c>
      <c r="AH103" s="902">
        <f t="shared" si="23"/>
        <v>14545</v>
      </c>
      <c r="AI103" s="902"/>
      <c r="AJ103" s="874">
        <f t="shared" si="26"/>
        <v>3411</v>
      </c>
    </row>
    <row r="104" spans="1:36" s="878" customFormat="1" ht="26.1" customHeight="1">
      <c r="A104" s="919" t="s">
        <v>909</v>
      </c>
      <c r="B104" s="885" t="s">
        <v>910</v>
      </c>
      <c r="C104" s="951">
        <v>32665</v>
      </c>
      <c r="D104" s="881"/>
      <c r="E104" s="885" t="s">
        <v>911</v>
      </c>
      <c r="F104" s="899" t="s">
        <v>890</v>
      </c>
      <c r="G104" s="887" t="s">
        <v>516</v>
      </c>
      <c r="H104" s="881"/>
      <c r="I104" s="880"/>
      <c r="J104" s="900"/>
      <c r="K104" s="898"/>
      <c r="L104" s="865"/>
      <c r="M104" s="898"/>
      <c r="N104" s="899"/>
      <c r="O104" s="899"/>
      <c r="P104" s="881" t="s">
        <v>891</v>
      </c>
      <c r="Q104" s="890" t="s">
        <v>912</v>
      </c>
      <c r="R104" s="872">
        <v>2306</v>
      </c>
      <c r="S104" s="872">
        <v>2306</v>
      </c>
      <c r="T104" s="901" t="s">
        <v>913</v>
      </c>
      <c r="U104" s="898"/>
      <c r="V104" s="881" t="s">
        <v>914</v>
      </c>
      <c r="W104" s="887" t="s">
        <v>252</v>
      </c>
      <c r="X104" s="873">
        <v>1</v>
      </c>
      <c r="Y104" s="874"/>
      <c r="Z104" s="874"/>
      <c r="AA104" s="874">
        <v>34458</v>
      </c>
      <c r="AB104" s="874"/>
      <c r="AC104" s="876">
        <f>AA104</f>
        <v>34458</v>
      </c>
      <c r="AD104" s="876">
        <f>AC104</f>
        <v>34458</v>
      </c>
      <c r="AE104" s="876"/>
      <c r="AF104" s="874">
        <v>5</v>
      </c>
      <c r="AG104" s="874">
        <f t="shared" si="25"/>
        <v>11530</v>
      </c>
      <c r="AH104" s="902">
        <f t="shared" si="23"/>
        <v>11530</v>
      </c>
      <c r="AI104" s="902"/>
      <c r="AJ104" s="874">
        <f t="shared" si="26"/>
        <v>-22928</v>
      </c>
    </row>
    <row r="105" spans="1:36" s="878" customFormat="1" ht="26.1" customHeight="1">
      <c r="A105" s="919" t="s">
        <v>915</v>
      </c>
      <c r="B105" s="885" t="s">
        <v>916</v>
      </c>
      <c r="C105" s="951" t="s">
        <v>917</v>
      </c>
      <c r="D105" s="881" t="s">
        <v>918</v>
      </c>
      <c r="E105" s="885" t="s">
        <v>919</v>
      </c>
      <c r="F105" s="899" t="s">
        <v>890</v>
      </c>
      <c r="G105" s="887" t="s">
        <v>516</v>
      </c>
      <c r="H105" s="881"/>
      <c r="I105" s="880"/>
      <c r="J105" s="900"/>
      <c r="K105" s="898"/>
      <c r="L105" s="865"/>
      <c r="M105" s="898"/>
      <c r="N105" s="899"/>
      <c r="O105" s="899"/>
      <c r="P105" s="881" t="s">
        <v>891</v>
      </c>
      <c r="Q105" s="890" t="s">
        <v>912</v>
      </c>
      <c r="R105" s="872">
        <v>2306</v>
      </c>
      <c r="S105" s="872">
        <v>2306</v>
      </c>
      <c r="T105" s="901" t="s">
        <v>920</v>
      </c>
      <c r="U105" s="898"/>
      <c r="V105" s="881" t="s">
        <v>921</v>
      </c>
      <c r="W105" s="887" t="s">
        <v>252</v>
      </c>
      <c r="X105" s="873">
        <v>1</v>
      </c>
      <c r="Y105" s="874"/>
      <c r="Z105" s="874"/>
      <c r="AA105" s="874">
        <v>48298</v>
      </c>
      <c r="AB105" s="874"/>
      <c r="AC105" s="876">
        <f>AA105</f>
        <v>48298</v>
      </c>
      <c r="AD105" s="876">
        <f>AC105</f>
        <v>48298</v>
      </c>
      <c r="AE105" s="876"/>
      <c r="AF105" s="874">
        <v>5</v>
      </c>
      <c r="AG105" s="874">
        <f t="shared" si="25"/>
        <v>11530</v>
      </c>
      <c r="AH105" s="902">
        <f t="shared" si="23"/>
        <v>11530</v>
      </c>
      <c r="AI105" s="902"/>
      <c r="AJ105" s="874">
        <f t="shared" si="26"/>
        <v>-36768</v>
      </c>
    </row>
    <row r="106" spans="1:36" s="878" customFormat="1" ht="26.1" customHeight="1">
      <c r="A106" s="919" t="s">
        <v>922</v>
      </c>
      <c r="B106" s="885" t="s">
        <v>923</v>
      </c>
      <c r="C106" s="886" t="s">
        <v>870</v>
      </c>
      <c r="D106" s="881" t="s">
        <v>924</v>
      </c>
      <c r="E106" s="885" t="s">
        <v>925</v>
      </c>
      <c r="F106" s="879" t="s">
        <v>738</v>
      </c>
      <c r="G106" s="887" t="s">
        <v>516</v>
      </c>
      <c r="H106" s="879" t="s">
        <v>926</v>
      </c>
      <c r="I106" s="879" t="s">
        <v>927</v>
      </c>
      <c r="J106" s="888"/>
      <c r="K106" s="887"/>
      <c r="L106" s="889" t="s">
        <v>928</v>
      </c>
      <c r="M106" s="879" t="s">
        <v>516</v>
      </c>
      <c r="N106" s="881"/>
      <c r="O106" s="881"/>
      <c r="P106" s="881" t="s">
        <v>929</v>
      </c>
      <c r="Q106" s="890" t="s">
        <v>930</v>
      </c>
      <c r="R106" s="891">
        <v>7615</v>
      </c>
      <c r="S106" s="891">
        <v>6434</v>
      </c>
      <c r="T106" s="881" t="s">
        <v>931</v>
      </c>
      <c r="U106" s="881"/>
      <c r="V106" s="892" t="s">
        <v>932</v>
      </c>
      <c r="W106" s="880" t="s">
        <v>164</v>
      </c>
      <c r="X106" s="893">
        <v>1</v>
      </c>
      <c r="Y106" s="893">
        <v>133107</v>
      </c>
      <c r="Z106" s="894"/>
      <c r="AA106" s="893"/>
      <c r="AB106" s="883"/>
      <c r="AC106" s="895">
        <f>Y106</f>
        <v>133107</v>
      </c>
      <c r="AD106" s="884"/>
      <c r="AE106" s="895">
        <f>AC106</f>
        <v>133107</v>
      </c>
      <c r="AF106" s="893">
        <v>8</v>
      </c>
      <c r="AG106" s="874">
        <f t="shared" si="25"/>
        <v>81226.666666666672</v>
      </c>
      <c r="AH106" s="874">
        <f t="shared" si="23"/>
        <v>60920</v>
      </c>
      <c r="AI106" s="874">
        <f>((AH106*100%)/75%)-AH106</f>
        <v>20306.666666666672</v>
      </c>
      <c r="AJ106" s="874">
        <f t="shared" si="26"/>
        <v>81226.666666666672</v>
      </c>
    </row>
    <row r="107" spans="1:36" s="864" customFormat="1" ht="26.1" customHeight="1">
      <c r="A107" s="918" t="s">
        <v>933</v>
      </c>
      <c r="B107" s="1828" t="s">
        <v>32</v>
      </c>
      <c r="C107" s="1829"/>
      <c r="D107" s="1829"/>
      <c r="E107" s="1145"/>
      <c r="F107" s="860"/>
      <c r="G107" s="952"/>
      <c r="H107" s="860"/>
      <c r="I107" s="860"/>
      <c r="J107" s="953"/>
      <c r="K107" s="952"/>
      <c r="L107" s="907"/>
      <c r="M107" s="859"/>
      <c r="N107" s="860"/>
      <c r="O107" s="860"/>
      <c r="P107" s="948"/>
      <c r="Q107" s="949"/>
      <c r="R107" s="909"/>
      <c r="S107" s="954"/>
      <c r="T107" s="950"/>
      <c r="U107" s="910"/>
      <c r="V107" s="948"/>
      <c r="W107" s="949"/>
      <c r="X107" s="955">
        <f>SUM(X108:X114)</f>
        <v>7</v>
      </c>
      <c r="Y107" s="862">
        <f>SUM(Y108:Y114)</f>
        <v>1029907</v>
      </c>
      <c r="Z107" s="862">
        <f t="shared" ref="Z107:AB107" si="27">SUM(Z108:Z114)</f>
        <v>0</v>
      </c>
      <c r="AA107" s="862">
        <f t="shared" si="27"/>
        <v>0</v>
      </c>
      <c r="AB107" s="862">
        <f t="shared" si="27"/>
        <v>0</v>
      </c>
      <c r="AC107" s="863">
        <f>SUM(AC108:AC165)</f>
        <v>8139155</v>
      </c>
      <c r="AD107" s="863">
        <f t="shared" ref="AD107:AJ107" si="28">SUM(AD108:AD165)</f>
        <v>140852</v>
      </c>
      <c r="AE107" s="863">
        <f t="shared" si="28"/>
        <v>7998303</v>
      </c>
      <c r="AF107" s="863"/>
      <c r="AG107" s="863">
        <f t="shared" si="28"/>
        <v>1167548.0910569108</v>
      </c>
      <c r="AH107" s="863">
        <f t="shared" si="28"/>
        <v>950344.44799999997</v>
      </c>
      <c r="AI107" s="863">
        <f t="shared" si="28"/>
        <v>217203.64305691066</v>
      </c>
      <c r="AJ107" s="863">
        <f t="shared" si="28"/>
        <v>1026696.0910569107</v>
      </c>
    </row>
    <row r="108" spans="1:36" s="930" customFormat="1" ht="26.1" customHeight="1">
      <c r="A108" s="956" t="s">
        <v>934</v>
      </c>
      <c r="B108" s="920" t="s">
        <v>935</v>
      </c>
      <c r="C108" s="931" t="s">
        <v>936</v>
      </c>
      <c r="D108" s="921" t="s">
        <v>423</v>
      </c>
      <c r="E108" s="920" t="s">
        <v>937</v>
      </c>
      <c r="F108" s="923">
        <v>4.9800000000000004</v>
      </c>
      <c r="G108" s="931" t="s">
        <v>217</v>
      </c>
      <c r="H108" s="923"/>
      <c r="I108" s="923"/>
      <c r="J108" s="941" t="s">
        <v>938</v>
      </c>
      <c r="K108" s="921" t="s">
        <v>259</v>
      </c>
      <c r="L108" s="924"/>
      <c r="M108" s="922"/>
      <c r="N108" s="923"/>
      <c r="O108" s="923"/>
      <c r="P108" s="923" t="s">
        <v>369</v>
      </c>
      <c r="Q108" s="931" t="s">
        <v>488</v>
      </c>
      <c r="R108" s="940">
        <v>9414</v>
      </c>
      <c r="S108" s="926">
        <v>7895</v>
      </c>
      <c r="T108" s="923" t="s">
        <v>939</v>
      </c>
      <c r="U108" s="938"/>
      <c r="V108" s="923" t="s">
        <v>940</v>
      </c>
      <c r="W108" s="921" t="s">
        <v>348</v>
      </c>
      <c r="X108" s="927">
        <v>1</v>
      </c>
      <c r="Y108" s="902">
        <v>169795</v>
      </c>
      <c r="Z108" s="957"/>
      <c r="AA108" s="957"/>
      <c r="AB108" s="957"/>
      <c r="AC108" s="958">
        <f t="shared" ref="AC108:AC114" si="29">Y108</f>
        <v>169795</v>
      </c>
      <c r="AD108" s="959"/>
      <c r="AE108" s="958">
        <f t="shared" ref="AE108:AE114" si="30">AC108</f>
        <v>169795</v>
      </c>
      <c r="AF108" s="902">
        <v>6</v>
      </c>
      <c r="AG108" s="902">
        <f>AH108+AI108</f>
        <v>68882.926829268297</v>
      </c>
      <c r="AH108" s="902">
        <f t="shared" si="23"/>
        <v>56484</v>
      </c>
      <c r="AI108" s="902">
        <f t="shared" ref="AI108:AI162" si="31">((AH108*100%)/82%)-AH108</f>
        <v>12398.926829268297</v>
      </c>
      <c r="AJ108" s="902">
        <f>AG108-AD108</f>
        <v>68882.926829268297</v>
      </c>
    </row>
    <row r="109" spans="1:36" s="930" customFormat="1" ht="26.1" customHeight="1">
      <c r="A109" s="956" t="s">
        <v>941</v>
      </c>
      <c r="B109" s="920" t="s">
        <v>942</v>
      </c>
      <c r="C109" s="960" t="s">
        <v>943</v>
      </c>
      <c r="D109" s="923" t="s">
        <v>944</v>
      </c>
      <c r="E109" s="920" t="s">
        <v>945</v>
      </c>
      <c r="F109" s="923" t="s">
        <v>440</v>
      </c>
      <c r="G109" s="961" t="s">
        <v>367</v>
      </c>
      <c r="H109" s="923"/>
      <c r="I109" s="921"/>
      <c r="J109" s="941">
        <v>0.28999999999999998</v>
      </c>
      <c r="K109" s="923" t="s">
        <v>946</v>
      </c>
      <c r="L109" s="924"/>
      <c r="M109" s="962"/>
      <c r="N109" s="923"/>
      <c r="O109" s="923"/>
      <c r="P109" s="923" t="s">
        <v>609</v>
      </c>
      <c r="Q109" s="932" t="s">
        <v>947</v>
      </c>
      <c r="R109" s="940">
        <v>9254</v>
      </c>
      <c r="S109" s="926">
        <v>6765</v>
      </c>
      <c r="T109" s="923" t="s">
        <v>948</v>
      </c>
      <c r="U109" s="938"/>
      <c r="V109" s="923" t="s">
        <v>949</v>
      </c>
      <c r="W109" s="961" t="s">
        <v>479</v>
      </c>
      <c r="X109" s="927">
        <v>1</v>
      </c>
      <c r="Y109" s="902">
        <v>149688</v>
      </c>
      <c r="Z109" s="957"/>
      <c r="AA109" s="957"/>
      <c r="AB109" s="957"/>
      <c r="AC109" s="958">
        <f t="shared" si="29"/>
        <v>149688</v>
      </c>
      <c r="AD109" s="959"/>
      <c r="AE109" s="958">
        <f t="shared" si="30"/>
        <v>149688</v>
      </c>
      <c r="AF109" s="902">
        <v>7</v>
      </c>
      <c r="AG109" s="902">
        <f t="shared" ref="AG109:AG165" si="32">AH109+AI109</f>
        <v>78997.560975609755</v>
      </c>
      <c r="AH109" s="902">
        <f t="shared" si="23"/>
        <v>64778</v>
      </c>
      <c r="AI109" s="902">
        <f t="shared" si="31"/>
        <v>14219.560975609755</v>
      </c>
      <c r="AJ109" s="902">
        <f t="shared" ref="AJ109:AJ165" si="33">AG109-AD109</f>
        <v>78997.560975609755</v>
      </c>
    </row>
    <row r="110" spans="1:36" s="930" customFormat="1" ht="26.1" customHeight="1">
      <c r="A110" s="956" t="s">
        <v>950</v>
      </c>
      <c r="B110" s="920" t="s">
        <v>951</v>
      </c>
      <c r="C110" s="960" t="s">
        <v>952</v>
      </c>
      <c r="D110" s="923" t="s">
        <v>953</v>
      </c>
      <c r="E110" s="920" t="s">
        <v>954</v>
      </c>
      <c r="F110" s="923" t="s">
        <v>535</v>
      </c>
      <c r="G110" s="961" t="s">
        <v>217</v>
      </c>
      <c r="H110" s="923"/>
      <c r="I110" s="923"/>
      <c r="J110" s="941">
        <v>0.28999999999999998</v>
      </c>
      <c r="K110" s="943" t="s">
        <v>433</v>
      </c>
      <c r="L110" s="924">
        <v>0.08</v>
      </c>
      <c r="M110" s="962">
        <v>43009</v>
      </c>
      <c r="N110" s="923"/>
      <c r="O110" s="923"/>
      <c r="P110" s="923" t="s">
        <v>609</v>
      </c>
      <c r="Q110" s="932" t="s">
        <v>955</v>
      </c>
      <c r="R110" s="940">
        <v>9171</v>
      </c>
      <c r="S110" s="926">
        <v>6716</v>
      </c>
      <c r="T110" s="923" t="s">
        <v>956</v>
      </c>
      <c r="U110" s="938"/>
      <c r="V110" s="923" t="s">
        <v>957</v>
      </c>
      <c r="W110" s="961" t="s">
        <v>479</v>
      </c>
      <c r="X110" s="927">
        <v>1</v>
      </c>
      <c r="Y110" s="902">
        <v>150116</v>
      </c>
      <c r="Z110" s="957"/>
      <c r="AA110" s="957"/>
      <c r="AB110" s="957"/>
      <c r="AC110" s="958">
        <f t="shared" si="29"/>
        <v>150116</v>
      </c>
      <c r="AD110" s="959"/>
      <c r="AE110" s="958">
        <f t="shared" si="30"/>
        <v>150116</v>
      </c>
      <c r="AF110" s="902">
        <v>7</v>
      </c>
      <c r="AG110" s="902">
        <f t="shared" si="32"/>
        <v>78289.024390243911</v>
      </c>
      <c r="AH110" s="902">
        <f t="shared" si="23"/>
        <v>64197</v>
      </c>
      <c r="AI110" s="902">
        <f t="shared" si="31"/>
        <v>14092.024390243911</v>
      </c>
      <c r="AJ110" s="902">
        <f t="shared" si="33"/>
        <v>78289.024390243911</v>
      </c>
    </row>
    <row r="111" spans="1:36" s="930" customFormat="1" ht="26.1" customHeight="1">
      <c r="A111" s="956" t="s">
        <v>958</v>
      </c>
      <c r="B111" s="920" t="s">
        <v>959</v>
      </c>
      <c r="C111" s="921" t="s">
        <v>960</v>
      </c>
      <c r="D111" s="923" t="s">
        <v>961</v>
      </c>
      <c r="E111" s="920" t="s">
        <v>962</v>
      </c>
      <c r="F111" s="923">
        <v>4.2699999999999996</v>
      </c>
      <c r="G111" s="961" t="s">
        <v>963</v>
      </c>
      <c r="H111" s="923"/>
      <c r="I111" s="923"/>
      <c r="J111" s="941">
        <v>0.21</v>
      </c>
      <c r="K111" s="943" t="s">
        <v>964</v>
      </c>
      <c r="L111" s="924"/>
      <c r="M111" s="962"/>
      <c r="N111" s="923"/>
      <c r="O111" s="923"/>
      <c r="P111" s="923" t="s">
        <v>965</v>
      </c>
      <c r="Q111" s="932" t="s">
        <v>966</v>
      </c>
      <c r="R111" s="940">
        <v>8209</v>
      </c>
      <c r="S111" s="926">
        <v>6088</v>
      </c>
      <c r="T111" s="923" t="s">
        <v>967</v>
      </c>
      <c r="U111" s="938"/>
      <c r="V111" s="923" t="s">
        <v>968</v>
      </c>
      <c r="W111" s="961" t="s">
        <v>659</v>
      </c>
      <c r="X111" s="927">
        <v>1</v>
      </c>
      <c r="Y111" s="902">
        <v>129448</v>
      </c>
      <c r="Z111" s="957"/>
      <c r="AA111" s="957"/>
      <c r="AB111" s="957"/>
      <c r="AC111" s="958">
        <f t="shared" si="29"/>
        <v>129448</v>
      </c>
      <c r="AD111" s="959"/>
      <c r="AE111" s="958">
        <f t="shared" si="30"/>
        <v>129448</v>
      </c>
      <c r="AF111" s="902">
        <v>10</v>
      </c>
      <c r="AG111" s="902">
        <f t="shared" si="32"/>
        <v>100109.75609756098</v>
      </c>
      <c r="AH111" s="902">
        <f t="shared" si="23"/>
        <v>82090</v>
      </c>
      <c r="AI111" s="902">
        <f t="shared" si="31"/>
        <v>18019.756097560981</v>
      </c>
      <c r="AJ111" s="902">
        <f t="shared" si="33"/>
        <v>100109.75609756098</v>
      </c>
    </row>
    <row r="112" spans="1:36" s="930" customFormat="1" ht="26.1" customHeight="1">
      <c r="A112" s="956" t="s">
        <v>969</v>
      </c>
      <c r="B112" s="920" t="s">
        <v>970</v>
      </c>
      <c r="C112" s="921" t="s">
        <v>971</v>
      </c>
      <c r="D112" s="923" t="s">
        <v>944</v>
      </c>
      <c r="E112" s="920" t="s">
        <v>972</v>
      </c>
      <c r="F112" s="921" t="s">
        <v>973</v>
      </c>
      <c r="G112" s="961" t="s">
        <v>963</v>
      </c>
      <c r="H112" s="923"/>
      <c r="I112" s="923"/>
      <c r="J112" s="941">
        <v>0.21</v>
      </c>
      <c r="K112" s="943" t="s">
        <v>974</v>
      </c>
      <c r="L112" s="924"/>
      <c r="M112" s="962"/>
      <c r="N112" s="923"/>
      <c r="O112" s="923"/>
      <c r="P112" s="923" t="s">
        <v>975</v>
      </c>
      <c r="Q112" s="932" t="s">
        <v>966</v>
      </c>
      <c r="R112" s="940">
        <v>7633</v>
      </c>
      <c r="S112" s="926">
        <v>5657</v>
      </c>
      <c r="T112" s="923" t="s">
        <v>976</v>
      </c>
      <c r="U112" s="938"/>
      <c r="V112" s="923" t="s">
        <v>977</v>
      </c>
      <c r="W112" s="961" t="s">
        <v>659</v>
      </c>
      <c r="X112" s="927">
        <v>1</v>
      </c>
      <c r="Y112" s="902">
        <v>100956</v>
      </c>
      <c r="Z112" s="957"/>
      <c r="AA112" s="957"/>
      <c r="AB112" s="957"/>
      <c r="AC112" s="958">
        <f t="shared" si="29"/>
        <v>100956</v>
      </c>
      <c r="AD112" s="959"/>
      <c r="AE112" s="958">
        <f t="shared" si="30"/>
        <v>100956</v>
      </c>
      <c r="AF112" s="902">
        <v>10</v>
      </c>
      <c r="AG112" s="902">
        <f t="shared" si="32"/>
        <v>93085.365853658543</v>
      </c>
      <c r="AH112" s="902">
        <f t="shared" si="23"/>
        <v>76330</v>
      </c>
      <c r="AI112" s="902">
        <f t="shared" si="31"/>
        <v>16755.365853658543</v>
      </c>
      <c r="AJ112" s="902">
        <f t="shared" si="33"/>
        <v>93085.365853658543</v>
      </c>
    </row>
    <row r="113" spans="1:36" s="930" customFormat="1" ht="26.1" customHeight="1">
      <c r="A113" s="956" t="s">
        <v>978</v>
      </c>
      <c r="B113" s="920" t="s">
        <v>979</v>
      </c>
      <c r="C113" s="921" t="s">
        <v>980</v>
      </c>
      <c r="D113" s="923" t="s">
        <v>595</v>
      </c>
      <c r="E113" s="920" t="s">
        <v>981</v>
      </c>
      <c r="F113" s="923" t="s">
        <v>195</v>
      </c>
      <c r="G113" s="961" t="s">
        <v>367</v>
      </c>
      <c r="H113" s="923"/>
      <c r="I113" s="923"/>
      <c r="J113" s="941">
        <v>0.36</v>
      </c>
      <c r="K113" s="943" t="s">
        <v>433</v>
      </c>
      <c r="L113" s="924">
        <v>0.14000000000000001</v>
      </c>
      <c r="M113" s="962">
        <v>43101</v>
      </c>
      <c r="N113" s="923"/>
      <c r="O113" s="923"/>
      <c r="P113" s="923" t="s">
        <v>982</v>
      </c>
      <c r="Q113" s="932" t="s">
        <v>983</v>
      </c>
      <c r="R113" s="940">
        <v>9429</v>
      </c>
      <c r="S113" s="926">
        <v>7281</v>
      </c>
      <c r="T113" s="923" t="s">
        <v>984</v>
      </c>
      <c r="U113" s="938"/>
      <c r="V113" s="923" t="s">
        <v>985</v>
      </c>
      <c r="W113" s="961" t="s">
        <v>659</v>
      </c>
      <c r="X113" s="927">
        <v>1</v>
      </c>
      <c r="Y113" s="902">
        <v>189386</v>
      </c>
      <c r="Z113" s="957"/>
      <c r="AA113" s="957"/>
      <c r="AB113" s="957"/>
      <c r="AC113" s="958">
        <f t="shared" si="29"/>
        <v>189386</v>
      </c>
      <c r="AD113" s="959"/>
      <c r="AE113" s="958">
        <f t="shared" si="30"/>
        <v>189386</v>
      </c>
      <c r="AF113" s="902">
        <v>10</v>
      </c>
      <c r="AG113" s="902">
        <f t="shared" si="32"/>
        <v>114987.80487804879</v>
      </c>
      <c r="AH113" s="902">
        <f t="shared" si="23"/>
        <v>94290</v>
      </c>
      <c r="AI113" s="902">
        <f t="shared" si="31"/>
        <v>20697.804878048788</v>
      </c>
      <c r="AJ113" s="902">
        <f t="shared" si="33"/>
        <v>114987.80487804879</v>
      </c>
    </row>
    <row r="114" spans="1:36" s="930" customFormat="1" ht="26.1" customHeight="1">
      <c r="A114" s="956" t="s">
        <v>986</v>
      </c>
      <c r="B114" s="920" t="s">
        <v>987</v>
      </c>
      <c r="C114" s="921" t="s">
        <v>988</v>
      </c>
      <c r="D114" s="923" t="s">
        <v>989</v>
      </c>
      <c r="E114" s="920" t="s">
        <v>990</v>
      </c>
      <c r="F114" s="923" t="s">
        <v>440</v>
      </c>
      <c r="G114" s="961" t="s">
        <v>217</v>
      </c>
      <c r="H114" s="923"/>
      <c r="I114" s="923"/>
      <c r="J114" s="941">
        <v>0.34</v>
      </c>
      <c r="K114" s="943" t="s">
        <v>974</v>
      </c>
      <c r="L114" s="924">
        <v>0.09</v>
      </c>
      <c r="M114" s="962">
        <v>43009</v>
      </c>
      <c r="N114" s="923"/>
      <c r="O114" s="923"/>
      <c r="P114" s="923" t="s">
        <v>441</v>
      </c>
      <c r="Q114" s="932" t="s">
        <v>991</v>
      </c>
      <c r="R114" s="940">
        <v>8913</v>
      </c>
      <c r="S114" s="926">
        <v>7110</v>
      </c>
      <c r="T114" s="923" t="s">
        <v>992</v>
      </c>
      <c r="U114" s="938"/>
      <c r="V114" s="923" t="s">
        <v>993</v>
      </c>
      <c r="W114" s="961" t="s">
        <v>348</v>
      </c>
      <c r="X114" s="927">
        <v>1</v>
      </c>
      <c r="Y114" s="902">
        <v>140518</v>
      </c>
      <c r="Z114" s="957"/>
      <c r="AA114" s="957"/>
      <c r="AB114" s="957"/>
      <c r="AC114" s="958">
        <f t="shared" si="29"/>
        <v>140518</v>
      </c>
      <c r="AD114" s="959"/>
      <c r="AE114" s="958">
        <f t="shared" si="30"/>
        <v>140518</v>
      </c>
      <c r="AF114" s="902">
        <v>6</v>
      </c>
      <c r="AG114" s="902">
        <f t="shared" si="32"/>
        <v>65217.07317073171</v>
      </c>
      <c r="AH114" s="902">
        <f t="shared" si="23"/>
        <v>53478</v>
      </c>
      <c r="AI114" s="902">
        <f t="shared" si="31"/>
        <v>11739.07317073171</v>
      </c>
      <c r="AJ114" s="902">
        <f t="shared" si="33"/>
        <v>65217.07317073171</v>
      </c>
    </row>
    <row r="115" spans="1:36" s="930" customFormat="1" ht="26.1" customHeight="1">
      <c r="A115" s="956" t="s">
        <v>994</v>
      </c>
      <c r="B115" s="920" t="s">
        <v>995</v>
      </c>
      <c r="C115" s="921" t="s">
        <v>996</v>
      </c>
      <c r="D115" s="942" t="s">
        <v>997</v>
      </c>
      <c r="E115" s="920" t="s">
        <v>998</v>
      </c>
      <c r="F115" s="923" t="s">
        <v>169</v>
      </c>
      <c r="G115" s="921" t="s">
        <v>367</v>
      </c>
      <c r="H115" s="923"/>
      <c r="I115" s="923"/>
      <c r="J115" s="924">
        <v>0.37</v>
      </c>
      <c r="K115" s="921" t="s">
        <v>688</v>
      </c>
      <c r="L115" s="924">
        <v>0.11</v>
      </c>
      <c r="M115" s="932" t="s">
        <v>367</v>
      </c>
      <c r="N115" s="923"/>
      <c r="O115" s="923"/>
      <c r="P115" s="923" t="s">
        <v>999</v>
      </c>
      <c r="Q115" s="921" t="s">
        <v>1000</v>
      </c>
      <c r="R115" s="926">
        <v>9874</v>
      </c>
      <c r="S115" s="926">
        <v>7385</v>
      </c>
      <c r="T115" s="923" t="s">
        <v>1001</v>
      </c>
      <c r="U115" s="938"/>
      <c r="V115" s="923" t="s">
        <v>1002</v>
      </c>
      <c r="W115" s="921" t="s">
        <v>564</v>
      </c>
      <c r="X115" s="927">
        <v>1</v>
      </c>
      <c r="Y115" s="926">
        <v>186268</v>
      </c>
      <c r="Z115" s="939"/>
      <c r="AA115" s="940"/>
      <c r="AB115" s="939"/>
      <c r="AC115" s="929">
        <v>186268</v>
      </c>
      <c r="AD115" s="929"/>
      <c r="AE115" s="929">
        <v>186268</v>
      </c>
      <c r="AF115" s="928">
        <v>4</v>
      </c>
      <c r="AG115" s="902">
        <f t="shared" si="32"/>
        <v>48165.853658536587</v>
      </c>
      <c r="AH115" s="902">
        <f t="shared" si="23"/>
        <v>39496</v>
      </c>
      <c r="AI115" s="902">
        <f t="shared" si="31"/>
        <v>8669.8536585365873</v>
      </c>
      <c r="AJ115" s="902">
        <f t="shared" si="33"/>
        <v>48165.853658536587</v>
      </c>
    </row>
    <row r="116" spans="1:36" s="930" customFormat="1" ht="26.1" customHeight="1">
      <c r="A116" s="956" t="s">
        <v>1003</v>
      </c>
      <c r="B116" s="920" t="s">
        <v>1004</v>
      </c>
      <c r="C116" s="921">
        <v>23277</v>
      </c>
      <c r="D116" s="942" t="s">
        <v>1005</v>
      </c>
      <c r="E116" s="920" t="s">
        <v>1006</v>
      </c>
      <c r="F116" s="923" t="s">
        <v>505</v>
      </c>
      <c r="G116" s="921" t="s">
        <v>170</v>
      </c>
      <c r="H116" s="923"/>
      <c r="I116" s="923"/>
      <c r="J116" s="924">
        <v>0.32</v>
      </c>
      <c r="K116" s="921" t="s">
        <v>688</v>
      </c>
      <c r="L116" s="924"/>
      <c r="M116" s="932"/>
      <c r="N116" s="923"/>
      <c r="O116" s="923"/>
      <c r="P116" s="923" t="s">
        <v>507</v>
      </c>
      <c r="Q116" s="921" t="s">
        <v>1007</v>
      </c>
      <c r="R116" s="926">
        <v>9374</v>
      </c>
      <c r="S116" s="926">
        <v>7315</v>
      </c>
      <c r="T116" s="923" t="s">
        <v>1008</v>
      </c>
      <c r="U116" s="938"/>
      <c r="V116" s="923" t="s">
        <v>1009</v>
      </c>
      <c r="W116" s="921" t="s">
        <v>252</v>
      </c>
      <c r="X116" s="927">
        <v>1</v>
      </c>
      <c r="Y116" s="926">
        <v>182868</v>
      </c>
      <c r="Z116" s="939"/>
      <c r="AA116" s="940"/>
      <c r="AB116" s="939"/>
      <c r="AC116" s="929">
        <v>182868</v>
      </c>
      <c r="AD116" s="929"/>
      <c r="AE116" s="929">
        <v>182868</v>
      </c>
      <c r="AF116" s="928">
        <v>5</v>
      </c>
      <c r="AG116" s="902">
        <f t="shared" si="32"/>
        <v>57158.536585365859</v>
      </c>
      <c r="AH116" s="902">
        <f t="shared" si="23"/>
        <v>46870</v>
      </c>
      <c r="AI116" s="902">
        <f t="shared" si="31"/>
        <v>10288.536585365859</v>
      </c>
      <c r="AJ116" s="902">
        <f t="shared" si="33"/>
        <v>57158.536585365859</v>
      </c>
    </row>
    <row r="117" spans="1:36" s="930" customFormat="1" ht="26.1" customHeight="1">
      <c r="A117" s="956" t="s">
        <v>1010</v>
      </c>
      <c r="B117" s="920" t="s">
        <v>1011</v>
      </c>
      <c r="C117" s="921" t="s">
        <v>1012</v>
      </c>
      <c r="D117" s="942" t="s">
        <v>243</v>
      </c>
      <c r="E117" s="920" t="s">
        <v>1013</v>
      </c>
      <c r="F117" s="923" t="s">
        <v>388</v>
      </c>
      <c r="G117" s="921" t="s">
        <v>711</v>
      </c>
      <c r="H117" s="923"/>
      <c r="I117" s="923"/>
      <c r="J117" s="924">
        <v>0.26</v>
      </c>
      <c r="K117" s="921" t="s">
        <v>208</v>
      </c>
      <c r="L117" s="924"/>
      <c r="M117" s="932"/>
      <c r="N117" s="923"/>
      <c r="O117" s="923"/>
      <c r="P117" s="923" t="s">
        <v>1014</v>
      </c>
      <c r="Q117" s="921" t="s">
        <v>1015</v>
      </c>
      <c r="R117" s="926">
        <v>9872</v>
      </c>
      <c r="S117" s="926">
        <v>7146</v>
      </c>
      <c r="T117" s="923" t="s">
        <v>1016</v>
      </c>
      <c r="U117" s="938"/>
      <c r="V117" s="923" t="s">
        <v>1017</v>
      </c>
      <c r="W117" s="921" t="s">
        <v>521</v>
      </c>
      <c r="X117" s="927">
        <v>1</v>
      </c>
      <c r="Y117" s="926">
        <v>141480</v>
      </c>
      <c r="Z117" s="939"/>
      <c r="AA117" s="940"/>
      <c r="AB117" s="939"/>
      <c r="AC117" s="929">
        <v>141480</v>
      </c>
      <c r="AD117" s="929"/>
      <c r="AE117" s="929">
        <v>141480</v>
      </c>
      <c r="AF117" s="928">
        <v>4</v>
      </c>
      <c r="AG117" s="902">
        <f t="shared" si="32"/>
        <v>48156.097560975613</v>
      </c>
      <c r="AH117" s="902">
        <f t="shared" si="23"/>
        <v>39488</v>
      </c>
      <c r="AI117" s="902">
        <f t="shared" si="31"/>
        <v>8668.0975609756133</v>
      </c>
      <c r="AJ117" s="902">
        <f t="shared" si="33"/>
        <v>48156.097560975613</v>
      </c>
    </row>
    <row r="118" spans="1:36" s="930" customFormat="1" ht="26.1" customHeight="1">
      <c r="A118" s="956" t="s">
        <v>1018</v>
      </c>
      <c r="B118" s="920" t="s">
        <v>1019</v>
      </c>
      <c r="C118" s="921">
        <v>23575</v>
      </c>
      <c r="D118" s="942" t="s">
        <v>1020</v>
      </c>
      <c r="E118" s="920" t="s">
        <v>1021</v>
      </c>
      <c r="F118" s="923" t="s">
        <v>131</v>
      </c>
      <c r="G118" s="921" t="s">
        <v>139</v>
      </c>
      <c r="H118" s="923" t="s">
        <v>1022</v>
      </c>
      <c r="I118" s="923" t="s">
        <v>1023</v>
      </c>
      <c r="J118" s="924" t="s">
        <v>1024</v>
      </c>
      <c r="K118" s="921" t="s">
        <v>1025</v>
      </c>
      <c r="L118" s="924"/>
      <c r="M118" s="932"/>
      <c r="N118" s="923"/>
      <c r="O118" s="923"/>
      <c r="P118" s="923" t="s">
        <v>1026</v>
      </c>
      <c r="Q118" s="921" t="s">
        <v>1027</v>
      </c>
      <c r="R118" s="926">
        <v>10888</v>
      </c>
      <c r="S118" s="926">
        <v>7194</v>
      </c>
      <c r="T118" s="923" t="s">
        <v>591</v>
      </c>
      <c r="U118" s="938"/>
      <c r="V118" s="923" t="s">
        <v>1028</v>
      </c>
      <c r="W118" s="921" t="s">
        <v>564</v>
      </c>
      <c r="X118" s="927">
        <v>1</v>
      </c>
      <c r="Y118" s="926">
        <v>181541</v>
      </c>
      <c r="Z118" s="939"/>
      <c r="AA118" s="940"/>
      <c r="AB118" s="939"/>
      <c r="AC118" s="929">
        <v>181541</v>
      </c>
      <c r="AD118" s="929"/>
      <c r="AE118" s="929">
        <v>181541</v>
      </c>
      <c r="AF118" s="928">
        <v>2</v>
      </c>
      <c r="AG118" s="902">
        <f t="shared" si="32"/>
        <v>26556.09756097561</v>
      </c>
      <c r="AH118" s="902">
        <f t="shared" si="23"/>
        <v>21776</v>
      </c>
      <c r="AI118" s="902">
        <f t="shared" si="31"/>
        <v>4780.0975609756097</v>
      </c>
      <c r="AJ118" s="902">
        <f t="shared" si="33"/>
        <v>26556.09756097561</v>
      </c>
    </row>
    <row r="119" spans="1:36" s="930" customFormat="1" ht="26.1" customHeight="1">
      <c r="A119" s="956" t="s">
        <v>1029</v>
      </c>
      <c r="B119" s="920" t="s">
        <v>1030</v>
      </c>
      <c r="C119" s="921" t="s">
        <v>1031</v>
      </c>
      <c r="D119" s="942" t="s">
        <v>1032</v>
      </c>
      <c r="E119" s="920" t="s">
        <v>1033</v>
      </c>
      <c r="F119" s="923" t="s">
        <v>195</v>
      </c>
      <c r="G119" s="921" t="s">
        <v>183</v>
      </c>
      <c r="H119" s="923" t="s">
        <v>133</v>
      </c>
      <c r="I119" s="923" t="s">
        <v>1034</v>
      </c>
      <c r="J119" s="924" t="s">
        <v>1035</v>
      </c>
      <c r="K119" s="921" t="s">
        <v>1036</v>
      </c>
      <c r="L119" s="924" t="s">
        <v>1037</v>
      </c>
      <c r="M119" s="932" t="s">
        <v>1038</v>
      </c>
      <c r="N119" s="923"/>
      <c r="O119" s="923"/>
      <c r="P119" s="923" t="s">
        <v>1039</v>
      </c>
      <c r="Q119" s="921" t="s">
        <v>188</v>
      </c>
      <c r="R119" s="926">
        <v>10337</v>
      </c>
      <c r="S119" s="926">
        <v>7763</v>
      </c>
      <c r="T119" s="923" t="s">
        <v>1040</v>
      </c>
      <c r="U119" s="938"/>
      <c r="V119" s="923" t="s">
        <v>1041</v>
      </c>
      <c r="W119" s="921" t="s">
        <v>564</v>
      </c>
      <c r="X119" s="927">
        <v>1</v>
      </c>
      <c r="Y119" s="926">
        <v>176844</v>
      </c>
      <c r="Z119" s="939"/>
      <c r="AA119" s="940"/>
      <c r="AB119" s="939"/>
      <c r="AC119" s="929">
        <v>176844</v>
      </c>
      <c r="AD119" s="929"/>
      <c r="AE119" s="929">
        <v>176844</v>
      </c>
      <c r="AF119" s="928">
        <v>2</v>
      </c>
      <c r="AG119" s="902">
        <f t="shared" si="32"/>
        <v>25212.195121951219</v>
      </c>
      <c r="AH119" s="902">
        <f t="shared" si="23"/>
        <v>20674</v>
      </c>
      <c r="AI119" s="902">
        <f t="shared" si="31"/>
        <v>4538.1951219512193</v>
      </c>
      <c r="AJ119" s="902">
        <f t="shared" si="33"/>
        <v>25212.195121951219</v>
      </c>
    </row>
    <row r="120" spans="1:36" s="930" customFormat="1" ht="26.1" customHeight="1">
      <c r="A120" s="956" t="s">
        <v>1042</v>
      </c>
      <c r="B120" s="920" t="s">
        <v>1043</v>
      </c>
      <c r="C120" s="921">
        <v>23304</v>
      </c>
      <c r="D120" s="942" t="s">
        <v>1044</v>
      </c>
      <c r="E120" s="920" t="s">
        <v>1045</v>
      </c>
      <c r="F120" s="923" t="s">
        <v>284</v>
      </c>
      <c r="G120" s="921" t="s">
        <v>183</v>
      </c>
      <c r="H120" s="923"/>
      <c r="I120" s="923"/>
      <c r="J120" s="924" t="s">
        <v>1046</v>
      </c>
      <c r="K120" s="921" t="s">
        <v>1047</v>
      </c>
      <c r="L120" s="924" t="s">
        <v>1048</v>
      </c>
      <c r="M120" s="932" t="s">
        <v>1038</v>
      </c>
      <c r="N120" s="923"/>
      <c r="O120" s="923"/>
      <c r="P120" s="923" t="s">
        <v>1049</v>
      </c>
      <c r="Q120" s="921" t="s">
        <v>1050</v>
      </c>
      <c r="R120" s="926">
        <v>10163</v>
      </c>
      <c r="S120" s="926">
        <v>10163</v>
      </c>
      <c r="T120" s="923" t="s">
        <v>1051</v>
      </c>
      <c r="U120" s="938"/>
      <c r="V120" s="923" t="s">
        <v>1052</v>
      </c>
      <c r="W120" s="921" t="s">
        <v>564</v>
      </c>
      <c r="X120" s="927">
        <v>1</v>
      </c>
      <c r="Y120" s="926">
        <v>184868</v>
      </c>
      <c r="Z120" s="939"/>
      <c r="AA120" s="940"/>
      <c r="AB120" s="939"/>
      <c r="AC120" s="929">
        <v>184868</v>
      </c>
      <c r="AD120" s="929"/>
      <c r="AE120" s="929">
        <v>184868</v>
      </c>
      <c r="AF120" s="928">
        <v>2</v>
      </c>
      <c r="AG120" s="902">
        <f t="shared" si="32"/>
        <v>24787.804878048781</v>
      </c>
      <c r="AH120" s="902">
        <f t="shared" si="23"/>
        <v>20326</v>
      </c>
      <c r="AI120" s="902">
        <f t="shared" si="31"/>
        <v>4461.8048780487807</v>
      </c>
      <c r="AJ120" s="902">
        <f t="shared" si="33"/>
        <v>24787.804878048781</v>
      </c>
    </row>
    <row r="121" spans="1:36" s="930" customFormat="1" ht="26.1" customHeight="1">
      <c r="A121" s="956" t="s">
        <v>1053</v>
      </c>
      <c r="B121" s="920" t="s">
        <v>1054</v>
      </c>
      <c r="C121" s="921" t="s">
        <v>1055</v>
      </c>
      <c r="D121" s="942" t="s">
        <v>1056</v>
      </c>
      <c r="E121" s="920" t="s">
        <v>1057</v>
      </c>
      <c r="F121" s="923" t="s">
        <v>1058</v>
      </c>
      <c r="G121" s="921" t="s">
        <v>139</v>
      </c>
      <c r="H121" s="923"/>
      <c r="I121" s="923"/>
      <c r="J121" s="924" t="s">
        <v>1059</v>
      </c>
      <c r="K121" s="921" t="s">
        <v>1060</v>
      </c>
      <c r="L121" s="924" t="s">
        <v>1061</v>
      </c>
      <c r="M121" s="932" t="s">
        <v>1062</v>
      </c>
      <c r="N121" s="923"/>
      <c r="O121" s="923"/>
      <c r="P121" s="923" t="s">
        <v>1063</v>
      </c>
      <c r="Q121" s="921" t="s">
        <v>1064</v>
      </c>
      <c r="R121" s="926">
        <v>11438</v>
      </c>
      <c r="S121" s="926">
        <v>8628</v>
      </c>
      <c r="T121" s="923" t="s">
        <v>1065</v>
      </c>
      <c r="U121" s="938"/>
      <c r="V121" s="923" t="s">
        <v>1066</v>
      </c>
      <c r="W121" s="921" t="s">
        <v>564</v>
      </c>
      <c r="X121" s="927">
        <v>1</v>
      </c>
      <c r="Y121" s="926">
        <v>176884</v>
      </c>
      <c r="Z121" s="939"/>
      <c r="AA121" s="940"/>
      <c r="AB121" s="939"/>
      <c r="AC121" s="929">
        <v>176884</v>
      </c>
      <c r="AD121" s="929"/>
      <c r="AE121" s="929">
        <v>176884</v>
      </c>
      <c r="AF121" s="928">
        <v>2</v>
      </c>
      <c r="AG121" s="902">
        <f t="shared" si="32"/>
        <v>27897.560975609758</v>
      </c>
      <c r="AH121" s="902">
        <f t="shared" si="23"/>
        <v>22876</v>
      </c>
      <c r="AI121" s="902">
        <f t="shared" si="31"/>
        <v>5021.5609756097583</v>
      </c>
      <c r="AJ121" s="902">
        <f t="shared" si="33"/>
        <v>27897.560975609758</v>
      </c>
    </row>
    <row r="122" spans="1:36" s="930" customFormat="1" ht="26.1" customHeight="1">
      <c r="A122" s="956" t="s">
        <v>1067</v>
      </c>
      <c r="B122" s="920" t="s">
        <v>1068</v>
      </c>
      <c r="C122" s="921" t="s">
        <v>1069</v>
      </c>
      <c r="D122" s="942" t="s">
        <v>1070</v>
      </c>
      <c r="E122" s="920" t="s">
        <v>1071</v>
      </c>
      <c r="F122" s="923" t="s">
        <v>440</v>
      </c>
      <c r="G122" s="921" t="s">
        <v>224</v>
      </c>
      <c r="H122" s="923" t="s">
        <v>133</v>
      </c>
      <c r="I122" s="923" t="s">
        <v>1072</v>
      </c>
      <c r="J122" s="924" t="s">
        <v>1073</v>
      </c>
      <c r="K122" s="921" t="s">
        <v>1074</v>
      </c>
      <c r="L122" s="924" t="s">
        <v>1075</v>
      </c>
      <c r="M122" s="932" t="s">
        <v>1076</v>
      </c>
      <c r="N122" s="923"/>
      <c r="O122" s="923"/>
      <c r="P122" s="923" t="s">
        <v>1077</v>
      </c>
      <c r="Q122" s="921" t="s">
        <v>1078</v>
      </c>
      <c r="R122" s="926">
        <v>10553</v>
      </c>
      <c r="S122" s="926">
        <v>7297</v>
      </c>
      <c r="T122" s="923" t="s">
        <v>704</v>
      </c>
      <c r="U122" s="938"/>
      <c r="V122" s="923" t="s">
        <v>1079</v>
      </c>
      <c r="W122" s="921" t="s">
        <v>564</v>
      </c>
      <c r="X122" s="927">
        <v>1</v>
      </c>
      <c r="Y122" s="926">
        <v>171868</v>
      </c>
      <c r="Z122" s="939"/>
      <c r="AA122" s="940"/>
      <c r="AB122" s="939"/>
      <c r="AC122" s="929">
        <v>171868</v>
      </c>
      <c r="AD122" s="929"/>
      <c r="AE122" s="929">
        <v>171868</v>
      </c>
      <c r="AF122" s="928">
        <v>2</v>
      </c>
      <c r="AG122" s="902">
        <f t="shared" si="32"/>
        <v>25739.024390243903</v>
      </c>
      <c r="AH122" s="902">
        <f t="shared" si="23"/>
        <v>21106</v>
      </c>
      <c r="AI122" s="902">
        <f t="shared" si="31"/>
        <v>4633.0243902439033</v>
      </c>
      <c r="AJ122" s="902">
        <f t="shared" si="33"/>
        <v>25739.024390243903</v>
      </c>
    </row>
    <row r="123" spans="1:36" s="930" customFormat="1" ht="26.1" customHeight="1">
      <c r="A123" s="956" t="s">
        <v>1080</v>
      </c>
      <c r="B123" s="920" t="s">
        <v>1081</v>
      </c>
      <c r="C123" s="921" t="s">
        <v>1082</v>
      </c>
      <c r="D123" s="942" t="s">
        <v>129</v>
      </c>
      <c r="E123" s="920" t="s">
        <v>1083</v>
      </c>
      <c r="F123" s="923" t="s">
        <v>884</v>
      </c>
      <c r="G123" s="921" t="s">
        <v>873</v>
      </c>
      <c r="H123" s="923"/>
      <c r="I123" s="923"/>
      <c r="J123" s="924" t="s">
        <v>1084</v>
      </c>
      <c r="K123" s="921" t="s">
        <v>1085</v>
      </c>
      <c r="L123" s="924"/>
      <c r="M123" s="932"/>
      <c r="N123" s="923"/>
      <c r="O123" s="923"/>
      <c r="P123" s="923" t="s">
        <v>1086</v>
      </c>
      <c r="Q123" s="921" t="s">
        <v>1087</v>
      </c>
      <c r="R123" s="926">
        <v>9171</v>
      </c>
      <c r="S123" s="926">
        <v>7909</v>
      </c>
      <c r="T123" s="923" t="s">
        <v>538</v>
      </c>
      <c r="U123" s="938"/>
      <c r="V123" s="923" t="s">
        <v>1088</v>
      </c>
      <c r="W123" s="921" t="s">
        <v>564</v>
      </c>
      <c r="X123" s="927">
        <v>1</v>
      </c>
      <c r="Y123" s="926">
        <v>174923</v>
      </c>
      <c r="Z123" s="939"/>
      <c r="AA123" s="940"/>
      <c r="AB123" s="939"/>
      <c r="AC123" s="929">
        <v>174923</v>
      </c>
      <c r="AD123" s="929"/>
      <c r="AE123" s="929">
        <v>174923</v>
      </c>
      <c r="AF123" s="928">
        <v>2</v>
      </c>
      <c r="AG123" s="902">
        <f t="shared" si="32"/>
        <v>22368.292682926829</v>
      </c>
      <c r="AH123" s="902">
        <f t="shared" si="23"/>
        <v>18342</v>
      </c>
      <c r="AI123" s="902">
        <f t="shared" si="31"/>
        <v>4026.292682926829</v>
      </c>
      <c r="AJ123" s="902">
        <f t="shared" si="33"/>
        <v>22368.292682926829</v>
      </c>
    </row>
    <row r="124" spans="1:36" s="930" customFormat="1" ht="26.1" customHeight="1">
      <c r="A124" s="956" t="s">
        <v>1089</v>
      </c>
      <c r="B124" s="920" t="s">
        <v>1090</v>
      </c>
      <c r="C124" s="921" t="s">
        <v>1091</v>
      </c>
      <c r="D124" s="942" t="s">
        <v>1032</v>
      </c>
      <c r="E124" s="920" t="s">
        <v>1092</v>
      </c>
      <c r="F124" s="923" t="s">
        <v>440</v>
      </c>
      <c r="G124" s="921" t="s">
        <v>224</v>
      </c>
      <c r="H124" s="923"/>
      <c r="I124" s="923"/>
      <c r="J124" s="924" t="s">
        <v>1035</v>
      </c>
      <c r="K124" s="921" t="s">
        <v>1047</v>
      </c>
      <c r="L124" s="924" t="s">
        <v>1075</v>
      </c>
      <c r="M124" s="932" t="s">
        <v>1038</v>
      </c>
      <c r="N124" s="923"/>
      <c r="O124" s="923"/>
      <c r="P124" s="923" t="s">
        <v>1093</v>
      </c>
      <c r="Q124" s="921" t="s">
        <v>1094</v>
      </c>
      <c r="R124" s="926">
        <v>9474</v>
      </c>
      <c r="S124" s="926">
        <v>7183</v>
      </c>
      <c r="T124" s="923" t="s">
        <v>1095</v>
      </c>
      <c r="U124" s="938"/>
      <c r="V124" s="923" t="s">
        <v>1096</v>
      </c>
      <c r="W124" s="921" t="s">
        <v>564</v>
      </c>
      <c r="X124" s="927">
        <v>1</v>
      </c>
      <c r="Y124" s="926">
        <v>161633</v>
      </c>
      <c r="Z124" s="939"/>
      <c r="AA124" s="940"/>
      <c r="AB124" s="939"/>
      <c r="AC124" s="929">
        <v>161633</v>
      </c>
      <c r="AD124" s="929"/>
      <c r="AE124" s="929">
        <v>161633</v>
      </c>
      <c r="AF124" s="928">
        <v>2</v>
      </c>
      <c r="AG124" s="902">
        <f t="shared" si="32"/>
        <v>23107.317073170732</v>
      </c>
      <c r="AH124" s="902">
        <f t="shared" si="23"/>
        <v>18948</v>
      </c>
      <c r="AI124" s="902">
        <f t="shared" si="31"/>
        <v>4159.3170731707323</v>
      </c>
      <c r="AJ124" s="902">
        <f t="shared" si="33"/>
        <v>23107.317073170732</v>
      </c>
    </row>
    <row r="125" spans="1:36" s="930" customFormat="1" ht="26.1" customHeight="1">
      <c r="A125" s="956" t="s">
        <v>1097</v>
      </c>
      <c r="B125" s="920" t="s">
        <v>1098</v>
      </c>
      <c r="C125" s="921">
        <v>23367</v>
      </c>
      <c r="D125" s="942" t="s">
        <v>243</v>
      </c>
      <c r="E125" s="920" t="s">
        <v>1099</v>
      </c>
      <c r="F125" s="923" t="s">
        <v>884</v>
      </c>
      <c r="G125" s="921" t="s">
        <v>183</v>
      </c>
      <c r="H125" s="923">
        <v>0.3</v>
      </c>
      <c r="I125" s="923" t="s">
        <v>1100</v>
      </c>
      <c r="J125" s="924" t="s">
        <v>1101</v>
      </c>
      <c r="K125" s="921" t="s">
        <v>1047</v>
      </c>
      <c r="L125" s="924"/>
      <c r="M125" s="932"/>
      <c r="N125" s="923"/>
      <c r="O125" s="923"/>
      <c r="P125" s="923" t="s">
        <v>1102</v>
      </c>
      <c r="Q125" s="921" t="s">
        <v>1103</v>
      </c>
      <c r="R125" s="926" t="s">
        <v>1104</v>
      </c>
      <c r="S125" s="926">
        <v>8018</v>
      </c>
      <c r="T125" s="923" t="s">
        <v>162</v>
      </c>
      <c r="U125" s="938"/>
      <c r="V125" s="923" t="s">
        <v>1105</v>
      </c>
      <c r="W125" s="921" t="s">
        <v>564</v>
      </c>
      <c r="X125" s="927">
        <v>1</v>
      </c>
      <c r="Y125" s="926">
        <v>211952</v>
      </c>
      <c r="Z125" s="939"/>
      <c r="AA125" s="940"/>
      <c r="AB125" s="939"/>
      <c r="AC125" s="929">
        <v>211952</v>
      </c>
      <c r="AD125" s="929"/>
      <c r="AE125" s="929">
        <v>211952</v>
      </c>
      <c r="AF125" s="928">
        <v>2</v>
      </c>
      <c r="AG125" s="902">
        <f t="shared" si="32"/>
        <v>26.156097560975613</v>
      </c>
      <c r="AH125" s="902">
        <f t="shared" si="23"/>
        <v>21.448</v>
      </c>
      <c r="AI125" s="902">
        <f t="shared" si="31"/>
        <v>4.708097560975613</v>
      </c>
      <c r="AJ125" s="902">
        <f t="shared" si="33"/>
        <v>26.156097560975613</v>
      </c>
    </row>
    <row r="126" spans="1:36" s="930" customFormat="1" ht="26.1" customHeight="1">
      <c r="A126" s="956" t="s">
        <v>1106</v>
      </c>
      <c r="B126" s="920" t="s">
        <v>1107</v>
      </c>
      <c r="C126" s="921" t="s">
        <v>1108</v>
      </c>
      <c r="D126" s="942" t="s">
        <v>1109</v>
      </c>
      <c r="E126" s="920" t="s">
        <v>1110</v>
      </c>
      <c r="F126" s="923" t="s">
        <v>526</v>
      </c>
      <c r="G126" s="921" t="s">
        <v>208</v>
      </c>
      <c r="H126" s="923" t="s">
        <v>1111</v>
      </c>
      <c r="I126" s="923" t="s">
        <v>1112</v>
      </c>
      <c r="J126" s="924" t="s">
        <v>1113</v>
      </c>
      <c r="K126" s="921" t="s">
        <v>1036</v>
      </c>
      <c r="L126" s="924"/>
      <c r="M126" s="932"/>
      <c r="N126" s="923"/>
      <c r="O126" s="923"/>
      <c r="P126" s="923" t="s">
        <v>1114</v>
      </c>
      <c r="Q126" s="921" t="s">
        <v>1115</v>
      </c>
      <c r="R126" s="926">
        <v>8189</v>
      </c>
      <c r="S126" s="926">
        <v>5393</v>
      </c>
      <c r="T126" s="923" t="s">
        <v>1116</v>
      </c>
      <c r="U126" s="938"/>
      <c r="V126" s="923" t="s">
        <v>1117</v>
      </c>
      <c r="W126" s="921" t="s">
        <v>564</v>
      </c>
      <c r="X126" s="927">
        <v>1</v>
      </c>
      <c r="Y126" s="926">
        <v>72810</v>
      </c>
      <c r="Z126" s="939"/>
      <c r="AA126" s="940"/>
      <c r="AB126" s="939"/>
      <c r="AC126" s="929">
        <v>72810</v>
      </c>
      <c r="AD126" s="929"/>
      <c r="AE126" s="929">
        <v>72810</v>
      </c>
      <c r="AF126" s="928">
        <v>2</v>
      </c>
      <c r="AG126" s="902">
        <f t="shared" si="32"/>
        <v>19973.17073170732</v>
      </c>
      <c r="AH126" s="902">
        <f t="shared" si="23"/>
        <v>16378</v>
      </c>
      <c r="AI126" s="902">
        <f t="shared" si="31"/>
        <v>3595.1707317073196</v>
      </c>
      <c r="AJ126" s="902">
        <f t="shared" si="33"/>
        <v>19973.17073170732</v>
      </c>
    </row>
    <row r="127" spans="1:36" s="930" customFormat="1" ht="26.1" customHeight="1">
      <c r="A127" s="956" t="s">
        <v>1118</v>
      </c>
      <c r="B127" s="920" t="s">
        <v>1119</v>
      </c>
      <c r="C127" s="921" t="s">
        <v>1120</v>
      </c>
      <c r="D127" s="942" t="s">
        <v>1056</v>
      </c>
      <c r="E127" s="920" t="s">
        <v>998</v>
      </c>
      <c r="F127" s="923" t="s">
        <v>505</v>
      </c>
      <c r="G127" s="921" t="s">
        <v>183</v>
      </c>
      <c r="H127" s="923"/>
      <c r="I127" s="923"/>
      <c r="J127" s="924" t="s">
        <v>1024</v>
      </c>
      <c r="K127" s="921" t="s">
        <v>1038</v>
      </c>
      <c r="L127" s="924"/>
      <c r="M127" s="932"/>
      <c r="N127" s="923"/>
      <c r="O127" s="923"/>
      <c r="P127" s="923" t="s">
        <v>1121</v>
      </c>
      <c r="Q127" s="921" t="s">
        <v>1103</v>
      </c>
      <c r="R127" s="926">
        <v>11092</v>
      </c>
      <c r="S127" s="926">
        <v>7469</v>
      </c>
      <c r="T127" s="923" t="s">
        <v>1122</v>
      </c>
      <c r="U127" s="938"/>
      <c r="V127" s="923" t="s">
        <v>1123</v>
      </c>
      <c r="W127" s="921" t="s">
        <v>564</v>
      </c>
      <c r="X127" s="927">
        <v>1</v>
      </c>
      <c r="Y127" s="926">
        <v>161301</v>
      </c>
      <c r="Z127" s="939"/>
      <c r="AA127" s="940"/>
      <c r="AB127" s="939"/>
      <c r="AC127" s="929">
        <v>161301</v>
      </c>
      <c r="AD127" s="929"/>
      <c r="AE127" s="929">
        <v>161301</v>
      </c>
      <c r="AF127" s="928">
        <v>2</v>
      </c>
      <c r="AG127" s="902">
        <f t="shared" si="32"/>
        <v>27053.658536585368</v>
      </c>
      <c r="AH127" s="902">
        <f t="shared" si="23"/>
        <v>22184</v>
      </c>
      <c r="AI127" s="902">
        <f t="shared" si="31"/>
        <v>4869.658536585368</v>
      </c>
      <c r="AJ127" s="902">
        <f t="shared" si="33"/>
        <v>27053.658536585368</v>
      </c>
    </row>
    <row r="128" spans="1:36" s="930" customFormat="1" ht="26.1" customHeight="1">
      <c r="A128" s="956" t="s">
        <v>1124</v>
      </c>
      <c r="B128" s="920" t="s">
        <v>1125</v>
      </c>
      <c r="C128" s="921">
        <v>25090</v>
      </c>
      <c r="D128" s="942" t="s">
        <v>243</v>
      </c>
      <c r="E128" s="920" t="s">
        <v>1126</v>
      </c>
      <c r="F128" s="923" t="s">
        <v>413</v>
      </c>
      <c r="G128" s="921" t="s">
        <v>139</v>
      </c>
      <c r="H128" s="923"/>
      <c r="I128" s="923"/>
      <c r="J128" s="924" t="s">
        <v>1127</v>
      </c>
      <c r="K128" s="921" t="s">
        <v>1128</v>
      </c>
      <c r="L128" s="924" t="s">
        <v>1048</v>
      </c>
      <c r="M128" s="932" t="s">
        <v>1062</v>
      </c>
      <c r="N128" s="923"/>
      <c r="O128" s="923"/>
      <c r="P128" s="923" t="s">
        <v>1129</v>
      </c>
      <c r="Q128" s="921" t="s">
        <v>1130</v>
      </c>
      <c r="R128" s="926">
        <v>9506</v>
      </c>
      <c r="S128" s="926">
        <v>6473</v>
      </c>
      <c r="T128" s="923" t="s">
        <v>786</v>
      </c>
      <c r="U128" s="938"/>
      <c r="V128" s="923" t="s">
        <v>1131</v>
      </c>
      <c r="W128" s="921" t="s">
        <v>564</v>
      </c>
      <c r="X128" s="927">
        <v>1</v>
      </c>
      <c r="Y128" s="926">
        <v>127082</v>
      </c>
      <c r="Z128" s="939"/>
      <c r="AA128" s="940"/>
      <c r="AB128" s="939"/>
      <c r="AC128" s="929">
        <v>127082</v>
      </c>
      <c r="AD128" s="929"/>
      <c r="AE128" s="929">
        <v>127082</v>
      </c>
      <c r="AF128" s="928">
        <v>2</v>
      </c>
      <c r="AG128" s="902">
        <f t="shared" si="32"/>
        <v>23185.365853658539</v>
      </c>
      <c r="AH128" s="902">
        <f t="shared" si="23"/>
        <v>19012</v>
      </c>
      <c r="AI128" s="902">
        <f t="shared" si="31"/>
        <v>4173.365853658539</v>
      </c>
      <c r="AJ128" s="902">
        <f t="shared" si="33"/>
        <v>23185.365853658539</v>
      </c>
    </row>
    <row r="129" spans="1:36" s="930" customFormat="1" ht="26.1" customHeight="1">
      <c r="A129" s="956" t="s">
        <v>1132</v>
      </c>
      <c r="B129" s="920" t="s">
        <v>1133</v>
      </c>
      <c r="C129" s="921" t="s">
        <v>1134</v>
      </c>
      <c r="D129" s="942" t="s">
        <v>1032</v>
      </c>
      <c r="E129" s="920" t="s">
        <v>1135</v>
      </c>
      <c r="F129" s="923" t="s">
        <v>388</v>
      </c>
      <c r="G129" s="921" t="s">
        <v>183</v>
      </c>
      <c r="H129" s="923"/>
      <c r="I129" s="923"/>
      <c r="J129" s="924" t="s">
        <v>1059</v>
      </c>
      <c r="K129" s="921" t="s">
        <v>1136</v>
      </c>
      <c r="L129" s="924" t="s">
        <v>1137</v>
      </c>
      <c r="M129" s="932" t="s">
        <v>1038</v>
      </c>
      <c r="N129" s="923"/>
      <c r="O129" s="923"/>
      <c r="P129" s="923" t="s">
        <v>1138</v>
      </c>
      <c r="Q129" s="921" t="s">
        <v>188</v>
      </c>
      <c r="R129" s="926">
        <v>8983</v>
      </c>
      <c r="S129" s="926" t="s">
        <v>1139</v>
      </c>
      <c r="T129" s="923" t="s">
        <v>1140</v>
      </c>
      <c r="U129" s="938"/>
      <c r="V129" s="923" t="s">
        <v>1141</v>
      </c>
      <c r="W129" s="921" t="s">
        <v>564</v>
      </c>
      <c r="X129" s="927">
        <v>1</v>
      </c>
      <c r="Y129" s="926">
        <v>147559</v>
      </c>
      <c r="Z129" s="939"/>
      <c r="AA129" s="940"/>
      <c r="AB129" s="939"/>
      <c r="AC129" s="929">
        <v>147559</v>
      </c>
      <c r="AD129" s="929"/>
      <c r="AE129" s="929">
        <v>147559</v>
      </c>
      <c r="AF129" s="928">
        <v>2</v>
      </c>
      <c r="AG129" s="902">
        <f t="shared" si="32"/>
        <v>21909.756097560978</v>
      </c>
      <c r="AH129" s="902">
        <f t="shared" si="23"/>
        <v>17966</v>
      </c>
      <c r="AI129" s="902">
        <f t="shared" si="31"/>
        <v>3943.7560975609777</v>
      </c>
      <c r="AJ129" s="902">
        <f t="shared" si="33"/>
        <v>21909.756097560978</v>
      </c>
    </row>
    <row r="130" spans="1:36" s="930" customFormat="1" ht="26.1" customHeight="1">
      <c r="A130" s="956" t="s">
        <v>1142</v>
      </c>
      <c r="B130" s="920" t="s">
        <v>1143</v>
      </c>
      <c r="C130" s="921">
        <v>24639</v>
      </c>
      <c r="D130" s="942" t="s">
        <v>1032</v>
      </c>
      <c r="E130" s="920" t="s">
        <v>1144</v>
      </c>
      <c r="F130" s="923" t="s">
        <v>1145</v>
      </c>
      <c r="G130" s="921" t="s">
        <v>183</v>
      </c>
      <c r="H130" s="923" t="s">
        <v>1146</v>
      </c>
      <c r="I130" s="923" t="s">
        <v>1147</v>
      </c>
      <c r="J130" s="924" t="s">
        <v>1024</v>
      </c>
      <c r="K130" s="921" t="s">
        <v>1148</v>
      </c>
      <c r="L130" s="924" t="s">
        <v>1061</v>
      </c>
      <c r="M130" s="932" t="s">
        <v>1038</v>
      </c>
      <c r="N130" s="923"/>
      <c r="O130" s="923"/>
      <c r="P130" s="923" t="s">
        <v>1149</v>
      </c>
      <c r="Q130" s="921" t="s">
        <v>1150</v>
      </c>
      <c r="R130" s="926">
        <v>9597</v>
      </c>
      <c r="S130" s="926">
        <v>7017</v>
      </c>
      <c r="T130" s="923" t="s">
        <v>1151</v>
      </c>
      <c r="U130" s="938"/>
      <c r="V130" s="923" t="s">
        <v>1152</v>
      </c>
      <c r="W130" s="921" t="s">
        <v>564</v>
      </c>
      <c r="X130" s="927">
        <v>1</v>
      </c>
      <c r="Y130" s="926">
        <v>140886</v>
      </c>
      <c r="Z130" s="939"/>
      <c r="AA130" s="940"/>
      <c r="AB130" s="939"/>
      <c r="AC130" s="929">
        <v>140886</v>
      </c>
      <c r="AD130" s="929"/>
      <c r="AE130" s="929">
        <v>140886</v>
      </c>
      <c r="AF130" s="928">
        <v>2</v>
      </c>
      <c r="AG130" s="902">
        <f t="shared" si="32"/>
        <v>23407.317073170732</v>
      </c>
      <c r="AH130" s="902">
        <f t="shared" si="23"/>
        <v>19194</v>
      </c>
      <c r="AI130" s="902">
        <f t="shared" si="31"/>
        <v>4213.3170731707323</v>
      </c>
      <c r="AJ130" s="902">
        <f t="shared" si="33"/>
        <v>23407.317073170732</v>
      </c>
    </row>
    <row r="131" spans="1:36" s="930" customFormat="1" ht="26.1" customHeight="1">
      <c r="A131" s="956" t="s">
        <v>1153</v>
      </c>
      <c r="B131" s="920" t="s">
        <v>1154</v>
      </c>
      <c r="C131" s="921">
        <v>25303</v>
      </c>
      <c r="D131" s="942" t="s">
        <v>1032</v>
      </c>
      <c r="E131" s="920" t="s">
        <v>1144</v>
      </c>
      <c r="F131" s="923" t="s">
        <v>1145</v>
      </c>
      <c r="G131" s="921" t="s">
        <v>183</v>
      </c>
      <c r="H131" s="923"/>
      <c r="I131" s="923"/>
      <c r="J131" s="924" t="s">
        <v>1024</v>
      </c>
      <c r="K131" s="921" t="s">
        <v>1047</v>
      </c>
      <c r="L131" s="924" t="s">
        <v>1061</v>
      </c>
      <c r="M131" s="932" t="s">
        <v>1038</v>
      </c>
      <c r="N131" s="923"/>
      <c r="O131" s="923"/>
      <c r="P131" s="923" t="s">
        <v>555</v>
      </c>
      <c r="Q131" s="921" t="s">
        <v>696</v>
      </c>
      <c r="R131" s="926">
        <v>9279</v>
      </c>
      <c r="S131" s="926">
        <v>7152</v>
      </c>
      <c r="T131" s="923" t="s">
        <v>1155</v>
      </c>
      <c r="U131" s="938"/>
      <c r="V131" s="923" t="s">
        <v>1156</v>
      </c>
      <c r="W131" s="921" t="s">
        <v>564</v>
      </c>
      <c r="X131" s="927">
        <v>1</v>
      </c>
      <c r="Y131" s="926">
        <v>170538</v>
      </c>
      <c r="Z131" s="939"/>
      <c r="AA131" s="940"/>
      <c r="AB131" s="939"/>
      <c r="AC131" s="929">
        <v>170538</v>
      </c>
      <c r="AD131" s="929"/>
      <c r="AE131" s="929">
        <v>170538</v>
      </c>
      <c r="AF131" s="928">
        <v>2</v>
      </c>
      <c r="AG131" s="902">
        <f t="shared" si="32"/>
        <v>22631.707317073171</v>
      </c>
      <c r="AH131" s="902">
        <f t="shared" si="23"/>
        <v>18558</v>
      </c>
      <c r="AI131" s="902">
        <f t="shared" si="31"/>
        <v>4073.707317073171</v>
      </c>
      <c r="AJ131" s="902">
        <f t="shared" si="33"/>
        <v>22631.707317073171</v>
      </c>
    </row>
    <row r="132" spans="1:36" s="930" customFormat="1" ht="26.1" customHeight="1">
      <c r="A132" s="956" t="s">
        <v>1157</v>
      </c>
      <c r="B132" s="920" t="s">
        <v>1158</v>
      </c>
      <c r="C132" s="921">
        <v>23190</v>
      </c>
      <c r="D132" s="942" t="s">
        <v>1159</v>
      </c>
      <c r="E132" s="920" t="s">
        <v>1160</v>
      </c>
      <c r="F132" s="923" t="s">
        <v>131</v>
      </c>
      <c r="G132" s="921" t="s">
        <v>873</v>
      </c>
      <c r="H132" s="923"/>
      <c r="I132" s="923"/>
      <c r="J132" s="924">
        <v>0.28999999999999998</v>
      </c>
      <c r="K132" s="921" t="s">
        <v>1161</v>
      </c>
      <c r="L132" s="924"/>
      <c r="M132" s="932"/>
      <c r="N132" s="923"/>
      <c r="O132" s="923"/>
      <c r="P132" s="923" t="s">
        <v>145</v>
      </c>
      <c r="Q132" s="921" t="s">
        <v>1162</v>
      </c>
      <c r="R132" s="926">
        <v>10424</v>
      </c>
      <c r="S132" s="926">
        <v>7764</v>
      </c>
      <c r="T132" s="923" t="s">
        <v>1163</v>
      </c>
      <c r="U132" s="938"/>
      <c r="V132" s="923" t="s">
        <v>1164</v>
      </c>
      <c r="W132" s="921" t="s">
        <v>176</v>
      </c>
      <c r="X132" s="927">
        <v>1</v>
      </c>
      <c r="Y132" s="926">
        <v>149350</v>
      </c>
      <c r="Z132" s="939"/>
      <c r="AA132" s="940"/>
      <c r="AB132" s="939"/>
      <c r="AC132" s="929">
        <v>149350</v>
      </c>
      <c r="AD132" s="929"/>
      <c r="AE132" s="929">
        <v>149350</v>
      </c>
      <c r="AF132" s="928">
        <v>0</v>
      </c>
      <c r="AG132" s="902">
        <f t="shared" si="32"/>
        <v>0</v>
      </c>
      <c r="AH132" s="902">
        <f t="shared" si="23"/>
        <v>0</v>
      </c>
      <c r="AI132" s="902">
        <f t="shared" si="31"/>
        <v>0</v>
      </c>
      <c r="AJ132" s="902">
        <f t="shared" si="33"/>
        <v>0</v>
      </c>
    </row>
    <row r="133" spans="1:36" s="930" customFormat="1" ht="26.1" customHeight="1">
      <c r="A133" s="956" t="s">
        <v>1165</v>
      </c>
      <c r="B133" s="920" t="s">
        <v>1166</v>
      </c>
      <c r="C133" s="921" t="s">
        <v>1167</v>
      </c>
      <c r="D133" s="942" t="s">
        <v>1168</v>
      </c>
      <c r="E133" s="920" t="s">
        <v>1169</v>
      </c>
      <c r="F133" s="923" t="s">
        <v>616</v>
      </c>
      <c r="G133" s="921" t="s">
        <v>139</v>
      </c>
      <c r="H133" s="923"/>
      <c r="I133" s="923"/>
      <c r="J133" s="924">
        <v>0.33</v>
      </c>
      <c r="K133" s="921" t="s">
        <v>139</v>
      </c>
      <c r="L133" s="924">
        <v>0.12</v>
      </c>
      <c r="M133" s="932" t="s">
        <v>139</v>
      </c>
      <c r="N133" s="923"/>
      <c r="O133" s="923"/>
      <c r="P133" s="923" t="s">
        <v>172</v>
      </c>
      <c r="Q133" s="921" t="s">
        <v>249</v>
      </c>
      <c r="R133" s="926">
        <v>10436</v>
      </c>
      <c r="S133" s="926">
        <v>7347</v>
      </c>
      <c r="T133" s="923" t="s">
        <v>1170</v>
      </c>
      <c r="U133" s="938"/>
      <c r="V133" s="923" t="s">
        <v>1171</v>
      </c>
      <c r="W133" s="921" t="s">
        <v>176</v>
      </c>
      <c r="X133" s="927">
        <v>1</v>
      </c>
      <c r="Y133" s="926">
        <v>177910</v>
      </c>
      <c r="Z133" s="939"/>
      <c r="AA133" s="940"/>
      <c r="AB133" s="939"/>
      <c r="AC133" s="929">
        <v>177910</v>
      </c>
      <c r="AD133" s="929"/>
      <c r="AE133" s="929">
        <v>177910</v>
      </c>
      <c r="AF133" s="928">
        <v>0</v>
      </c>
      <c r="AG133" s="902">
        <f t="shared" si="32"/>
        <v>0</v>
      </c>
      <c r="AH133" s="902">
        <f t="shared" si="23"/>
        <v>0</v>
      </c>
      <c r="AI133" s="902">
        <f t="shared" si="31"/>
        <v>0</v>
      </c>
      <c r="AJ133" s="902">
        <f t="shared" si="33"/>
        <v>0</v>
      </c>
    </row>
    <row r="134" spans="1:36" s="930" customFormat="1" ht="26.1" customHeight="1">
      <c r="A134" s="956" t="s">
        <v>1172</v>
      </c>
      <c r="B134" s="920" t="s">
        <v>1173</v>
      </c>
      <c r="C134" s="921">
        <v>23013</v>
      </c>
      <c r="D134" s="942" t="s">
        <v>1168</v>
      </c>
      <c r="E134" s="920" t="s">
        <v>1174</v>
      </c>
      <c r="F134" s="923" t="s">
        <v>616</v>
      </c>
      <c r="G134" s="921" t="s">
        <v>183</v>
      </c>
      <c r="H134" s="923"/>
      <c r="I134" s="923"/>
      <c r="J134" s="924" t="s">
        <v>1059</v>
      </c>
      <c r="K134" s="921" t="s">
        <v>1175</v>
      </c>
      <c r="L134" s="924" t="s">
        <v>1176</v>
      </c>
      <c r="M134" s="932" t="s">
        <v>1038</v>
      </c>
      <c r="N134" s="923"/>
      <c r="O134" s="923"/>
      <c r="P134" s="923" t="s">
        <v>1177</v>
      </c>
      <c r="Q134" s="921" t="s">
        <v>1094</v>
      </c>
      <c r="R134" s="926">
        <v>10556</v>
      </c>
      <c r="S134" s="926">
        <v>7381</v>
      </c>
      <c r="T134" s="923" t="s">
        <v>1178</v>
      </c>
      <c r="U134" s="938"/>
      <c r="V134" s="923" t="s">
        <v>1179</v>
      </c>
      <c r="W134" s="921" t="s">
        <v>176</v>
      </c>
      <c r="X134" s="927">
        <v>1</v>
      </c>
      <c r="Y134" s="926">
        <v>179517</v>
      </c>
      <c r="Z134" s="939"/>
      <c r="AA134" s="940"/>
      <c r="AB134" s="939"/>
      <c r="AC134" s="929">
        <v>179517</v>
      </c>
      <c r="AD134" s="929"/>
      <c r="AE134" s="929">
        <v>179517</v>
      </c>
      <c r="AF134" s="928">
        <v>0</v>
      </c>
      <c r="AG134" s="902">
        <f t="shared" si="32"/>
        <v>0</v>
      </c>
      <c r="AH134" s="902">
        <f t="shared" si="23"/>
        <v>0</v>
      </c>
      <c r="AI134" s="902">
        <f t="shared" si="31"/>
        <v>0</v>
      </c>
      <c r="AJ134" s="902">
        <f t="shared" si="33"/>
        <v>0</v>
      </c>
    </row>
    <row r="135" spans="1:36" s="930" customFormat="1" ht="26.1" customHeight="1">
      <c r="A135" s="956" t="s">
        <v>1180</v>
      </c>
      <c r="B135" s="920" t="s">
        <v>1181</v>
      </c>
      <c r="C135" s="921">
        <v>23210</v>
      </c>
      <c r="D135" s="942" t="s">
        <v>1005</v>
      </c>
      <c r="E135" s="920" t="s">
        <v>1182</v>
      </c>
      <c r="F135" s="923" t="s">
        <v>1183</v>
      </c>
      <c r="G135" s="921" t="s">
        <v>336</v>
      </c>
      <c r="H135" s="923"/>
      <c r="I135" s="923"/>
      <c r="J135" s="924" t="s">
        <v>1184</v>
      </c>
      <c r="K135" s="921" t="s">
        <v>1185</v>
      </c>
      <c r="L135" s="924" t="s">
        <v>1186</v>
      </c>
      <c r="M135" s="932" t="s">
        <v>1187</v>
      </c>
      <c r="N135" s="923"/>
      <c r="O135" s="923"/>
      <c r="P135" s="923" t="s">
        <v>1188</v>
      </c>
      <c r="Q135" s="921" t="s">
        <v>1189</v>
      </c>
      <c r="R135" s="926">
        <v>11757</v>
      </c>
      <c r="S135" s="926">
        <v>8477</v>
      </c>
      <c r="T135" s="923" t="s">
        <v>1190</v>
      </c>
      <c r="U135" s="938"/>
      <c r="V135" s="923" t="s">
        <v>1191</v>
      </c>
      <c r="W135" s="921" t="s">
        <v>176</v>
      </c>
      <c r="X135" s="927">
        <v>1</v>
      </c>
      <c r="Y135" s="926">
        <v>211766</v>
      </c>
      <c r="Z135" s="939"/>
      <c r="AA135" s="940"/>
      <c r="AB135" s="939"/>
      <c r="AC135" s="929">
        <v>211766</v>
      </c>
      <c r="AD135" s="929"/>
      <c r="AE135" s="929">
        <v>211766</v>
      </c>
      <c r="AF135" s="928">
        <v>0</v>
      </c>
      <c r="AG135" s="902">
        <f t="shared" si="32"/>
        <v>0</v>
      </c>
      <c r="AH135" s="902">
        <f t="shared" si="23"/>
        <v>0</v>
      </c>
      <c r="AI135" s="902">
        <f t="shared" si="31"/>
        <v>0</v>
      </c>
      <c r="AJ135" s="902">
        <f t="shared" si="33"/>
        <v>0</v>
      </c>
    </row>
    <row r="136" spans="1:36" s="930" customFormat="1" ht="26.1" customHeight="1">
      <c r="A136" s="956" t="s">
        <v>1192</v>
      </c>
      <c r="B136" s="920" t="s">
        <v>1119</v>
      </c>
      <c r="C136" s="921" t="s">
        <v>1193</v>
      </c>
      <c r="D136" s="942" t="s">
        <v>1005</v>
      </c>
      <c r="E136" s="920" t="s">
        <v>1057</v>
      </c>
      <c r="F136" s="923" t="s">
        <v>1194</v>
      </c>
      <c r="G136" s="921" t="s">
        <v>873</v>
      </c>
      <c r="H136" s="923"/>
      <c r="I136" s="923"/>
      <c r="J136" s="924" t="s">
        <v>1195</v>
      </c>
      <c r="K136" s="921" t="s">
        <v>1062</v>
      </c>
      <c r="L136" s="924"/>
      <c r="M136" s="932"/>
      <c r="N136" s="923"/>
      <c r="O136" s="923"/>
      <c r="P136" s="923" t="s">
        <v>1196</v>
      </c>
      <c r="Q136" s="921" t="s">
        <v>1197</v>
      </c>
      <c r="R136" s="926">
        <v>10267</v>
      </c>
      <c r="S136" s="926">
        <v>7153</v>
      </c>
      <c r="T136" s="923" t="s">
        <v>1198</v>
      </c>
      <c r="U136" s="938"/>
      <c r="V136" s="923" t="s">
        <v>1199</v>
      </c>
      <c r="W136" s="921" t="s">
        <v>176</v>
      </c>
      <c r="X136" s="927">
        <v>1</v>
      </c>
      <c r="Y136" s="926">
        <v>150228</v>
      </c>
      <c r="Z136" s="939"/>
      <c r="AA136" s="940"/>
      <c r="AB136" s="939"/>
      <c r="AC136" s="929">
        <v>150228</v>
      </c>
      <c r="AD136" s="929"/>
      <c r="AE136" s="929">
        <v>150228</v>
      </c>
      <c r="AF136" s="928">
        <v>0</v>
      </c>
      <c r="AG136" s="902">
        <f t="shared" si="32"/>
        <v>0</v>
      </c>
      <c r="AH136" s="902">
        <f t="shared" si="23"/>
        <v>0</v>
      </c>
      <c r="AI136" s="902">
        <f t="shared" si="31"/>
        <v>0</v>
      </c>
      <c r="AJ136" s="902">
        <f t="shared" si="33"/>
        <v>0</v>
      </c>
    </row>
    <row r="137" spans="1:36" s="930" customFormat="1" ht="26.1" customHeight="1">
      <c r="A137" s="956" t="s">
        <v>1200</v>
      </c>
      <c r="B137" s="920" t="s">
        <v>1201</v>
      </c>
      <c r="C137" s="921">
        <v>24453</v>
      </c>
      <c r="D137" s="942" t="s">
        <v>601</v>
      </c>
      <c r="E137" s="920" t="s">
        <v>998</v>
      </c>
      <c r="F137" s="923" t="s">
        <v>535</v>
      </c>
      <c r="G137" s="921" t="s">
        <v>183</v>
      </c>
      <c r="H137" s="923"/>
      <c r="I137" s="923"/>
      <c r="J137" s="924" t="s">
        <v>1202</v>
      </c>
      <c r="K137" s="921" t="s">
        <v>1203</v>
      </c>
      <c r="L137" s="924" t="s">
        <v>1061</v>
      </c>
      <c r="M137" s="932" t="s">
        <v>1038</v>
      </c>
      <c r="N137" s="923"/>
      <c r="O137" s="923"/>
      <c r="P137" s="923" t="s">
        <v>1204</v>
      </c>
      <c r="Q137" s="921" t="s">
        <v>1094</v>
      </c>
      <c r="R137" s="926">
        <v>9947</v>
      </c>
      <c r="S137" s="926">
        <v>6925</v>
      </c>
      <c r="T137" s="923" t="s">
        <v>1205</v>
      </c>
      <c r="U137" s="938"/>
      <c r="V137" s="923" t="s">
        <v>1206</v>
      </c>
      <c r="W137" s="921" t="s">
        <v>176</v>
      </c>
      <c r="X137" s="927">
        <v>1</v>
      </c>
      <c r="Y137" s="926">
        <v>123512</v>
      </c>
      <c r="Z137" s="939"/>
      <c r="AA137" s="940"/>
      <c r="AB137" s="939"/>
      <c r="AC137" s="929">
        <v>123512</v>
      </c>
      <c r="AD137" s="929"/>
      <c r="AE137" s="929">
        <v>123512</v>
      </c>
      <c r="AF137" s="928">
        <v>0</v>
      </c>
      <c r="AG137" s="902">
        <f t="shared" si="32"/>
        <v>0</v>
      </c>
      <c r="AH137" s="902">
        <f t="shared" ref="AH137:AH200" si="34">AF137*R137</f>
        <v>0</v>
      </c>
      <c r="AI137" s="902">
        <f t="shared" si="31"/>
        <v>0</v>
      </c>
      <c r="AJ137" s="902">
        <f t="shared" si="33"/>
        <v>0</v>
      </c>
    </row>
    <row r="138" spans="1:36" s="930" customFormat="1" ht="26.1" customHeight="1">
      <c r="A138" s="956" t="s">
        <v>1207</v>
      </c>
      <c r="B138" s="920" t="s">
        <v>1208</v>
      </c>
      <c r="C138" s="921">
        <v>25126</v>
      </c>
      <c r="D138" s="942" t="s">
        <v>243</v>
      </c>
      <c r="E138" s="920" t="s">
        <v>1209</v>
      </c>
      <c r="F138" s="923" t="s">
        <v>388</v>
      </c>
      <c r="G138" s="921" t="s">
        <v>183</v>
      </c>
      <c r="H138" s="923"/>
      <c r="I138" s="923"/>
      <c r="J138" s="924">
        <v>0.3</v>
      </c>
      <c r="K138" s="921">
        <v>43497</v>
      </c>
      <c r="L138" s="924" t="s">
        <v>1137</v>
      </c>
      <c r="M138" s="932" t="s">
        <v>1038</v>
      </c>
      <c r="N138" s="923"/>
      <c r="O138" s="923"/>
      <c r="P138" s="923" t="s">
        <v>1210</v>
      </c>
      <c r="Q138" s="921" t="s">
        <v>1211</v>
      </c>
      <c r="R138" s="926">
        <v>10220</v>
      </c>
      <c r="S138" s="926">
        <v>7144</v>
      </c>
      <c r="T138" s="923" t="s">
        <v>1212</v>
      </c>
      <c r="U138" s="938"/>
      <c r="V138" s="923" t="s">
        <v>1213</v>
      </c>
      <c r="W138" s="921" t="s">
        <v>176</v>
      </c>
      <c r="X138" s="927">
        <v>1</v>
      </c>
      <c r="Y138" s="926">
        <v>159008</v>
      </c>
      <c r="Z138" s="939"/>
      <c r="AA138" s="940"/>
      <c r="AB138" s="939"/>
      <c r="AC138" s="929">
        <v>159008</v>
      </c>
      <c r="AD138" s="929"/>
      <c r="AE138" s="929">
        <v>159008</v>
      </c>
      <c r="AF138" s="928">
        <v>0</v>
      </c>
      <c r="AG138" s="902">
        <f t="shared" si="32"/>
        <v>0</v>
      </c>
      <c r="AH138" s="902">
        <f t="shared" si="34"/>
        <v>0</v>
      </c>
      <c r="AI138" s="902">
        <f t="shared" si="31"/>
        <v>0</v>
      </c>
      <c r="AJ138" s="902">
        <f t="shared" si="33"/>
        <v>0</v>
      </c>
    </row>
    <row r="139" spans="1:36" s="930" customFormat="1" ht="26.1" customHeight="1">
      <c r="A139" s="956" t="s">
        <v>1214</v>
      </c>
      <c r="B139" s="920" t="s">
        <v>1215</v>
      </c>
      <c r="C139" s="921" t="s">
        <v>459</v>
      </c>
      <c r="D139" s="942" t="s">
        <v>243</v>
      </c>
      <c r="E139" s="920" t="s">
        <v>1209</v>
      </c>
      <c r="F139" s="923" t="s">
        <v>388</v>
      </c>
      <c r="G139" s="921" t="s">
        <v>711</v>
      </c>
      <c r="H139" s="923">
        <v>0.15</v>
      </c>
      <c r="I139" s="923" t="s">
        <v>1216</v>
      </c>
      <c r="J139" s="924">
        <v>0.3</v>
      </c>
      <c r="K139" s="921" t="s">
        <v>164</v>
      </c>
      <c r="L139" s="924" t="s">
        <v>1137</v>
      </c>
      <c r="M139" s="932" t="s">
        <v>1217</v>
      </c>
      <c r="N139" s="923"/>
      <c r="O139" s="923"/>
      <c r="P139" s="923" t="s">
        <v>1210</v>
      </c>
      <c r="Q139" s="921" t="s">
        <v>1218</v>
      </c>
      <c r="R139" s="926">
        <v>10071</v>
      </c>
      <c r="S139" s="926">
        <v>7305</v>
      </c>
      <c r="T139" s="923" t="s">
        <v>1212</v>
      </c>
      <c r="U139" s="938"/>
      <c r="V139" s="923" t="s">
        <v>1219</v>
      </c>
      <c r="W139" s="921" t="s">
        <v>176</v>
      </c>
      <c r="X139" s="927">
        <v>1</v>
      </c>
      <c r="Y139" s="926">
        <v>177157</v>
      </c>
      <c r="Z139" s="939"/>
      <c r="AA139" s="940"/>
      <c r="AB139" s="939"/>
      <c r="AC139" s="929">
        <v>177157</v>
      </c>
      <c r="AD139" s="929"/>
      <c r="AE139" s="929">
        <v>177157</v>
      </c>
      <c r="AF139" s="928">
        <v>0</v>
      </c>
      <c r="AG139" s="902">
        <f t="shared" si="32"/>
        <v>0</v>
      </c>
      <c r="AH139" s="902">
        <f t="shared" si="34"/>
        <v>0</v>
      </c>
      <c r="AI139" s="902">
        <f t="shared" si="31"/>
        <v>0</v>
      </c>
      <c r="AJ139" s="902">
        <f t="shared" si="33"/>
        <v>0</v>
      </c>
    </row>
    <row r="140" spans="1:36" s="930" customFormat="1" ht="26.1" customHeight="1">
      <c r="A140" s="956" t="s">
        <v>1220</v>
      </c>
      <c r="B140" s="920" t="s">
        <v>1221</v>
      </c>
      <c r="C140" s="921" t="s">
        <v>1222</v>
      </c>
      <c r="D140" s="942" t="s">
        <v>1223</v>
      </c>
      <c r="E140" s="920" t="s">
        <v>1209</v>
      </c>
      <c r="F140" s="923" t="s">
        <v>535</v>
      </c>
      <c r="G140" s="921" t="s">
        <v>170</v>
      </c>
      <c r="H140" s="923"/>
      <c r="I140" s="923"/>
      <c r="J140" s="924" t="s">
        <v>1224</v>
      </c>
      <c r="K140" s="921" t="s">
        <v>1225</v>
      </c>
      <c r="L140" s="924" t="s">
        <v>1226</v>
      </c>
      <c r="M140" s="932" t="s">
        <v>1227</v>
      </c>
      <c r="N140" s="923"/>
      <c r="O140" s="923"/>
      <c r="P140" s="923" t="s">
        <v>1228</v>
      </c>
      <c r="Q140" s="921" t="s">
        <v>1229</v>
      </c>
      <c r="R140" s="926">
        <v>9946</v>
      </c>
      <c r="S140" s="926">
        <v>7007</v>
      </c>
      <c r="T140" s="923" t="s">
        <v>1230</v>
      </c>
      <c r="U140" s="938"/>
      <c r="V140" s="923" t="s">
        <v>1231</v>
      </c>
      <c r="W140" s="921" t="s">
        <v>176</v>
      </c>
      <c r="X140" s="927">
        <v>1</v>
      </c>
      <c r="Y140" s="926">
        <v>131509</v>
      </c>
      <c r="Z140" s="939"/>
      <c r="AA140" s="940"/>
      <c r="AB140" s="939"/>
      <c r="AC140" s="929">
        <v>131509</v>
      </c>
      <c r="AD140" s="929"/>
      <c r="AE140" s="929">
        <v>131509</v>
      </c>
      <c r="AF140" s="928">
        <v>0</v>
      </c>
      <c r="AG140" s="902">
        <f t="shared" si="32"/>
        <v>0</v>
      </c>
      <c r="AH140" s="902">
        <f t="shared" si="34"/>
        <v>0</v>
      </c>
      <c r="AI140" s="902">
        <f t="shared" si="31"/>
        <v>0</v>
      </c>
      <c r="AJ140" s="902">
        <f t="shared" si="33"/>
        <v>0</v>
      </c>
    </row>
    <row r="141" spans="1:36" s="930" customFormat="1" ht="26.1" customHeight="1">
      <c r="A141" s="956" t="s">
        <v>1232</v>
      </c>
      <c r="B141" s="920" t="s">
        <v>1233</v>
      </c>
      <c r="C141" s="921" t="s">
        <v>1234</v>
      </c>
      <c r="D141" s="942" t="s">
        <v>1235</v>
      </c>
      <c r="E141" s="920" t="s">
        <v>1236</v>
      </c>
      <c r="F141" s="923" t="s">
        <v>169</v>
      </c>
      <c r="G141" s="921" t="s">
        <v>314</v>
      </c>
      <c r="H141" s="923"/>
      <c r="I141" s="923"/>
      <c r="J141" s="924"/>
      <c r="K141" s="921"/>
      <c r="L141" s="924" t="s">
        <v>1237</v>
      </c>
      <c r="M141" s="932" t="s">
        <v>1238</v>
      </c>
      <c r="N141" s="923"/>
      <c r="O141" s="923"/>
      <c r="P141" s="923" t="s">
        <v>1239</v>
      </c>
      <c r="Q141" s="921" t="s">
        <v>1240</v>
      </c>
      <c r="R141" s="926">
        <v>5955</v>
      </c>
      <c r="S141" s="926">
        <v>5571</v>
      </c>
      <c r="T141" s="923" t="s">
        <v>1241</v>
      </c>
      <c r="U141" s="938"/>
      <c r="V141" s="923" t="s">
        <v>1242</v>
      </c>
      <c r="W141" s="921" t="s">
        <v>176</v>
      </c>
      <c r="X141" s="927">
        <v>1</v>
      </c>
      <c r="Y141" s="926">
        <v>128552</v>
      </c>
      <c r="Z141" s="939"/>
      <c r="AA141" s="940"/>
      <c r="AB141" s="939"/>
      <c r="AC141" s="929">
        <v>128552</v>
      </c>
      <c r="AD141" s="929"/>
      <c r="AE141" s="929">
        <v>128552</v>
      </c>
      <c r="AF141" s="928">
        <v>0</v>
      </c>
      <c r="AG141" s="902">
        <f t="shared" si="32"/>
        <v>0</v>
      </c>
      <c r="AH141" s="902">
        <f t="shared" si="34"/>
        <v>0</v>
      </c>
      <c r="AI141" s="902">
        <f t="shared" si="31"/>
        <v>0</v>
      </c>
      <c r="AJ141" s="902">
        <f t="shared" si="33"/>
        <v>0</v>
      </c>
    </row>
    <row r="142" spans="1:36" s="930" customFormat="1" ht="26.1" customHeight="1">
      <c r="A142" s="956" t="s">
        <v>1243</v>
      </c>
      <c r="B142" s="920" t="s">
        <v>1244</v>
      </c>
      <c r="C142" s="921" t="s">
        <v>1245</v>
      </c>
      <c r="D142" s="942" t="s">
        <v>1005</v>
      </c>
      <c r="E142" s="920" t="s">
        <v>1246</v>
      </c>
      <c r="F142" s="923" t="s">
        <v>505</v>
      </c>
      <c r="G142" s="921" t="s">
        <v>139</v>
      </c>
      <c r="H142" s="923"/>
      <c r="I142" s="923"/>
      <c r="J142" s="924" t="s">
        <v>1195</v>
      </c>
      <c r="K142" s="921" t="s">
        <v>1128</v>
      </c>
      <c r="L142" s="924"/>
      <c r="M142" s="932"/>
      <c r="N142" s="923"/>
      <c r="O142" s="923"/>
      <c r="P142" s="923" t="s">
        <v>507</v>
      </c>
      <c r="Q142" s="921" t="s">
        <v>1247</v>
      </c>
      <c r="R142" s="926">
        <v>11027</v>
      </c>
      <c r="S142" s="926">
        <v>7426</v>
      </c>
      <c r="T142" s="923" t="s">
        <v>1248</v>
      </c>
      <c r="U142" s="938"/>
      <c r="V142" s="923" t="s">
        <v>1249</v>
      </c>
      <c r="W142" s="921" t="s">
        <v>176</v>
      </c>
      <c r="X142" s="927">
        <v>1</v>
      </c>
      <c r="Y142" s="926">
        <v>131954</v>
      </c>
      <c r="Z142" s="939"/>
      <c r="AA142" s="940"/>
      <c r="AB142" s="939"/>
      <c r="AC142" s="929">
        <v>131954</v>
      </c>
      <c r="AD142" s="929"/>
      <c r="AE142" s="929">
        <v>131954</v>
      </c>
      <c r="AF142" s="928">
        <v>0</v>
      </c>
      <c r="AG142" s="902">
        <f t="shared" si="32"/>
        <v>0</v>
      </c>
      <c r="AH142" s="902">
        <f t="shared" si="34"/>
        <v>0</v>
      </c>
      <c r="AI142" s="902">
        <f t="shared" si="31"/>
        <v>0</v>
      </c>
      <c r="AJ142" s="902">
        <f t="shared" si="33"/>
        <v>0</v>
      </c>
    </row>
    <row r="143" spans="1:36" s="930" customFormat="1" ht="26.1" customHeight="1">
      <c r="A143" s="956" t="s">
        <v>1250</v>
      </c>
      <c r="B143" s="920" t="s">
        <v>1251</v>
      </c>
      <c r="C143" s="921">
        <v>24833</v>
      </c>
      <c r="D143" s="942" t="s">
        <v>1005</v>
      </c>
      <c r="E143" s="920" t="s">
        <v>1252</v>
      </c>
      <c r="F143" s="923" t="s">
        <v>485</v>
      </c>
      <c r="G143" s="921" t="s">
        <v>217</v>
      </c>
      <c r="H143" s="923"/>
      <c r="I143" s="923"/>
      <c r="J143" s="924" t="s">
        <v>1113</v>
      </c>
      <c r="K143" s="921" t="s">
        <v>1253</v>
      </c>
      <c r="L143" s="924"/>
      <c r="M143" s="932"/>
      <c r="N143" s="923"/>
      <c r="O143" s="923"/>
      <c r="P143" s="923" t="s">
        <v>1254</v>
      </c>
      <c r="Q143" s="921" t="s">
        <v>1255</v>
      </c>
      <c r="R143" s="926">
        <v>5694</v>
      </c>
      <c r="S143" s="926">
        <v>5723</v>
      </c>
      <c r="T143" s="923" t="s">
        <v>1256</v>
      </c>
      <c r="U143" s="938"/>
      <c r="V143" s="923" t="s">
        <v>1257</v>
      </c>
      <c r="W143" s="921" t="s">
        <v>176</v>
      </c>
      <c r="X143" s="927">
        <v>1</v>
      </c>
      <c r="Y143" s="926">
        <v>88718</v>
      </c>
      <c r="Z143" s="939"/>
      <c r="AA143" s="940"/>
      <c r="AB143" s="939"/>
      <c r="AC143" s="929">
        <v>88718</v>
      </c>
      <c r="AD143" s="929"/>
      <c r="AE143" s="929">
        <v>88718</v>
      </c>
      <c r="AF143" s="928">
        <v>0</v>
      </c>
      <c r="AG143" s="902">
        <f t="shared" si="32"/>
        <v>0</v>
      </c>
      <c r="AH143" s="902">
        <f t="shared" si="34"/>
        <v>0</v>
      </c>
      <c r="AI143" s="902">
        <f t="shared" si="31"/>
        <v>0</v>
      </c>
      <c r="AJ143" s="902">
        <f t="shared" si="33"/>
        <v>0</v>
      </c>
    </row>
    <row r="144" spans="1:36" s="930" customFormat="1" ht="26.1" customHeight="1">
      <c r="A144" s="956" t="s">
        <v>1258</v>
      </c>
      <c r="B144" s="920" t="s">
        <v>1259</v>
      </c>
      <c r="C144" s="921" t="s">
        <v>1260</v>
      </c>
      <c r="D144" s="942" t="s">
        <v>1261</v>
      </c>
      <c r="E144" s="920" t="s">
        <v>1262</v>
      </c>
      <c r="F144" s="923" t="s">
        <v>1263</v>
      </c>
      <c r="G144" s="921" t="s">
        <v>183</v>
      </c>
      <c r="H144" s="923"/>
      <c r="I144" s="923"/>
      <c r="J144" s="924" t="s">
        <v>1101</v>
      </c>
      <c r="K144" s="921" t="s">
        <v>1264</v>
      </c>
      <c r="L144" s="924" t="s">
        <v>1237</v>
      </c>
      <c r="M144" s="932" t="s">
        <v>1038</v>
      </c>
      <c r="N144" s="923"/>
      <c r="O144" s="923"/>
      <c r="P144" s="923" t="s">
        <v>1265</v>
      </c>
      <c r="Q144" s="921" t="s">
        <v>1211</v>
      </c>
      <c r="R144" s="926">
        <v>12275</v>
      </c>
      <c r="S144" s="926">
        <v>9173</v>
      </c>
      <c r="T144" s="923" t="s">
        <v>817</v>
      </c>
      <c r="U144" s="938"/>
      <c r="V144" s="923" t="s">
        <v>1266</v>
      </c>
      <c r="W144" s="921" t="s">
        <v>176</v>
      </c>
      <c r="X144" s="927">
        <v>1</v>
      </c>
      <c r="Y144" s="926">
        <v>238449</v>
      </c>
      <c r="Z144" s="939"/>
      <c r="AA144" s="940"/>
      <c r="AB144" s="939"/>
      <c r="AC144" s="929">
        <v>238449</v>
      </c>
      <c r="AD144" s="929"/>
      <c r="AE144" s="929">
        <v>238449</v>
      </c>
      <c r="AF144" s="928">
        <v>0</v>
      </c>
      <c r="AG144" s="902">
        <f t="shared" si="32"/>
        <v>0</v>
      </c>
      <c r="AH144" s="902">
        <f t="shared" si="34"/>
        <v>0</v>
      </c>
      <c r="AI144" s="902">
        <f t="shared" si="31"/>
        <v>0</v>
      </c>
      <c r="AJ144" s="902">
        <f t="shared" si="33"/>
        <v>0</v>
      </c>
    </row>
    <row r="145" spans="1:36" s="930" customFormat="1" ht="26.1" customHeight="1">
      <c r="A145" s="956" t="s">
        <v>1267</v>
      </c>
      <c r="B145" s="920" t="s">
        <v>1268</v>
      </c>
      <c r="C145" s="921">
        <v>22943</v>
      </c>
      <c r="D145" s="942" t="s">
        <v>1269</v>
      </c>
      <c r="E145" s="920" t="s">
        <v>1270</v>
      </c>
      <c r="F145" s="923" t="s">
        <v>195</v>
      </c>
      <c r="G145" s="921" t="s">
        <v>139</v>
      </c>
      <c r="H145" s="923"/>
      <c r="I145" s="923"/>
      <c r="J145" s="924" t="s">
        <v>1271</v>
      </c>
      <c r="K145" s="921" t="s">
        <v>1272</v>
      </c>
      <c r="L145" s="924" t="s">
        <v>1273</v>
      </c>
      <c r="M145" s="932" t="s">
        <v>1062</v>
      </c>
      <c r="N145" s="923"/>
      <c r="O145" s="923"/>
      <c r="P145" s="923" t="s">
        <v>730</v>
      </c>
      <c r="Q145" s="921" t="s">
        <v>1274</v>
      </c>
      <c r="R145" s="926">
        <v>9178</v>
      </c>
      <c r="S145" s="926">
        <v>7829</v>
      </c>
      <c r="T145" s="923" t="s">
        <v>1275</v>
      </c>
      <c r="U145" s="938"/>
      <c r="V145" s="923" t="s">
        <v>1276</v>
      </c>
      <c r="W145" s="921" t="s">
        <v>176</v>
      </c>
      <c r="X145" s="927">
        <v>1</v>
      </c>
      <c r="Y145" s="926">
        <v>177534</v>
      </c>
      <c r="Z145" s="939"/>
      <c r="AA145" s="940"/>
      <c r="AB145" s="939"/>
      <c r="AC145" s="929">
        <v>177534</v>
      </c>
      <c r="AD145" s="929"/>
      <c r="AE145" s="929">
        <v>177534</v>
      </c>
      <c r="AF145" s="928">
        <v>0</v>
      </c>
      <c r="AG145" s="902">
        <f t="shared" si="32"/>
        <v>0</v>
      </c>
      <c r="AH145" s="902">
        <f t="shared" si="34"/>
        <v>0</v>
      </c>
      <c r="AI145" s="902">
        <f t="shared" si="31"/>
        <v>0</v>
      </c>
      <c r="AJ145" s="902">
        <f t="shared" si="33"/>
        <v>0</v>
      </c>
    </row>
    <row r="146" spans="1:36" s="930" customFormat="1" ht="26.1" customHeight="1">
      <c r="A146" s="956" t="s">
        <v>1277</v>
      </c>
      <c r="B146" s="920" t="s">
        <v>1278</v>
      </c>
      <c r="C146" s="921" t="s">
        <v>154</v>
      </c>
      <c r="D146" s="942" t="s">
        <v>1269</v>
      </c>
      <c r="E146" s="920" t="s">
        <v>1270</v>
      </c>
      <c r="F146" s="923" t="s">
        <v>616</v>
      </c>
      <c r="G146" s="921" t="s">
        <v>139</v>
      </c>
      <c r="H146" s="923"/>
      <c r="I146" s="923"/>
      <c r="J146" s="924" t="s">
        <v>1279</v>
      </c>
      <c r="K146" s="921" t="s">
        <v>1272</v>
      </c>
      <c r="L146" s="924" t="s">
        <v>1280</v>
      </c>
      <c r="M146" s="932" t="s">
        <v>1062</v>
      </c>
      <c r="N146" s="923"/>
      <c r="O146" s="923"/>
      <c r="P146" s="923" t="s">
        <v>1281</v>
      </c>
      <c r="Q146" s="921" t="s">
        <v>1274</v>
      </c>
      <c r="R146" s="926">
        <v>9196</v>
      </c>
      <c r="S146" s="926">
        <v>7590</v>
      </c>
      <c r="T146" s="923" t="s">
        <v>1275</v>
      </c>
      <c r="U146" s="938"/>
      <c r="V146" s="923" t="s">
        <v>1282</v>
      </c>
      <c r="W146" s="921" t="s">
        <v>176</v>
      </c>
      <c r="X146" s="927">
        <v>1</v>
      </c>
      <c r="Y146" s="926">
        <v>164406</v>
      </c>
      <c r="Z146" s="939"/>
      <c r="AA146" s="940"/>
      <c r="AB146" s="939"/>
      <c r="AC146" s="929">
        <v>164406</v>
      </c>
      <c r="AD146" s="929"/>
      <c r="AE146" s="929">
        <v>164406</v>
      </c>
      <c r="AF146" s="928">
        <v>0</v>
      </c>
      <c r="AG146" s="902">
        <f t="shared" si="32"/>
        <v>0</v>
      </c>
      <c r="AH146" s="902">
        <f t="shared" si="34"/>
        <v>0</v>
      </c>
      <c r="AI146" s="902">
        <f t="shared" si="31"/>
        <v>0</v>
      </c>
      <c r="AJ146" s="902">
        <f t="shared" si="33"/>
        <v>0</v>
      </c>
    </row>
    <row r="147" spans="1:36" s="930" customFormat="1" ht="26.1" customHeight="1">
      <c r="A147" s="956" t="s">
        <v>1283</v>
      </c>
      <c r="B147" s="920" t="s">
        <v>1284</v>
      </c>
      <c r="C147" s="921" t="s">
        <v>1285</v>
      </c>
      <c r="D147" s="942" t="s">
        <v>1269</v>
      </c>
      <c r="E147" s="920" t="s">
        <v>1169</v>
      </c>
      <c r="F147" s="923" t="s">
        <v>535</v>
      </c>
      <c r="G147" s="921">
        <v>43374</v>
      </c>
      <c r="H147" s="923"/>
      <c r="I147" s="923"/>
      <c r="J147" s="924" t="s">
        <v>1286</v>
      </c>
      <c r="K147" s="921" t="s">
        <v>1047</v>
      </c>
      <c r="L147" s="924" t="s">
        <v>1287</v>
      </c>
      <c r="M147" s="932" t="s">
        <v>1038</v>
      </c>
      <c r="N147" s="923"/>
      <c r="O147" s="923"/>
      <c r="P147" s="923" t="s">
        <v>1149</v>
      </c>
      <c r="Q147" s="921" t="s">
        <v>1150</v>
      </c>
      <c r="R147" s="926">
        <v>7015</v>
      </c>
      <c r="S147" s="926">
        <v>7730</v>
      </c>
      <c r="T147" s="923" t="s">
        <v>557</v>
      </c>
      <c r="U147" s="938"/>
      <c r="V147" s="923" t="s">
        <v>1288</v>
      </c>
      <c r="W147" s="921" t="s">
        <v>176</v>
      </c>
      <c r="X147" s="927">
        <v>1</v>
      </c>
      <c r="Y147" s="926">
        <v>132975</v>
      </c>
      <c r="Z147" s="939"/>
      <c r="AA147" s="940"/>
      <c r="AB147" s="939"/>
      <c r="AC147" s="929">
        <v>132975</v>
      </c>
      <c r="AD147" s="929"/>
      <c r="AE147" s="929">
        <v>132975</v>
      </c>
      <c r="AF147" s="928">
        <v>0</v>
      </c>
      <c r="AG147" s="902">
        <f t="shared" si="32"/>
        <v>0</v>
      </c>
      <c r="AH147" s="902">
        <f t="shared" si="34"/>
        <v>0</v>
      </c>
      <c r="AI147" s="902">
        <f t="shared" si="31"/>
        <v>0</v>
      </c>
      <c r="AJ147" s="902">
        <f t="shared" si="33"/>
        <v>0</v>
      </c>
    </row>
    <row r="148" spans="1:36" s="930" customFormat="1" ht="26.1" customHeight="1">
      <c r="A148" s="956" t="s">
        <v>1289</v>
      </c>
      <c r="B148" s="920" t="s">
        <v>1290</v>
      </c>
      <c r="C148" s="921">
        <v>25255</v>
      </c>
      <c r="D148" s="942" t="s">
        <v>243</v>
      </c>
      <c r="E148" s="920" t="s">
        <v>1057</v>
      </c>
      <c r="F148" s="923" t="s">
        <v>131</v>
      </c>
      <c r="G148" s="921" t="s">
        <v>183</v>
      </c>
      <c r="H148" s="923"/>
      <c r="I148" s="923"/>
      <c r="J148" s="924" t="s">
        <v>1291</v>
      </c>
      <c r="K148" s="921" t="s">
        <v>1292</v>
      </c>
      <c r="L148" s="924"/>
      <c r="M148" s="932"/>
      <c r="N148" s="923"/>
      <c r="O148" s="923"/>
      <c r="P148" s="923" t="s">
        <v>145</v>
      </c>
      <c r="Q148" s="921" t="s">
        <v>963</v>
      </c>
      <c r="R148" s="926">
        <v>10937</v>
      </c>
      <c r="S148" s="926">
        <v>7411</v>
      </c>
      <c r="T148" s="923" t="s">
        <v>591</v>
      </c>
      <c r="U148" s="938"/>
      <c r="V148" s="923" t="s">
        <v>1293</v>
      </c>
      <c r="W148" s="921" t="s">
        <v>176</v>
      </c>
      <c r="X148" s="927">
        <v>1</v>
      </c>
      <c r="Y148" s="926">
        <v>178537</v>
      </c>
      <c r="Z148" s="939"/>
      <c r="AA148" s="940"/>
      <c r="AB148" s="939"/>
      <c r="AC148" s="929">
        <v>178537</v>
      </c>
      <c r="AD148" s="929"/>
      <c r="AE148" s="929">
        <v>178537</v>
      </c>
      <c r="AF148" s="928">
        <v>0</v>
      </c>
      <c r="AG148" s="902">
        <f t="shared" si="32"/>
        <v>0</v>
      </c>
      <c r="AH148" s="902">
        <f t="shared" si="34"/>
        <v>0</v>
      </c>
      <c r="AI148" s="902">
        <f t="shared" si="31"/>
        <v>0</v>
      </c>
      <c r="AJ148" s="902">
        <f t="shared" si="33"/>
        <v>0</v>
      </c>
    </row>
    <row r="149" spans="1:36" s="930" customFormat="1" ht="26.1" customHeight="1">
      <c r="A149" s="956" t="s">
        <v>1294</v>
      </c>
      <c r="B149" s="920" t="s">
        <v>1295</v>
      </c>
      <c r="C149" s="921" t="s">
        <v>1296</v>
      </c>
      <c r="D149" s="942" t="s">
        <v>1297</v>
      </c>
      <c r="E149" s="920" t="s">
        <v>1298</v>
      </c>
      <c r="F149" s="923" t="s">
        <v>378</v>
      </c>
      <c r="G149" s="921" t="s">
        <v>183</v>
      </c>
      <c r="H149" s="923"/>
      <c r="I149" s="923"/>
      <c r="J149" s="924"/>
      <c r="K149" s="921"/>
      <c r="L149" s="924" t="s">
        <v>1299</v>
      </c>
      <c r="M149" s="932" t="s">
        <v>183</v>
      </c>
      <c r="N149" s="923"/>
      <c r="O149" s="923"/>
      <c r="P149" s="923" t="s">
        <v>1300</v>
      </c>
      <c r="Q149" s="921" t="s">
        <v>1301</v>
      </c>
      <c r="R149" s="926">
        <v>5686</v>
      </c>
      <c r="S149" s="926">
        <v>5140</v>
      </c>
      <c r="T149" s="923" t="s">
        <v>1302</v>
      </c>
      <c r="U149" s="938"/>
      <c r="V149" s="923" t="s">
        <v>1303</v>
      </c>
      <c r="W149" s="921" t="s">
        <v>176</v>
      </c>
      <c r="X149" s="927">
        <v>1</v>
      </c>
      <c r="Y149" s="926">
        <v>95122</v>
      </c>
      <c r="Z149" s="939"/>
      <c r="AA149" s="940"/>
      <c r="AB149" s="939"/>
      <c r="AC149" s="929">
        <v>95122</v>
      </c>
      <c r="AD149" s="929"/>
      <c r="AE149" s="929">
        <v>95122</v>
      </c>
      <c r="AF149" s="928">
        <v>0</v>
      </c>
      <c r="AG149" s="902">
        <f t="shared" si="32"/>
        <v>0</v>
      </c>
      <c r="AH149" s="902">
        <f t="shared" si="34"/>
        <v>0</v>
      </c>
      <c r="AI149" s="902">
        <f t="shared" si="31"/>
        <v>0</v>
      </c>
      <c r="AJ149" s="902">
        <f t="shared" si="33"/>
        <v>0</v>
      </c>
    </row>
    <row r="150" spans="1:36" s="930" customFormat="1" ht="26.1" customHeight="1">
      <c r="A150" s="956" t="s">
        <v>1304</v>
      </c>
      <c r="B150" s="920" t="s">
        <v>1305</v>
      </c>
      <c r="C150" s="921">
        <v>24700</v>
      </c>
      <c r="D150" s="942"/>
      <c r="E150" s="920" t="s">
        <v>1306</v>
      </c>
      <c r="F150" s="923" t="s">
        <v>505</v>
      </c>
      <c r="G150" s="921" t="s">
        <v>224</v>
      </c>
      <c r="H150" s="923"/>
      <c r="I150" s="923"/>
      <c r="J150" s="924"/>
      <c r="K150" s="921"/>
      <c r="L150" s="924"/>
      <c r="M150" s="932"/>
      <c r="N150" s="923"/>
      <c r="O150" s="923"/>
      <c r="P150" s="923" t="s">
        <v>1121</v>
      </c>
      <c r="Q150" s="921" t="s">
        <v>1307</v>
      </c>
      <c r="R150" s="926">
        <v>5914</v>
      </c>
      <c r="S150" s="926">
        <v>5914</v>
      </c>
      <c r="T150" s="923" t="s">
        <v>1308</v>
      </c>
      <c r="U150" s="938"/>
      <c r="V150" s="923" t="s">
        <v>1309</v>
      </c>
      <c r="W150" s="921" t="s">
        <v>176</v>
      </c>
      <c r="X150" s="927">
        <v>1</v>
      </c>
      <c r="Y150" s="926">
        <v>107218</v>
      </c>
      <c r="Z150" s="939"/>
      <c r="AA150" s="940"/>
      <c r="AB150" s="939"/>
      <c r="AC150" s="929">
        <v>107218</v>
      </c>
      <c r="AD150" s="929"/>
      <c r="AE150" s="929">
        <v>107218</v>
      </c>
      <c r="AF150" s="928">
        <v>0</v>
      </c>
      <c r="AG150" s="902">
        <f t="shared" si="32"/>
        <v>0</v>
      </c>
      <c r="AH150" s="902">
        <f t="shared" si="34"/>
        <v>0</v>
      </c>
      <c r="AI150" s="902">
        <f t="shared" si="31"/>
        <v>0</v>
      </c>
      <c r="AJ150" s="902">
        <f t="shared" si="33"/>
        <v>0</v>
      </c>
    </row>
    <row r="151" spans="1:36" s="930" customFormat="1" ht="26.1" customHeight="1">
      <c r="A151" s="956" t="s">
        <v>1310</v>
      </c>
      <c r="B151" s="920" t="s">
        <v>1311</v>
      </c>
      <c r="C151" s="921">
        <v>25007</v>
      </c>
      <c r="D151" s="942" t="s">
        <v>1312</v>
      </c>
      <c r="E151" s="920" t="s">
        <v>1313</v>
      </c>
      <c r="F151" s="923">
        <v>4.8899999999999997</v>
      </c>
      <c r="G151" s="921" t="s">
        <v>224</v>
      </c>
      <c r="H151" s="923"/>
      <c r="I151" s="923"/>
      <c r="J151" s="924" t="s">
        <v>1314</v>
      </c>
      <c r="K151" s="921" t="s">
        <v>1315</v>
      </c>
      <c r="L151" s="924"/>
      <c r="M151" s="932"/>
      <c r="N151" s="923"/>
      <c r="O151" s="923"/>
      <c r="P151" s="923" t="s">
        <v>1316</v>
      </c>
      <c r="Q151" s="921" t="s">
        <v>1317</v>
      </c>
      <c r="R151" s="926">
        <v>9399</v>
      </c>
      <c r="S151" s="926">
        <v>7501</v>
      </c>
      <c r="T151" s="923" t="s">
        <v>1248</v>
      </c>
      <c r="U151" s="938"/>
      <c r="V151" s="923" t="s">
        <v>1318</v>
      </c>
      <c r="W151" s="921" t="s">
        <v>176</v>
      </c>
      <c r="X151" s="927">
        <v>1</v>
      </c>
      <c r="Y151" s="926">
        <v>155647</v>
      </c>
      <c r="Z151" s="939"/>
      <c r="AA151" s="940"/>
      <c r="AB151" s="939"/>
      <c r="AC151" s="929">
        <v>155647</v>
      </c>
      <c r="AD151" s="929"/>
      <c r="AE151" s="929">
        <v>155647</v>
      </c>
      <c r="AF151" s="928">
        <v>0</v>
      </c>
      <c r="AG151" s="902">
        <f t="shared" si="32"/>
        <v>0</v>
      </c>
      <c r="AH151" s="902">
        <f t="shared" si="34"/>
        <v>0</v>
      </c>
      <c r="AI151" s="902">
        <f t="shared" si="31"/>
        <v>0</v>
      </c>
      <c r="AJ151" s="902">
        <f t="shared" si="33"/>
        <v>0</v>
      </c>
    </row>
    <row r="152" spans="1:36" s="930" customFormat="1" ht="26.1" customHeight="1">
      <c r="A152" s="956" t="s">
        <v>1319</v>
      </c>
      <c r="B152" s="920" t="s">
        <v>1320</v>
      </c>
      <c r="C152" s="921">
        <v>25192</v>
      </c>
      <c r="D152" s="942" t="s">
        <v>1312</v>
      </c>
      <c r="E152" s="920" t="s">
        <v>1313</v>
      </c>
      <c r="F152" s="923">
        <v>4.58</v>
      </c>
      <c r="G152" s="921" t="s">
        <v>132</v>
      </c>
      <c r="H152" s="923"/>
      <c r="I152" s="923"/>
      <c r="J152" s="924" t="s">
        <v>1321</v>
      </c>
      <c r="K152" s="921">
        <v>43525</v>
      </c>
      <c r="L152" s="924"/>
      <c r="M152" s="932"/>
      <c r="N152" s="923"/>
      <c r="O152" s="923"/>
      <c r="P152" s="923" t="s">
        <v>1322</v>
      </c>
      <c r="Q152" s="921">
        <v>41883</v>
      </c>
      <c r="R152" s="926">
        <v>8530</v>
      </c>
      <c r="S152" s="926">
        <v>6895</v>
      </c>
      <c r="T152" s="923" t="s">
        <v>1323</v>
      </c>
      <c r="U152" s="938"/>
      <c r="V152" s="923" t="s">
        <v>1324</v>
      </c>
      <c r="W152" s="921" t="s">
        <v>176</v>
      </c>
      <c r="X152" s="927">
        <v>1</v>
      </c>
      <c r="Y152" s="926">
        <v>143236</v>
      </c>
      <c r="Z152" s="939"/>
      <c r="AA152" s="940"/>
      <c r="AB152" s="939"/>
      <c r="AC152" s="929">
        <v>143236</v>
      </c>
      <c r="AD152" s="929"/>
      <c r="AE152" s="929">
        <v>143236</v>
      </c>
      <c r="AF152" s="928">
        <v>0</v>
      </c>
      <c r="AG152" s="902">
        <f t="shared" si="32"/>
        <v>0</v>
      </c>
      <c r="AH152" s="902">
        <f t="shared" si="34"/>
        <v>0</v>
      </c>
      <c r="AI152" s="902">
        <f t="shared" si="31"/>
        <v>0</v>
      </c>
      <c r="AJ152" s="902">
        <f t="shared" si="33"/>
        <v>0</v>
      </c>
    </row>
    <row r="153" spans="1:36" s="930" customFormat="1" ht="26.1" customHeight="1">
      <c r="A153" s="956" t="s">
        <v>1325</v>
      </c>
      <c r="B153" s="920" t="s">
        <v>1326</v>
      </c>
      <c r="C153" s="921" t="s">
        <v>1327</v>
      </c>
      <c r="D153" s="942" t="s">
        <v>460</v>
      </c>
      <c r="E153" s="920" t="s">
        <v>1328</v>
      </c>
      <c r="F153" s="923" t="s">
        <v>1329</v>
      </c>
      <c r="G153" s="921" t="s">
        <v>217</v>
      </c>
      <c r="H153" s="923"/>
      <c r="I153" s="923"/>
      <c r="J153" s="924"/>
      <c r="K153" s="921"/>
      <c r="L153" s="924"/>
      <c r="M153" s="932"/>
      <c r="N153" s="923"/>
      <c r="O153" s="923"/>
      <c r="P153" s="923" t="s">
        <v>1330</v>
      </c>
      <c r="Q153" s="921" t="s">
        <v>1331</v>
      </c>
      <c r="R153" s="926">
        <v>7286</v>
      </c>
      <c r="S153" s="926">
        <v>4961</v>
      </c>
      <c r="T153" s="923" t="s">
        <v>836</v>
      </c>
      <c r="U153" s="938"/>
      <c r="V153" s="923" t="s">
        <v>1332</v>
      </c>
      <c r="W153" s="921" t="s">
        <v>176</v>
      </c>
      <c r="X153" s="927">
        <v>1</v>
      </c>
      <c r="Y153" s="926">
        <v>63473</v>
      </c>
      <c r="Z153" s="939"/>
      <c r="AA153" s="940"/>
      <c r="AB153" s="939"/>
      <c r="AC153" s="929">
        <v>63473</v>
      </c>
      <c r="AD153" s="929"/>
      <c r="AE153" s="929">
        <v>63473</v>
      </c>
      <c r="AF153" s="928">
        <v>0</v>
      </c>
      <c r="AG153" s="902">
        <f t="shared" si="32"/>
        <v>0</v>
      </c>
      <c r="AH153" s="902">
        <f t="shared" si="34"/>
        <v>0</v>
      </c>
      <c r="AI153" s="902">
        <f t="shared" si="31"/>
        <v>0</v>
      </c>
      <c r="AJ153" s="902">
        <f t="shared" si="33"/>
        <v>0</v>
      </c>
    </row>
    <row r="154" spans="1:36" s="930" customFormat="1" ht="26.1" customHeight="1">
      <c r="A154" s="956" t="s">
        <v>1333</v>
      </c>
      <c r="B154" s="920" t="s">
        <v>1334</v>
      </c>
      <c r="C154" s="921">
        <v>23540</v>
      </c>
      <c r="D154" s="942" t="s">
        <v>1335</v>
      </c>
      <c r="E154" s="920" t="s">
        <v>1336</v>
      </c>
      <c r="F154" s="923" t="s">
        <v>505</v>
      </c>
      <c r="G154" s="921" t="s">
        <v>347</v>
      </c>
      <c r="H154" s="923"/>
      <c r="I154" s="923"/>
      <c r="J154" s="924" t="s">
        <v>1337</v>
      </c>
      <c r="K154" s="921" t="s">
        <v>1047</v>
      </c>
      <c r="L154" s="924"/>
      <c r="M154" s="932"/>
      <c r="N154" s="923"/>
      <c r="O154" s="923"/>
      <c r="P154" s="923" t="s">
        <v>1194</v>
      </c>
      <c r="Q154" s="921" t="s">
        <v>1338</v>
      </c>
      <c r="R154" s="926">
        <v>10704</v>
      </c>
      <c r="S154" s="926">
        <v>7489</v>
      </c>
      <c r="T154" s="923" t="s">
        <v>641</v>
      </c>
      <c r="U154" s="938"/>
      <c r="V154" s="923" t="s">
        <v>1339</v>
      </c>
      <c r="W154" s="921" t="s">
        <v>176</v>
      </c>
      <c r="X154" s="927">
        <v>1</v>
      </c>
      <c r="Y154" s="926">
        <v>177266</v>
      </c>
      <c r="Z154" s="939"/>
      <c r="AA154" s="940"/>
      <c r="AB154" s="939"/>
      <c r="AC154" s="929">
        <v>177266</v>
      </c>
      <c r="AD154" s="929"/>
      <c r="AE154" s="929">
        <v>177266</v>
      </c>
      <c r="AF154" s="928">
        <v>0</v>
      </c>
      <c r="AG154" s="902">
        <f t="shared" si="32"/>
        <v>0</v>
      </c>
      <c r="AH154" s="902">
        <f t="shared" si="34"/>
        <v>0</v>
      </c>
      <c r="AI154" s="902">
        <f t="shared" si="31"/>
        <v>0</v>
      </c>
      <c r="AJ154" s="902">
        <f t="shared" si="33"/>
        <v>0</v>
      </c>
    </row>
    <row r="155" spans="1:36" s="930" customFormat="1" ht="26.1" customHeight="1">
      <c r="A155" s="956" t="s">
        <v>1340</v>
      </c>
      <c r="B155" s="920" t="s">
        <v>1341</v>
      </c>
      <c r="C155" s="921">
        <v>25457</v>
      </c>
      <c r="D155" s="942" t="s">
        <v>1109</v>
      </c>
      <c r="E155" s="920" t="s">
        <v>1342</v>
      </c>
      <c r="F155" s="923" t="s">
        <v>440</v>
      </c>
      <c r="G155" s="921" t="s">
        <v>139</v>
      </c>
      <c r="H155" s="923"/>
      <c r="I155" s="923"/>
      <c r="J155" s="924" t="s">
        <v>1195</v>
      </c>
      <c r="K155" s="921" t="s">
        <v>1343</v>
      </c>
      <c r="L155" s="924" t="s">
        <v>1075</v>
      </c>
      <c r="M155" s="932" t="s">
        <v>1062</v>
      </c>
      <c r="N155" s="923"/>
      <c r="O155" s="923"/>
      <c r="P155" s="923" t="s">
        <v>1077</v>
      </c>
      <c r="Q155" s="921" t="s">
        <v>249</v>
      </c>
      <c r="R155" s="926">
        <v>7286</v>
      </c>
      <c r="S155" s="926">
        <v>7426</v>
      </c>
      <c r="T155" s="923" t="s">
        <v>931</v>
      </c>
      <c r="U155" s="938"/>
      <c r="V155" s="923" t="s">
        <v>1344</v>
      </c>
      <c r="W155" s="921" t="s">
        <v>176</v>
      </c>
      <c r="X155" s="927">
        <v>1</v>
      </c>
      <c r="Y155" s="926">
        <v>188325</v>
      </c>
      <c r="Z155" s="939"/>
      <c r="AA155" s="940"/>
      <c r="AB155" s="939"/>
      <c r="AC155" s="929">
        <v>188325</v>
      </c>
      <c r="AD155" s="929"/>
      <c r="AE155" s="929">
        <v>188325</v>
      </c>
      <c r="AF155" s="928">
        <v>0</v>
      </c>
      <c r="AG155" s="902">
        <f t="shared" si="32"/>
        <v>0</v>
      </c>
      <c r="AH155" s="902">
        <f t="shared" si="34"/>
        <v>0</v>
      </c>
      <c r="AI155" s="902">
        <f t="shared" si="31"/>
        <v>0</v>
      </c>
      <c r="AJ155" s="902">
        <f t="shared" si="33"/>
        <v>0</v>
      </c>
    </row>
    <row r="156" spans="1:36" s="930" customFormat="1" ht="26.1" customHeight="1">
      <c r="A156" s="956" t="s">
        <v>1345</v>
      </c>
      <c r="B156" s="920" t="s">
        <v>1346</v>
      </c>
      <c r="C156" s="921" t="s">
        <v>275</v>
      </c>
      <c r="D156" s="942"/>
      <c r="E156" s="920" t="s">
        <v>1347</v>
      </c>
      <c r="F156" s="923" t="s">
        <v>462</v>
      </c>
      <c r="G156" s="921" t="s">
        <v>224</v>
      </c>
      <c r="H156" s="923"/>
      <c r="I156" s="923"/>
      <c r="J156" s="924"/>
      <c r="K156" s="921"/>
      <c r="L156" s="924"/>
      <c r="M156" s="932"/>
      <c r="N156" s="923"/>
      <c r="O156" s="923"/>
      <c r="P156" s="923" t="s">
        <v>1348</v>
      </c>
      <c r="Q156" s="921" t="s">
        <v>1349</v>
      </c>
      <c r="R156" s="926">
        <v>4291</v>
      </c>
      <c r="S156" s="926">
        <v>4028</v>
      </c>
      <c r="T156" s="923" t="s">
        <v>1350</v>
      </c>
      <c r="U156" s="938"/>
      <c r="V156" s="923" t="s">
        <v>1096</v>
      </c>
      <c r="W156" s="921" t="s">
        <v>176</v>
      </c>
      <c r="X156" s="927">
        <v>1</v>
      </c>
      <c r="Y156" s="926">
        <v>62096</v>
      </c>
      <c r="Z156" s="939"/>
      <c r="AA156" s="940"/>
      <c r="AB156" s="939"/>
      <c r="AC156" s="929">
        <v>62096</v>
      </c>
      <c r="AD156" s="929"/>
      <c r="AE156" s="929">
        <v>62096</v>
      </c>
      <c r="AF156" s="928">
        <v>0</v>
      </c>
      <c r="AG156" s="902">
        <f t="shared" si="32"/>
        <v>0</v>
      </c>
      <c r="AH156" s="902">
        <f t="shared" si="34"/>
        <v>0</v>
      </c>
      <c r="AI156" s="902">
        <f t="shared" si="31"/>
        <v>0</v>
      </c>
      <c r="AJ156" s="902">
        <f t="shared" si="33"/>
        <v>0</v>
      </c>
    </row>
    <row r="157" spans="1:36" s="930" customFormat="1" ht="26.1" customHeight="1">
      <c r="A157" s="956" t="s">
        <v>1351</v>
      </c>
      <c r="B157" s="920" t="s">
        <v>1352</v>
      </c>
      <c r="C157" s="921" t="s">
        <v>1353</v>
      </c>
      <c r="D157" s="942"/>
      <c r="E157" s="920" t="s">
        <v>1354</v>
      </c>
      <c r="F157" s="923" t="s">
        <v>1355</v>
      </c>
      <c r="G157" s="921" t="s">
        <v>259</v>
      </c>
      <c r="H157" s="923"/>
      <c r="I157" s="923"/>
      <c r="J157" s="924"/>
      <c r="K157" s="921"/>
      <c r="L157" s="924"/>
      <c r="M157" s="932"/>
      <c r="N157" s="923"/>
      <c r="O157" s="923"/>
      <c r="P157" s="923" t="s">
        <v>1355</v>
      </c>
      <c r="Q157" s="921" t="s">
        <v>259</v>
      </c>
      <c r="R157" s="926">
        <v>1333</v>
      </c>
      <c r="S157" s="926">
        <v>1333</v>
      </c>
      <c r="T157" s="923" t="s">
        <v>1356</v>
      </c>
      <c r="U157" s="938"/>
      <c r="V157" s="923" t="s">
        <v>1357</v>
      </c>
      <c r="W157" s="921" t="s">
        <v>176</v>
      </c>
      <c r="X157" s="927">
        <v>1</v>
      </c>
      <c r="Y157" s="926"/>
      <c r="Z157" s="939"/>
      <c r="AA157" s="940">
        <v>8675</v>
      </c>
      <c r="AB157" s="939"/>
      <c r="AC157" s="929">
        <v>8675</v>
      </c>
      <c r="AD157" s="929">
        <v>8675</v>
      </c>
      <c r="AE157" s="929"/>
      <c r="AF157" s="928">
        <v>0</v>
      </c>
      <c r="AG157" s="902">
        <f t="shared" si="32"/>
        <v>0</v>
      </c>
      <c r="AH157" s="902">
        <f t="shared" si="34"/>
        <v>0</v>
      </c>
      <c r="AI157" s="902">
        <f t="shared" si="31"/>
        <v>0</v>
      </c>
      <c r="AJ157" s="902">
        <f t="shared" si="33"/>
        <v>-8675</v>
      </c>
    </row>
    <row r="158" spans="1:36" s="930" customFormat="1" ht="26.1" customHeight="1">
      <c r="A158" s="956" t="s">
        <v>1358</v>
      </c>
      <c r="B158" s="920" t="s">
        <v>1359</v>
      </c>
      <c r="C158" s="921">
        <v>27514</v>
      </c>
      <c r="D158" s="942"/>
      <c r="E158" s="920" t="s">
        <v>1360</v>
      </c>
      <c r="F158" s="923" t="s">
        <v>890</v>
      </c>
      <c r="G158" s="921" t="s">
        <v>139</v>
      </c>
      <c r="H158" s="923"/>
      <c r="I158" s="923"/>
      <c r="J158" s="924"/>
      <c r="K158" s="921"/>
      <c r="L158" s="924"/>
      <c r="M158" s="932"/>
      <c r="N158" s="923"/>
      <c r="O158" s="923"/>
      <c r="P158" s="923" t="s">
        <v>890</v>
      </c>
      <c r="Q158" s="921" t="s">
        <v>139</v>
      </c>
      <c r="R158" s="926">
        <v>2720</v>
      </c>
      <c r="S158" s="926">
        <v>2720</v>
      </c>
      <c r="T158" s="923" t="s">
        <v>1361</v>
      </c>
      <c r="U158" s="938"/>
      <c r="V158" s="923" t="s">
        <v>1362</v>
      </c>
      <c r="W158" s="921" t="s">
        <v>176</v>
      </c>
      <c r="X158" s="927">
        <v>1</v>
      </c>
      <c r="Y158" s="926"/>
      <c r="Z158" s="939"/>
      <c r="AA158" s="940">
        <v>30782</v>
      </c>
      <c r="AB158" s="939"/>
      <c r="AC158" s="929">
        <v>30782</v>
      </c>
      <c r="AD158" s="929">
        <v>30782</v>
      </c>
      <c r="AE158" s="929"/>
      <c r="AF158" s="928">
        <v>0</v>
      </c>
      <c r="AG158" s="902">
        <f t="shared" si="32"/>
        <v>0</v>
      </c>
      <c r="AH158" s="902">
        <f t="shared" si="34"/>
        <v>0</v>
      </c>
      <c r="AI158" s="902">
        <f t="shared" si="31"/>
        <v>0</v>
      </c>
      <c r="AJ158" s="902">
        <f t="shared" si="33"/>
        <v>-30782</v>
      </c>
    </row>
    <row r="159" spans="1:36" s="930" customFormat="1" ht="26.1" customHeight="1">
      <c r="A159" s="956" t="s">
        <v>1363</v>
      </c>
      <c r="B159" s="920" t="s">
        <v>1364</v>
      </c>
      <c r="C159" s="921" t="s">
        <v>1365</v>
      </c>
      <c r="D159" s="942"/>
      <c r="E159" s="920" t="s">
        <v>1366</v>
      </c>
      <c r="F159" s="923" t="s">
        <v>1367</v>
      </c>
      <c r="G159" s="921" t="s">
        <v>1368</v>
      </c>
      <c r="H159" s="923"/>
      <c r="I159" s="923"/>
      <c r="J159" s="924"/>
      <c r="K159" s="921"/>
      <c r="L159" s="924"/>
      <c r="M159" s="932"/>
      <c r="N159" s="923"/>
      <c r="O159" s="923"/>
      <c r="P159" s="923" t="s">
        <v>357</v>
      </c>
      <c r="Q159" s="921" t="s">
        <v>1368</v>
      </c>
      <c r="R159" s="926">
        <v>2480</v>
      </c>
      <c r="S159" s="926">
        <v>2284</v>
      </c>
      <c r="T159" s="923" t="s">
        <v>1369</v>
      </c>
      <c r="U159" s="938"/>
      <c r="V159" s="923" t="s">
        <v>1370</v>
      </c>
      <c r="W159" s="921" t="s">
        <v>176</v>
      </c>
      <c r="X159" s="927">
        <v>1</v>
      </c>
      <c r="Y159" s="926"/>
      <c r="Z159" s="939"/>
      <c r="AA159" s="940">
        <v>30841</v>
      </c>
      <c r="AB159" s="939"/>
      <c r="AC159" s="929">
        <v>30841</v>
      </c>
      <c r="AD159" s="929">
        <v>30841</v>
      </c>
      <c r="AE159" s="929"/>
      <c r="AF159" s="928">
        <v>0</v>
      </c>
      <c r="AG159" s="902">
        <f t="shared" si="32"/>
        <v>0</v>
      </c>
      <c r="AH159" s="902">
        <f t="shared" si="34"/>
        <v>0</v>
      </c>
      <c r="AI159" s="902">
        <f t="shared" si="31"/>
        <v>0</v>
      </c>
      <c r="AJ159" s="902">
        <f t="shared" si="33"/>
        <v>-30841</v>
      </c>
    </row>
    <row r="160" spans="1:36" s="930" customFormat="1" ht="26.1" customHeight="1">
      <c r="A160" s="956" t="s">
        <v>1371</v>
      </c>
      <c r="B160" s="920" t="s">
        <v>1372</v>
      </c>
      <c r="C160" s="921" t="s">
        <v>1373</v>
      </c>
      <c r="D160" s="942"/>
      <c r="E160" s="920" t="s">
        <v>1374</v>
      </c>
      <c r="F160" s="923" t="s">
        <v>207</v>
      </c>
      <c r="G160" s="921" t="s">
        <v>1368</v>
      </c>
      <c r="H160" s="923"/>
      <c r="I160" s="923"/>
      <c r="J160" s="924"/>
      <c r="K160" s="921"/>
      <c r="L160" s="924"/>
      <c r="M160" s="932"/>
      <c r="N160" s="923"/>
      <c r="O160" s="923"/>
      <c r="P160" s="923" t="s">
        <v>207</v>
      </c>
      <c r="Q160" s="921" t="s">
        <v>1368</v>
      </c>
      <c r="R160" s="926">
        <v>1813</v>
      </c>
      <c r="S160" s="926">
        <v>1641</v>
      </c>
      <c r="T160" s="923" t="s">
        <v>1369</v>
      </c>
      <c r="U160" s="938"/>
      <c r="V160" s="923" t="s">
        <v>1375</v>
      </c>
      <c r="W160" s="921" t="s">
        <v>176</v>
      </c>
      <c r="X160" s="927">
        <v>1</v>
      </c>
      <c r="Y160" s="926"/>
      <c r="Z160" s="939"/>
      <c r="AA160" s="940">
        <v>22413</v>
      </c>
      <c r="AB160" s="939"/>
      <c r="AC160" s="929">
        <v>22413</v>
      </c>
      <c r="AD160" s="929">
        <v>22413</v>
      </c>
      <c r="AE160" s="929"/>
      <c r="AF160" s="928">
        <v>0</v>
      </c>
      <c r="AG160" s="902">
        <f t="shared" si="32"/>
        <v>0</v>
      </c>
      <c r="AH160" s="902">
        <f t="shared" si="34"/>
        <v>0</v>
      </c>
      <c r="AI160" s="902">
        <f t="shared" si="31"/>
        <v>0</v>
      </c>
      <c r="AJ160" s="902">
        <f t="shared" si="33"/>
        <v>-22413</v>
      </c>
    </row>
    <row r="161" spans="1:36" s="930" customFormat="1" ht="26.1" customHeight="1">
      <c r="A161" s="956" t="s">
        <v>1376</v>
      </c>
      <c r="B161" s="920" t="s">
        <v>1377</v>
      </c>
      <c r="C161" s="921" t="s">
        <v>459</v>
      </c>
      <c r="D161" s="942"/>
      <c r="E161" s="920" t="s">
        <v>1378</v>
      </c>
      <c r="F161" s="923" t="s">
        <v>357</v>
      </c>
      <c r="G161" s="921" t="s">
        <v>217</v>
      </c>
      <c r="H161" s="923"/>
      <c r="I161" s="923"/>
      <c r="J161" s="924"/>
      <c r="K161" s="921"/>
      <c r="L161" s="924"/>
      <c r="M161" s="932"/>
      <c r="N161" s="923"/>
      <c r="O161" s="923"/>
      <c r="P161" s="923" t="s">
        <v>357</v>
      </c>
      <c r="Q161" s="921" t="s">
        <v>217</v>
      </c>
      <c r="R161" s="926">
        <v>2480</v>
      </c>
      <c r="S161" s="926">
        <v>2218</v>
      </c>
      <c r="T161" s="923" t="s">
        <v>1379</v>
      </c>
      <c r="U161" s="938"/>
      <c r="V161" s="923" t="s">
        <v>1380</v>
      </c>
      <c r="W161" s="921" t="s">
        <v>176</v>
      </c>
      <c r="X161" s="927">
        <v>1</v>
      </c>
      <c r="Y161" s="926"/>
      <c r="Z161" s="939"/>
      <c r="AA161" s="940">
        <v>28179</v>
      </c>
      <c r="AB161" s="939"/>
      <c r="AC161" s="929">
        <v>28179</v>
      </c>
      <c r="AD161" s="929">
        <v>28179</v>
      </c>
      <c r="AE161" s="929"/>
      <c r="AF161" s="928">
        <v>0</v>
      </c>
      <c r="AG161" s="902">
        <f t="shared" si="32"/>
        <v>0</v>
      </c>
      <c r="AH161" s="902">
        <f t="shared" si="34"/>
        <v>0</v>
      </c>
      <c r="AI161" s="902">
        <f t="shared" si="31"/>
        <v>0</v>
      </c>
      <c r="AJ161" s="902">
        <f t="shared" si="33"/>
        <v>-28179</v>
      </c>
    </row>
    <row r="162" spans="1:36" s="930" customFormat="1" ht="26.1" customHeight="1">
      <c r="A162" s="956" t="s">
        <v>1381</v>
      </c>
      <c r="B162" s="920" t="s">
        <v>1382</v>
      </c>
      <c r="C162" s="921">
        <v>23178</v>
      </c>
      <c r="D162" s="942"/>
      <c r="E162" s="920" t="s">
        <v>1383</v>
      </c>
      <c r="F162" s="923" t="s">
        <v>207</v>
      </c>
      <c r="G162" s="921" t="s">
        <v>1384</v>
      </c>
      <c r="H162" s="923"/>
      <c r="I162" s="923"/>
      <c r="J162" s="924"/>
      <c r="K162" s="921"/>
      <c r="L162" s="924"/>
      <c r="M162" s="932"/>
      <c r="N162" s="923"/>
      <c r="O162" s="923"/>
      <c r="P162" s="923" t="s">
        <v>1385</v>
      </c>
      <c r="Q162" s="921" t="s">
        <v>1386</v>
      </c>
      <c r="R162" s="926">
        <v>2026</v>
      </c>
      <c r="S162" s="926">
        <v>1542</v>
      </c>
      <c r="T162" s="923" t="s">
        <v>1361</v>
      </c>
      <c r="U162" s="938"/>
      <c r="V162" s="923" t="s">
        <v>1387</v>
      </c>
      <c r="W162" s="921" t="s">
        <v>176</v>
      </c>
      <c r="X162" s="927">
        <v>1</v>
      </c>
      <c r="Y162" s="926"/>
      <c r="Z162" s="939"/>
      <c r="AA162" s="940">
        <v>19962</v>
      </c>
      <c r="AB162" s="939"/>
      <c r="AC162" s="929">
        <v>19962</v>
      </c>
      <c r="AD162" s="929">
        <v>19962</v>
      </c>
      <c r="AE162" s="929"/>
      <c r="AF162" s="928">
        <v>0</v>
      </c>
      <c r="AG162" s="902">
        <f t="shared" si="32"/>
        <v>0</v>
      </c>
      <c r="AH162" s="902">
        <f t="shared" si="34"/>
        <v>0</v>
      </c>
      <c r="AI162" s="902">
        <f t="shared" si="31"/>
        <v>0</v>
      </c>
      <c r="AJ162" s="902">
        <f t="shared" si="33"/>
        <v>-19962</v>
      </c>
    </row>
    <row r="163" spans="1:36" s="878" customFormat="1" ht="26.1" customHeight="1">
      <c r="A163" s="956" t="s">
        <v>1388</v>
      </c>
      <c r="B163" s="885" t="s">
        <v>1389</v>
      </c>
      <c r="C163" s="913" t="s">
        <v>1390</v>
      </c>
      <c r="D163" s="881" t="s">
        <v>1391</v>
      </c>
      <c r="E163" s="885" t="s">
        <v>1392</v>
      </c>
      <c r="F163" s="912" t="s">
        <v>738</v>
      </c>
      <c r="G163" s="912" t="s">
        <v>234</v>
      </c>
      <c r="H163" s="912" t="s">
        <v>133</v>
      </c>
      <c r="I163" s="881" t="s">
        <v>368</v>
      </c>
      <c r="J163" s="889"/>
      <c r="K163" s="879"/>
      <c r="L163" s="914">
        <v>0.06</v>
      </c>
      <c r="M163" s="867" t="s">
        <v>234</v>
      </c>
      <c r="N163" s="881"/>
      <c r="O163" s="881"/>
      <c r="P163" s="879" t="s">
        <v>929</v>
      </c>
      <c r="Q163" s="879" t="s">
        <v>1393</v>
      </c>
      <c r="R163" s="872">
        <v>6862</v>
      </c>
      <c r="S163" s="915">
        <v>6425</v>
      </c>
      <c r="T163" s="881" t="s">
        <v>1394</v>
      </c>
      <c r="U163" s="916"/>
      <c r="V163" s="881" t="s">
        <v>1395</v>
      </c>
      <c r="W163" s="879" t="s">
        <v>139</v>
      </c>
      <c r="X163" s="873">
        <v>1</v>
      </c>
      <c r="Y163" s="874">
        <v>135799</v>
      </c>
      <c r="Z163" s="883"/>
      <c r="AA163" s="883"/>
      <c r="AB163" s="883"/>
      <c r="AC163" s="876">
        <f>Y163</f>
        <v>135799</v>
      </c>
      <c r="AD163" s="884"/>
      <c r="AE163" s="876">
        <f>AC163</f>
        <v>135799</v>
      </c>
      <c r="AF163" s="874">
        <v>11</v>
      </c>
      <c r="AG163" s="874">
        <f t="shared" si="32"/>
        <v>100642.66666666667</v>
      </c>
      <c r="AH163" s="874">
        <f t="shared" si="34"/>
        <v>75482</v>
      </c>
      <c r="AI163" s="874">
        <f>((AH163*100%)/75%)-AH163</f>
        <v>25160.666666666672</v>
      </c>
      <c r="AJ163" s="902">
        <f t="shared" si="33"/>
        <v>100642.66666666667</v>
      </c>
    </row>
    <row r="164" spans="1:36" s="878" customFormat="1" ht="26.1" customHeight="1">
      <c r="A164" s="956" t="s">
        <v>1396</v>
      </c>
      <c r="B164" s="885" t="s">
        <v>1397</v>
      </c>
      <c r="C164" s="879">
        <v>23670</v>
      </c>
      <c r="D164" s="963" t="s">
        <v>1398</v>
      </c>
      <c r="E164" s="885" t="s">
        <v>1399</v>
      </c>
      <c r="F164" s="881" t="s">
        <v>472</v>
      </c>
      <c r="G164" s="879" t="s">
        <v>183</v>
      </c>
      <c r="H164" s="881">
        <v>0.2</v>
      </c>
      <c r="I164" s="881" t="s">
        <v>1100</v>
      </c>
      <c r="J164" s="914"/>
      <c r="K164" s="879"/>
      <c r="L164" s="914" t="s">
        <v>474</v>
      </c>
      <c r="M164" s="880" t="s">
        <v>183</v>
      </c>
      <c r="N164" s="881"/>
      <c r="O164" s="881"/>
      <c r="P164" s="881" t="s">
        <v>1400</v>
      </c>
      <c r="Q164" s="879" t="s">
        <v>188</v>
      </c>
      <c r="R164" s="915">
        <v>8030</v>
      </c>
      <c r="S164" s="915">
        <v>7176</v>
      </c>
      <c r="T164" s="881" t="s">
        <v>1401</v>
      </c>
      <c r="U164" s="916"/>
      <c r="V164" s="881" t="s">
        <v>774</v>
      </c>
      <c r="W164" s="879" t="s">
        <v>176</v>
      </c>
      <c r="X164" s="964">
        <v>1</v>
      </c>
      <c r="Y164" s="915">
        <v>206826</v>
      </c>
      <c r="Z164" s="965"/>
      <c r="AA164" s="872"/>
      <c r="AB164" s="965"/>
      <c r="AC164" s="966">
        <v>206826</v>
      </c>
      <c r="AD164" s="966"/>
      <c r="AE164" s="966">
        <v>206826</v>
      </c>
      <c r="AF164" s="873">
        <v>0</v>
      </c>
      <c r="AG164" s="902">
        <f t="shared" si="32"/>
        <v>0</v>
      </c>
      <c r="AH164" s="902">
        <f t="shared" si="34"/>
        <v>0</v>
      </c>
      <c r="AI164" s="902">
        <f>((AH164*100%)/82%)-AH164</f>
        <v>0</v>
      </c>
      <c r="AJ164" s="902">
        <f t="shared" si="33"/>
        <v>0</v>
      </c>
    </row>
    <row r="165" spans="1:36" s="878" customFormat="1" ht="26.1" customHeight="1">
      <c r="A165" s="956" t="s">
        <v>1402</v>
      </c>
      <c r="B165" s="885" t="s">
        <v>1403</v>
      </c>
      <c r="C165" s="879" t="s">
        <v>1404</v>
      </c>
      <c r="D165" s="963" t="s">
        <v>1405</v>
      </c>
      <c r="E165" s="885" t="s">
        <v>1406</v>
      </c>
      <c r="F165" s="881" t="s">
        <v>131</v>
      </c>
      <c r="G165" s="879" t="s">
        <v>347</v>
      </c>
      <c r="H165" s="881">
        <v>0.3</v>
      </c>
      <c r="I165" s="881" t="s">
        <v>1407</v>
      </c>
      <c r="J165" s="914"/>
      <c r="K165" s="879"/>
      <c r="L165" s="914"/>
      <c r="M165" s="880"/>
      <c r="N165" s="881"/>
      <c r="O165" s="881"/>
      <c r="P165" s="881" t="s">
        <v>1408</v>
      </c>
      <c r="Q165" s="879" t="s">
        <v>1409</v>
      </c>
      <c r="R165" s="915">
        <v>6880</v>
      </c>
      <c r="S165" s="915">
        <v>6145</v>
      </c>
      <c r="T165" s="881" t="s">
        <v>1410</v>
      </c>
      <c r="U165" s="916"/>
      <c r="V165" s="881" t="s">
        <v>1411</v>
      </c>
      <c r="W165" s="879" t="s">
        <v>176</v>
      </c>
      <c r="X165" s="964">
        <v>1</v>
      </c>
      <c r="Y165" s="915">
        <v>161001</v>
      </c>
      <c r="Z165" s="965"/>
      <c r="AA165" s="872"/>
      <c r="AB165" s="965"/>
      <c r="AC165" s="966">
        <v>161001</v>
      </c>
      <c r="AD165" s="966"/>
      <c r="AE165" s="966">
        <v>161001</v>
      </c>
      <c r="AF165" s="873">
        <v>0</v>
      </c>
      <c r="AG165" s="902">
        <f t="shared" si="32"/>
        <v>0</v>
      </c>
      <c r="AH165" s="902">
        <f t="shared" si="34"/>
        <v>0</v>
      </c>
      <c r="AI165" s="902">
        <f>((AH165*100%)/82%)-AH165</f>
        <v>0</v>
      </c>
      <c r="AJ165" s="902">
        <f t="shared" si="33"/>
        <v>0</v>
      </c>
    </row>
    <row r="166" spans="1:36" s="864" customFormat="1" ht="26.1" customHeight="1">
      <c r="A166" s="918" t="s">
        <v>1412</v>
      </c>
      <c r="B166" s="1828" t="s">
        <v>37</v>
      </c>
      <c r="C166" s="1829"/>
      <c r="D166" s="1829"/>
      <c r="E166" s="967"/>
      <c r="F166" s="968"/>
      <c r="G166" s="969"/>
      <c r="H166" s="908"/>
      <c r="I166" s="970"/>
      <c r="J166" s="908"/>
      <c r="K166" s="970"/>
      <c r="L166" s="908"/>
      <c r="M166" s="970"/>
      <c r="N166" s="968"/>
      <c r="O166" s="968"/>
      <c r="P166" s="908"/>
      <c r="Q166" s="970"/>
      <c r="R166" s="909"/>
      <c r="S166" s="908"/>
      <c r="T166" s="948"/>
      <c r="U166" s="859"/>
      <c r="V166" s="954"/>
      <c r="W166" s="949"/>
      <c r="X166" s="955">
        <f>SUM(X167:X178)</f>
        <v>12</v>
      </c>
      <c r="Y166" s="911">
        <f>SUM(Y167:Y178)</f>
        <v>1544821</v>
      </c>
      <c r="Z166" s="911">
        <f t="shared" ref="Z166:AB166" si="35">SUM(Z167:Z178)</f>
        <v>0</v>
      </c>
      <c r="AA166" s="911">
        <f t="shared" si="35"/>
        <v>659797</v>
      </c>
      <c r="AB166" s="911">
        <f t="shared" si="35"/>
        <v>0</v>
      </c>
      <c r="AC166" s="971">
        <f>SUM(AC167:AC191)</f>
        <v>4233911</v>
      </c>
      <c r="AD166" s="971">
        <f t="shared" ref="AD166:AJ166" si="36">SUM(AD167:AD191)</f>
        <v>95086</v>
      </c>
      <c r="AE166" s="971">
        <f t="shared" si="36"/>
        <v>4138825</v>
      </c>
      <c r="AF166" s="971"/>
      <c r="AG166" s="971">
        <f t="shared" si="36"/>
        <v>1540282.520325203</v>
      </c>
      <c r="AH166" s="971">
        <f t="shared" si="36"/>
        <v>1260528</v>
      </c>
      <c r="AI166" s="971">
        <f t="shared" si="36"/>
        <v>279754.52032520331</v>
      </c>
      <c r="AJ166" s="971">
        <f t="shared" si="36"/>
        <v>1445196.520325203</v>
      </c>
    </row>
    <row r="167" spans="1:36" s="930" customFormat="1" ht="26.1" customHeight="1">
      <c r="A167" s="972" t="s">
        <v>1413</v>
      </c>
      <c r="B167" s="973" t="s">
        <v>1414</v>
      </c>
      <c r="C167" s="974" t="s">
        <v>1415</v>
      </c>
      <c r="D167" s="923" t="s">
        <v>1416</v>
      </c>
      <c r="E167" s="920" t="s">
        <v>1417</v>
      </c>
      <c r="F167" s="975" t="s">
        <v>1418</v>
      </c>
      <c r="G167" s="976" t="s">
        <v>132</v>
      </c>
      <c r="H167" s="977" t="s">
        <v>1419</v>
      </c>
      <c r="I167" s="977" t="s">
        <v>1420</v>
      </c>
      <c r="J167" s="941" t="s">
        <v>729</v>
      </c>
      <c r="K167" s="932" t="s">
        <v>415</v>
      </c>
      <c r="L167" s="941" t="s">
        <v>1421</v>
      </c>
      <c r="M167" s="932" t="s">
        <v>132</v>
      </c>
      <c r="N167" s="975"/>
      <c r="O167" s="975"/>
      <c r="P167" s="921" t="s">
        <v>1422</v>
      </c>
      <c r="Q167" s="932" t="s">
        <v>1423</v>
      </c>
      <c r="R167" s="978">
        <v>11412</v>
      </c>
      <c r="S167" s="978">
        <v>9790</v>
      </c>
      <c r="T167" s="923" t="s">
        <v>1424</v>
      </c>
      <c r="U167" s="923"/>
      <c r="V167" s="923" t="s">
        <v>1425</v>
      </c>
      <c r="W167" s="932" t="s">
        <v>348</v>
      </c>
      <c r="X167" s="979">
        <v>1</v>
      </c>
      <c r="Y167" s="979">
        <v>205601</v>
      </c>
      <c r="Z167" s="980"/>
      <c r="AA167" s="957"/>
      <c r="AB167" s="957"/>
      <c r="AC167" s="981">
        <v>205601</v>
      </c>
      <c r="AD167" s="959"/>
      <c r="AE167" s="981">
        <v>205601</v>
      </c>
      <c r="AF167" s="979">
        <v>6</v>
      </c>
      <c r="AG167" s="979">
        <f>AH167+AI167</f>
        <v>83502.439024390245</v>
      </c>
      <c r="AH167" s="902">
        <f t="shared" si="34"/>
        <v>68472</v>
      </c>
      <c r="AI167" s="902">
        <f>((AH167*100%)/82%)-AH167</f>
        <v>15030.439024390245</v>
      </c>
      <c r="AJ167" s="902">
        <f>AG167-AD167</f>
        <v>83502.439024390245</v>
      </c>
    </row>
    <row r="168" spans="1:36" s="930" customFormat="1" ht="26.1" customHeight="1">
      <c r="A168" s="972" t="s">
        <v>1426</v>
      </c>
      <c r="B168" s="973" t="s">
        <v>1427</v>
      </c>
      <c r="C168" s="974" t="s">
        <v>1428</v>
      </c>
      <c r="D168" s="923" t="s">
        <v>1429</v>
      </c>
      <c r="E168" s="920" t="s">
        <v>1430</v>
      </c>
      <c r="F168" s="975" t="s">
        <v>738</v>
      </c>
      <c r="G168" s="976" t="s">
        <v>217</v>
      </c>
      <c r="H168" s="944"/>
      <c r="I168" s="977"/>
      <c r="J168" s="941">
        <v>0.3</v>
      </c>
      <c r="K168" s="932" t="s">
        <v>415</v>
      </c>
      <c r="L168" s="941" t="s">
        <v>928</v>
      </c>
      <c r="M168" s="932" t="s">
        <v>217</v>
      </c>
      <c r="N168" s="975"/>
      <c r="O168" s="975"/>
      <c r="P168" s="921" t="s">
        <v>1431</v>
      </c>
      <c r="Q168" s="932" t="s">
        <v>1432</v>
      </c>
      <c r="R168" s="978">
        <v>9776</v>
      </c>
      <c r="S168" s="978">
        <v>8242</v>
      </c>
      <c r="T168" s="923" t="s">
        <v>1433</v>
      </c>
      <c r="U168" s="923"/>
      <c r="V168" s="923" t="s">
        <v>1434</v>
      </c>
      <c r="W168" s="932" t="s">
        <v>348</v>
      </c>
      <c r="X168" s="979">
        <v>1</v>
      </c>
      <c r="Y168" s="979">
        <v>214299</v>
      </c>
      <c r="Z168" s="980"/>
      <c r="AA168" s="957"/>
      <c r="AB168" s="957"/>
      <c r="AC168" s="981">
        <v>214299</v>
      </c>
      <c r="AD168" s="959"/>
      <c r="AE168" s="981">
        <v>214299</v>
      </c>
      <c r="AF168" s="979">
        <v>6</v>
      </c>
      <c r="AG168" s="979">
        <f t="shared" ref="AG168:AG191" si="37">AH168+AI168</f>
        <v>71531.707317073175</v>
      </c>
      <c r="AH168" s="902">
        <f t="shared" si="34"/>
        <v>58656</v>
      </c>
      <c r="AI168" s="902">
        <f t="shared" ref="AI168:AI178" si="38">((AH168*100%)/82%)-AH168</f>
        <v>12875.707317073175</v>
      </c>
      <c r="AJ168" s="902">
        <f t="shared" ref="AJ168:AJ191" si="39">AG168-AD168</f>
        <v>71531.707317073175</v>
      </c>
    </row>
    <row r="169" spans="1:36" s="930" customFormat="1" ht="26.1" customHeight="1">
      <c r="A169" s="972" t="s">
        <v>1435</v>
      </c>
      <c r="B169" s="973" t="s">
        <v>1436</v>
      </c>
      <c r="C169" s="974" t="s">
        <v>1437</v>
      </c>
      <c r="D169" s="926" t="s">
        <v>1438</v>
      </c>
      <c r="E169" s="920" t="s">
        <v>1430</v>
      </c>
      <c r="F169" s="936" t="s">
        <v>505</v>
      </c>
      <c r="G169" s="976" t="s">
        <v>1439</v>
      </c>
      <c r="H169" s="944"/>
      <c r="I169" s="977"/>
      <c r="J169" s="941">
        <v>0.27</v>
      </c>
      <c r="K169" s="932" t="s">
        <v>1368</v>
      </c>
      <c r="L169" s="941"/>
      <c r="M169" s="932"/>
      <c r="N169" s="975"/>
      <c r="O169" s="975"/>
      <c r="P169" s="921" t="s">
        <v>625</v>
      </c>
      <c r="Q169" s="932" t="s">
        <v>1440</v>
      </c>
      <c r="R169" s="978">
        <v>8632</v>
      </c>
      <c r="S169" s="978">
        <v>7316</v>
      </c>
      <c r="T169" s="923" t="s">
        <v>1441</v>
      </c>
      <c r="U169" s="923"/>
      <c r="V169" s="923" t="s">
        <v>1442</v>
      </c>
      <c r="W169" s="932" t="s">
        <v>348</v>
      </c>
      <c r="X169" s="979">
        <v>1</v>
      </c>
      <c r="Y169" s="902">
        <v>168285</v>
      </c>
      <c r="Z169" s="980"/>
      <c r="AA169" s="957"/>
      <c r="AB169" s="957"/>
      <c r="AC169" s="981">
        <v>168285</v>
      </c>
      <c r="AD169" s="959"/>
      <c r="AE169" s="981">
        <v>168285</v>
      </c>
      <c r="AF169" s="979">
        <v>6</v>
      </c>
      <c r="AG169" s="979">
        <f t="shared" si="37"/>
        <v>63160.975609756104</v>
      </c>
      <c r="AH169" s="902">
        <f t="shared" si="34"/>
        <v>51792</v>
      </c>
      <c r="AI169" s="902">
        <f t="shared" si="38"/>
        <v>11368.975609756104</v>
      </c>
      <c r="AJ169" s="902">
        <f t="shared" si="39"/>
        <v>63160.975609756104</v>
      </c>
    </row>
    <row r="170" spans="1:36" s="930" customFormat="1" ht="26.1" customHeight="1">
      <c r="A170" s="972" t="s">
        <v>1443</v>
      </c>
      <c r="B170" s="920" t="s">
        <v>1444</v>
      </c>
      <c r="C170" s="974" t="s">
        <v>1445</v>
      </c>
      <c r="D170" s="923" t="s">
        <v>1446</v>
      </c>
      <c r="E170" s="920" t="s">
        <v>1447</v>
      </c>
      <c r="F170" s="972" t="s">
        <v>1263</v>
      </c>
      <c r="G170" s="974" t="s">
        <v>217</v>
      </c>
      <c r="H170" s="921"/>
      <c r="I170" s="923"/>
      <c r="J170" s="982">
        <v>0.31</v>
      </c>
      <c r="K170" s="974" t="s">
        <v>486</v>
      </c>
      <c r="L170" s="941">
        <v>0.11</v>
      </c>
      <c r="M170" s="921" t="s">
        <v>217</v>
      </c>
      <c r="N170" s="923"/>
      <c r="O170" s="923"/>
      <c r="P170" s="921" t="s">
        <v>1448</v>
      </c>
      <c r="Q170" s="932" t="s">
        <v>1449</v>
      </c>
      <c r="R170" s="926">
        <v>10233</v>
      </c>
      <c r="S170" s="978">
        <v>8666</v>
      </c>
      <c r="T170" s="923" t="s">
        <v>1450</v>
      </c>
      <c r="U170" s="923"/>
      <c r="V170" s="943" t="s">
        <v>1451</v>
      </c>
      <c r="W170" s="932" t="s">
        <v>164</v>
      </c>
      <c r="X170" s="979">
        <v>1</v>
      </c>
      <c r="Y170" s="979">
        <v>188488</v>
      </c>
      <c r="Z170" s="980"/>
      <c r="AA170" s="902"/>
      <c r="AB170" s="980"/>
      <c r="AC170" s="981">
        <f>Y170</f>
        <v>188488</v>
      </c>
      <c r="AD170" s="983"/>
      <c r="AE170" s="981">
        <f>AC170</f>
        <v>188488</v>
      </c>
      <c r="AF170" s="979">
        <v>8</v>
      </c>
      <c r="AG170" s="979">
        <f t="shared" si="37"/>
        <v>99834.14634146342</v>
      </c>
      <c r="AH170" s="902">
        <f t="shared" si="34"/>
        <v>81864</v>
      </c>
      <c r="AI170" s="902">
        <f t="shared" si="38"/>
        <v>17970.14634146342</v>
      </c>
      <c r="AJ170" s="902">
        <f t="shared" si="39"/>
        <v>99834.14634146342</v>
      </c>
    </row>
    <row r="171" spans="1:36" s="930" customFormat="1" ht="26.1" customHeight="1">
      <c r="A171" s="972" t="s">
        <v>1452</v>
      </c>
      <c r="B171" s="920" t="s">
        <v>1453</v>
      </c>
      <c r="C171" s="974" t="s">
        <v>1055</v>
      </c>
      <c r="D171" s="923" t="s">
        <v>1454</v>
      </c>
      <c r="E171" s="920" t="s">
        <v>1455</v>
      </c>
      <c r="F171" s="984" t="s">
        <v>388</v>
      </c>
      <c r="G171" s="985" t="s">
        <v>964</v>
      </c>
      <c r="H171" s="921"/>
      <c r="I171" s="923"/>
      <c r="J171" s="986">
        <v>0.35</v>
      </c>
      <c r="K171" s="974" t="s">
        <v>217</v>
      </c>
      <c r="L171" s="941">
        <v>0.1</v>
      </c>
      <c r="M171" s="985" t="s">
        <v>964</v>
      </c>
      <c r="N171" s="923"/>
      <c r="O171" s="923"/>
      <c r="P171" s="977" t="s">
        <v>389</v>
      </c>
      <c r="Q171" s="921" t="s">
        <v>1456</v>
      </c>
      <c r="R171" s="978">
        <v>8442</v>
      </c>
      <c r="S171" s="978">
        <v>7033</v>
      </c>
      <c r="T171" s="923" t="s">
        <v>1065</v>
      </c>
      <c r="U171" s="923"/>
      <c r="V171" s="943" t="s">
        <v>1451</v>
      </c>
      <c r="W171" s="932" t="s">
        <v>659</v>
      </c>
      <c r="X171" s="979">
        <v>1</v>
      </c>
      <c r="Y171" s="979">
        <v>161395</v>
      </c>
      <c r="Z171" s="980"/>
      <c r="AA171" s="957"/>
      <c r="AB171" s="957"/>
      <c r="AC171" s="981">
        <v>161395</v>
      </c>
      <c r="AD171" s="959"/>
      <c r="AE171" s="981">
        <v>161395</v>
      </c>
      <c r="AF171" s="979">
        <v>10</v>
      </c>
      <c r="AG171" s="979">
        <f t="shared" si="37"/>
        <v>102951.21951219512</v>
      </c>
      <c r="AH171" s="902">
        <f t="shared" si="34"/>
        <v>84420</v>
      </c>
      <c r="AI171" s="902">
        <f t="shared" si="38"/>
        <v>18531.219512195123</v>
      </c>
      <c r="AJ171" s="902">
        <f t="shared" si="39"/>
        <v>102951.21951219512</v>
      </c>
    </row>
    <row r="172" spans="1:36" s="930" customFormat="1" ht="26.1" customHeight="1">
      <c r="A172" s="972" t="s">
        <v>1457</v>
      </c>
      <c r="B172" s="920" t="s">
        <v>1458</v>
      </c>
      <c r="C172" s="974" t="s">
        <v>1459</v>
      </c>
      <c r="D172" s="923" t="s">
        <v>1460</v>
      </c>
      <c r="E172" s="987" t="s">
        <v>1461</v>
      </c>
      <c r="F172" s="977" t="s">
        <v>485</v>
      </c>
      <c r="G172" s="977" t="s">
        <v>217</v>
      </c>
      <c r="H172" s="921"/>
      <c r="I172" s="923"/>
      <c r="J172" s="924">
        <v>0.19</v>
      </c>
      <c r="K172" s="932" t="s">
        <v>260</v>
      </c>
      <c r="L172" s="941"/>
      <c r="M172" s="921"/>
      <c r="N172" s="923"/>
      <c r="O172" s="923"/>
      <c r="P172" s="977" t="s">
        <v>487</v>
      </c>
      <c r="Q172" s="977" t="s">
        <v>1462</v>
      </c>
      <c r="R172" s="978">
        <v>7122</v>
      </c>
      <c r="S172" s="926">
        <v>5746</v>
      </c>
      <c r="T172" s="944" t="s">
        <v>1463</v>
      </c>
      <c r="U172" s="923"/>
      <c r="V172" s="923" t="s">
        <v>1464</v>
      </c>
      <c r="W172" s="932" t="s">
        <v>139</v>
      </c>
      <c r="X172" s="979">
        <v>1</v>
      </c>
      <c r="Y172" s="979">
        <v>84747</v>
      </c>
      <c r="Z172" s="980"/>
      <c r="AA172" s="957"/>
      <c r="AB172" s="957"/>
      <c r="AC172" s="981">
        <v>84747</v>
      </c>
      <c r="AD172" s="959"/>
      <c r="AE172" s="981">
        <v>84747</v>
      </c>
      <c r="AF172" s="979">
        <v>11</v>
      </c>
      <c r="AG172" s="979">
        <f t="shared" si="37"/>
        <v>95539.024390243911</v>
      </c>
      <c r="AH172" s="902">
        <f t="shared" si="34"/>
        <v>78342</v>
      </c>
      <c r="AI172" s="902">
        <f t="shared" si="38"/>
        <v>17197.024390243911</v>
      </c>
      <c r="AJ172" s="902">
        <f t="shared" si="39"/>
        <v>95539.024390243911</v>
      </c>
    </row>
    <row r="173" spans="1:36" s="930" customFormat="1" ht="26.1" customHeight="1">
      <c r="A173" s="972" t="s">
        <v>1465</v>
      </c>
      <c r="B173" s="920" t="s">
        <v>1466</v>
      </c>
      <c r="C173" s="974" t="s">
        <v>1467</v>
      </c>
      <c r="D173" s="923" t="s">
        <v>1460</v>
      </c>
      <c r="E173" s="920" t="s">
        <v>1468</v>
      </c>
      <c r="F173" s="972" t="s">
        <v>388</v>
      </c>
      <c r="G173" s="974" t="s">
        <v>217</v>
      </c>
      <c r="H173" s="921"/>
      <c r="I173" s="923"/>
      <c r="J173" s="982">
        <v>0.32</v>
      </c>
      <c r="K173" s="974" t="s">
        <v>415</v>
      </c>
      <c r="L173" s="941">
        <v>0.1</v>
      </c>
      <c r="M173" s="921" t="s">
        <v>217</v>
      </c>
      <c r="N173" s="923"/>
      <c r="O173" s="923"/>
      <c r="P173" s="921" t="s">
        <v>389</v>
      </c>
      <c r="Q173" s="932" t="s">
        <v>1469</v>
      </c>
      <c r="R173" s="978">
        <v>8256</v>
      </c>
      <c r="S173" s="978">
        <v>7075</v>
      </c>
      <c r="T173" s="923" t="s">
        <v>1450</v>
      </c>
      <c r="U173" s="923"/>
      <c r="V173" s="943" t="s">
        <v>1470</v>
      </c>
      <c r="W173" s="932" t="s">
        <v>164</v>
      </c>
      <c r="X173" s="979">
        <v>1</v>
      </c>
      <c r="Y173" s="979">
        <v>196331</v>
      </c>
      <c r="Z173" s="980"/>
      <c r="AA173" s="979"/>
      <c r="AB173" s="957"/>
      <c r="AC173" s="981">
        <f>Y173</f>
        <v>196331</v>
      </c>
      <c r="AD173" s="959"/>
      <c r="AE173" s="981">
        <f>AC173</f>
        <v>196331</v>
      </c>
      <c r="AF173" s="979">
        <v>8</v>
      </c>
      <c r="AG173" s="979">
        <f t="shared" si="37"/>
        <v>80546.341463414632</v>
      </c>
      <c r="AH173" s="902">
        <f t="shared" si="34"/>
        <v>66048</v>
      </c>
      <c r="AI173" s="902">
        <f t="shared" si="38"/>
        <v>14498.341463414632</v>
      </c>
      <c r="AJ173" s="902">
        <f t="shared" si="39"/>
        <v>80546.341463414632</v>
      </c>
    </row>
    <row r="174" spans="1:36" s="930" customFormat="1" ht="26.1" customHeight="1">
      <c r="A174" s="972" t="s">
        <v>1471</v>
      </c>
      <c r="B174" s="920" t="s">
        <v>1472</v>
      </c>
      <c r="C174" s="974" t="s">
        <v>1473</v>
      </c>
      <c r="D174" s="923" t="s">
        <v>1460</v>
      </c>
      <c r="E174" s="920" t="s">
        <v>1474</v>
      </c>
      <c r="F174" s="984" t="s">
        <v>388</v>
      </c>
      <c r="G174" s="974" t="s">
        <v>217</v>
      </c>
      <c r="H174" s="921"/>
      <c r="I174" s="923"/>
      <c r="J174" s="982">
        <v>0.32</v>
      </c>
      <c r="K174" s="974" t="s">
        <v>1475</v>
      </c>
      <c r="L174" s="941">
        <v>0.1</v>
      </c>
      <c r="M174" s="921" t="s">
        <v>217</v>
      </c>
      <c r="N174" s="923"/>
      <c r="O174" s="923"/>
      <c r="P174" s="923" t="s">
        <v>389</v>
      </c>
      <c r="Q174" s="932" t="s">
        <v>390</v>
      </c>
      <c r="R174" s="978">
        <v>8256</v>
      </c>
      <c r="S174" s="978">
        <v>6993</v>
      </c>
      <c r="T174" s="923" t="s">
        <v>1476</v>
      </c>
      <c r="U174" s="923"/>
      <c r="V174" s="923" t="s">
        <v>1477</v>
      </c>
      <c r="W174" s="932" t="s">
        <v>139</v>
      </c>
      <c r="X174" s="979">
        <v>1</v>
      </c>
      <c r="Y174" s="979">
        <v>155604</v>
      </c>
      <c r="Z174" s="980"/>
      <c r="AA174" s="957"/>
      <c r="AB174" s="957"/>
      <c r="AC174" s="981">
        <f>Y174</f>
        <v>155604</v>
      </c>
      <c r="AD174" s="959"/>
      <c r="AE174" s="981">
        <f>AC174</f>
        <v>155604</v>
      </c>
      <c r="AF174" s="979">
        <v>11</v>
      </c>
      <c r="AG174" s="979">
        <f t="shared" si="37"/>
        <v>110751.21951219512</v>
      </c>
      <c r="AH174" s="902">
        <f t="shared" si="34"/>
        <v>90816</v>
      </c>
      <c r="AI174" s="902">
        <f t="shared" si="38"/>
        <v>19935.219512195123</v>
      </c>
      <c r="AJ174" s="902">
        <f t="shared" si="39"/>
        <v>110751.21951219512</v>
      </c>
    </row>
    <row r="175" spans="1:36" s="930" customFormat="1" ht="26.1" customHeight="1">
      <c r="A175" s="972" t="s">
        <v>1478</v>
      </c>
      <c r="B175" s="920" t="s">
        <v>1479</v>
      </c>
      <c r="C175" s="974" t="s">
        <v>1480</v>
      </c>
      <c r="D175" s="923" t="s">
        <v>1460</v>
      </c>
      <c r="E175" s="920" t="s">
        <v>1481</v>
      </c>
      <c r="F175" s="972" t="s">
        <v>515</v>
      </c>
      <c r="G175" s="974" t="s">
        <v>217</v>
      </c>
      <c r="H175" s="921"/>
      <c r="I175" s="923"/>
      <c r="J175" s="982">
        <v>0.36</v>
      </c>
      <c r="K175" s="974" t="s">
        <v>1439</v>
      </c>
      <c r="L175" s="941" t="s">
        <v>1482</v>
      </c>
      <c r="M175" s="921" t="s">
        <v>217</v>
      </c>
      <c r="N175" s="923"/>
      <c r="O175" s="923"/>
      <c r="P175" s="923" t="s">
        <v>1483</v>
      </c>
      <c r="Q175" s="943" t="s">
        <v>390</v>
      </c>
      <c r="R175" s="978">
        <v>8891</v>
      </c>
      <c r="S175" s="978">
        <v>7558</v>
      </c>
      <c r="T175" s="923" t="s">
        <v>1484</v>
      </c>
      <c r="U175" s="923"/>
      <c r="V175" s="923" t="s">
        <v>1485</v>
      </c>
      <c r="W175" s="932" t="s">
        <v>139</v>
      </c>
      <c r="X175" s="979">
        <v>1</v>
      </c>
      <c r="Y175" s="979">
        <v>170071</v>
      </c>
      <c r="Z175" s="980"/>
      <c r="AA175" s="957"/>
      <c r="AB175" s="957"/>
      <c r="AC175" s="981">
        <v>170071</v>
      </c>
      <c r="AD175" s="959"/>
      <c r="AE175" s="981">
        <v>170071</v>
      </c>
      <c r="AF175" s="979">
        <v>11</v>
      </c>
      <c r="AG175" s="979">
        <f t="shared" si="37"/>
        <v>119269.51219512196</v>
      </c>
      <c r="AH175" s="902">
        <f t="shared" si="34"/>
        <v>97801</v>
      </c>
      <c r="AI175" s="902">
        <f t="shared" si="38"/>
        <v>21468.512195121963</v>
      </c>
      <c r="AJ175" s="902">
        <f t="shared" si="39"/>
        <v>119269.51219512196</v>
      </c>
    </row>
    <row r="176" spans="1:36" s="930" customFormat="1" ht="26.1" customHeight="1">
      <c r="A176" s="972" t="s">
        <v>1486</v>
      </c>
      <c r="B176" s="920" t="s">
        <v>1487</v>
      </c>
      <c r="C176" s="974" t="s">
        <v>1488</v>
      </c>
      <c r="D176" s="923" t="s">
        <v>1489</v>
      </c>
      <c r="E176" s="920" t="s">
        <v>1430</v>
      </c>
      <c r="F176" s="972" t="s">
        <v>1490</v>
      </c>
      <c r="G176" s="988" t="s">
        <v>1491</v>
      </c>
      <c r="H176" s="923"/>
      <c r="I176" s="923"/>
      <c r="J176" s="986">
        <v>0.14000000000000001</v>
      </c>
      <c r="K176" s="974" t="s">
        <v>873</v>
      </c>
      <c r="L176" s="941"/>
      <c r="M176" s="932"/>
      <c r="N176" s="923"/>
      <c r="O176" s="923"/>
      <c r="P176" s="921" t="s">
        <v>1492</v>
      </c>
      <c r="Q176" s="923" t="s">
        <v>1493</v>
      </c>
      <c r="R176" s="978">
        <v>5293</v>
      </c>
      <c r="S176" s="978">
        <v>4127</v>
      </c>
      <c r="T176" s="923" t="s">
        <v>1494</v>
      </c>
      <c r="U176" s="923"/>
      <c r="V176" s="923" t="s">
        <v>1495</v>
      </c>
      <c r="W176" s="974" t="s">
        <v>139</v>
      </c>
      <c r="X176" s="979">
        <v>1</v>
      </c>
      <c r="Y176" s="979"/>
      <c r="Z176" s="980"/>
      <c r="AA176" s="902">
        <v>107706</v>
      </c>
      <c r="AB176" s="957"/>
      <c r="AC176" s="981">
        <v>107706</v>
      </c>
      <c r="AD176" s="981">
        <v>14850</v>
      </c>
      <c r="AE176" s="981">
        <f>AC176-AD176</f>
        <v>92856</v>
      </c>
      <c r="AF176" s="979">
        <v>11</v>
      </c>
      <c r="AG176" s="979">
        <f t="shared" si="37"/>
        <v>71003.658536585368</v>
      </c>
      <c r="AH176" s="902">
        <f t="shared" si="34"/>
        <v>58223</v>
      </c>
      <c r="AI176" s="902">
        <f t="shared" si="38"/>
        <v>12780.658536585368</v>
      </c>
      <c r="AJ176" s="902">
        <f t="shared" si="39"/>
        <v>56153.658536585368</v>
      </c>
    </row>
    <row r="177" spans="1:36" s="930" customFormat="1" ht="26.1" customHeight="1">
      <c r="A177" s="972" t="s">
        <v>1496</v>
      </c>
      <c r="B177" s="920" t="s">
        <v>1497</v>
      </c>
      <c r="C177" s="974" t="s">
        <v>1498</v>
      </c>
      <c r="D177" s="923" t="s">
        <v>1499</v>
      </c>
      <c r="E177" s="920" t="s">
        <v>1500</v>
      </c>
      <c r="F177" s="972" t="s">
        <v>973</v>
      </c>
      <c r="G177" s="974" t="s">
        <v>1501</v>
      </c>
      <c r="H177" s="984"/>
      <c r="I177" s="984"/>
      <c r="J177" s="986">
        <v>0.22</v>
      </c>
      <c r="K177" s="974" t="s">
        <v>132</v>
      </c>
      <c r="L177" s="984"/>
      <c r="M177" s="984"/>
      <c r="N177" s="984"/>
      <c r="O177" s="984"/>
      <c r="P177" s="977" t="s">
        <v>148</v>
      </c>
      <c r="Q177" s="921" t="s">
        <v>1502</v>
      </c>
      <c r="R177" s="978">
        <v>6821</v>
      </c>
      <c r="S177" s="940">
        <v>5749</v>
      </c>
      <c r="T177" s="923" t="s">
        <v>1503</v>
      </c>
      <c r="U177" s="923"/>
      <c r="V177" s="923" t="s">
        <v>1504</v>
      </c>
      <c r="W177" s="974" t="s">
        <v>659</v>
      </c>
      <c r="X177" s="979">
        <v>1</v>
      </c>
      <c r="Y177" s="979"/>
      <c r="Z177" s="980"/>
      <c r="AA177" s="902">
        <v>239840</v>
      </c>
      <c r="AB177" s="957"/>
      <c r="AC177" s="981">
        <v>239840</v>
      </c>
      <c r="AD177" s="981">
        <v>22158</v>
      </c>
      <c r="AE177" s="981">
        <f>AC177-AD177</f>
        <v>217682</v>
      </c>
      <c r="AF177" s="979">
        <v>10</v>
      </c>
      <c r="AG177" s="979">
        <f t="shared" si="37"/>
        <v>83182.926829268297</v>
      </c>
      <c r="AH177" s="902">
        <f t="shared" si="34"/>
        <v>68210</v>
      </c>
      <c r="AI177" s="902">
        <f t="shared" si="38"/>
        <v>14972.926829268297</v>
      </c>
      <c r="AJ177" s="902">
        <f t="shared" si="39"/>
        <v>61024.926829268297</v>
      </c>
    </row>
    <row r="178" spans="1:36" s="930" customFormat="1" ht="26.1" customHeight="1">
      <c r="A178" s="972" t="s">
        <v>1505</v>
      </c>
      <c r="B178" s="920" t="s">
        <v>1506</v>
      </c>
      <c r="C178" s="974" t="s">
        <v>1507</v>
      </c>
      <c r="D178" s="923" t="s">
        <v>1499</v>
      </c>
      <c r="E178" s="920" t="s">
        <v>1508</v>
      </c>
      <c r="F178" s="972" t="s">
        <v>535</v>
      </c>
      <c r="G178" s="974" t="s">
        <v>217</v>
      </c>
      <c r="H178" s="923"/>
      <c r="I178" s="923"/>
      <c r="J178" s="986">
        <v>0.26</v>
      </c>
      <c r="K178" s="989" t="s">
        <v>1439</v>
      </c>
      <c r="L178" s="941">
        <v>0.08</v>
      </c>
      <c r="M178" s="932" t="s">
        <v>217</v>
      </c>
      <c r="N178" s="923"/>
      <c r="O178" s="923"/>
      <c r="P178" s="923" t="s">
        <v>1509</v>
      </c>
      <c r="Q178" s="943" t="s">
        <v>390</v>
      </c>
      <c r="R178" s="978">
        <v>7619</v>
      </c>
      <c r="S178" s="940">
        <v>6459</v>
      </c>
      <c r="T178" s="923" t="s">
        <v>1510</v>
      </c>
      <c r="U178" s="932"/>
      <c r="V178" s="923" t="s">
        <v>1511</v>
      </c>
      <c r="W178" s="974" t="s">
        <v>139</v>
      </c>
      <c r="X178" s="979">
        <v>1</v>
      </c>
      <c r="Y178" s="979"/>
      <c r="Z178" s="979"/>
      <c r="AA178" s="902">
        <v>312251</v>
      </c>
      <c r="AB178" s="957"/>
      <c r="AC178" s="981">
        <f>AA178</f>
        <v>312251</v>
      </c>
      <c r="AD178" s="981">
        <v>23221</v>
      </c>
      <c r="AE178" s="981">
        <f>AC178-AD178</f>
        <v>289030</v>
      </c>
      <c r="AF178" s="979">
        <v>11</v>
      </c>
      <c r="AG178" s="979">
        <f t="shared" si="37"/>
        <v>102206.09756097561</v>
      </c>
      <c r="AH178" s="902">
        <f t="shared" si="34"/>
        <v>83809</v>
      </c>
      <c r="AI178" s="902">
        <f t="shared" si="38"/>
        <v>18397.097560975613</v>
      </c>
      <c r="AJ178" s="902">
        <f t="shared" si="39"/>
        <v>78985.097560975613</v>
      </c>
    </row>
    <row r="179" spans="1:36" s="930" customFormat="1" ht="26.1" customHeight="1">
      <c r="A179" s="972" t="s">
        <v>1512</v>
      </c>
      <c r="B179" s="920" t="s">
        <v>1513</v>
      </c>
      <c r="C179" s="974" t="s">
        <v>1514</v>
      </c>
      <c r="D179" s="923" t="s">
        <v>1515</v>
      </c>
      <c r="E179" s="920" t="s">
        <v>1516</v>
      </c>
      <c r="F179" s="972" t="s">
        <v>335</v>
      </c>
      <c r="G179" s="974" t="s">
        <v>1517</v>
      </c>
      <c r="H179" s="923">
        <v>0.2</v>
      </c>
      <c r="I179" s="923" t="s">
        <v>1518</v>
      </c>
      <c r="J179" s="986"/>
      <c r="K179" s="989"/>
      <c r="L179" s="941"/>
      <c r="M179" s="932"/>
      <c r="N179" s="923"/>
      <c r="O179" s="923"/>
      <c r="P179" s="923" t="s">
        <v>1519</v>
      </c>
      <c r="Q179" s="943" t="s">
        <v>1520</v>
      </c>
      <c r="R179" s="978">
        <v>5365</v>
      </c>
      <c r="S179" s="940">
        <v>4567</v>
      </c>
      <c r="T179" s="923" t="s">
        <v>1521</v>
      </c>
      <c r="U179" s="932"/>
      <c r="V179" s="923" t="s">
        <v>1522</v>
      </c>
      <c r="W179" s="974" t="s">
        <v>252</v>
      </c>
      <c r="X179" s="979">
        <v>1</v>
      </c>
      <c r="Y179" s="979"/>
      <c r="Z179" s="979"/>
      <c r="AA179" s="902">
        <v>146269</v>
      </c>
      <c r="AB179" s="957"/>
      <c r="AC179" s="981">
        <v>146269</v>
      </c>
      <c r="AD179" s="981"/>
      <c r="AE179" s="981">
        <v>146269</v>
      </c>
      <c r="AF179" s="979">
        <v>5</v>
      </c>
      <c r="AG179" s="979">
        <f t="shared" si="37"/>
        <v>35766.666666666664</v>
      </c>
      <c r="AH179" s="902">
        <f t="shared" si="34"/>
        <v>26825</v>
      </c>
      <c r="AI179" s="902">
        <f>((AH179*100%)/75%)-AH179</f>
        <v>8941.6666666666642</v>
      </c>
      <c r="AJ179" s="902">
        <f t="shared" si="39"/>
        <v>35766.666666666664</v>
      </c>
    </row>
    <row r="180" spans="1:36" s="930" customFormat="1" ht="26.1" customHeight="1">
      <c r="A180" s="972" t="s">
        <v>1523</v>
      </c>
      <c r="B180" s="920" t="s">
        <v>1524</v>
      </c>
      <c r="C180" s="974">
        <v>23319</v>
      </c>
      <c r="D180" s="923" t="s">
        <v>1525</v>
      </c>
      <c r="E180" s="920" t="s">
        <v>1526</v>
      </c>
      <c r="F180" s="972" t="s">
        <v>860</v>
      </c>
      <c r="G180" s="974" t="s">
        <v>659</v>
      </c>
      <c r="H180" s="923"/>
      <c r="I180" s="923"/>
      <c r="J180" s="986"/>
      <c r="K180" s="989"/>
      <c r="L180" s="941"/>
      <c r="M180" s="932"/>
      <c r="N180" s="923"/>
      <c r="O180" s="923"/>
      <c r="P180" s="923" t="s">
        <v>1527</v>
      </c>
      <c r="Q180" s="943" t="s">
        <v>1528</v>
      </c>
      <c r="R180" s="978">
        <v>5155</v>
      </c>
      <c r="S180" s="940">
        <v>4080</v>
      </c>
      <c r="T180" s="923" t="s">
        <v>1529</v>
      </c>
      <c r="U180" s="932"/>
      <c r="V180" s="923" t="s">
        <v>1530</v>
      </c>
      <c r="W180" s="974" t="s">
        <v>176</v>
      </c>
      <c r="X180" s="979">
        <v>1</v>
      </c>
      <c r="Y180" s="979"/>
      <c r="Z180" s="979"/>
      <c r="AA180" s="902">
        <v>110329</v>
      </c>
      <c r="AB180" s="957"/>
      <c r="AC180" s="981">
        <v>110329</v>
      </c>
      <c r="AD180" s="981">
        <v>15466</v>
      </c>
      <c r="AE180" s="981">
        <v>94863</v>
      </c>
      <c r="AF180" s="979">
        <v>0</v>
      </c>
      <c r="AG180" s="979">
        <f t="shared" si="37"/>
        <v>0</v>
      </c>
      <c r="AH180" s="902">
        <f t="shared" si="34"/>
        <v>0</v>
      </c>
      <c r="AI180" s="902">
        <f>((AH180*100%)/75%)-AH180</f>
        <v>0</v>
      </c>
      <c r="AJ180" s="902">
        <f t="shared" si="39"/>
        <v>-15466</v>
      </c>
    </row>
    <row r="181" spans="1:36" s="930" customFormat="1" ht="26.1" customHeight="1">
      <c r="A181" s="972" t="s">
        <v>1531</v>
      </c>
      <c r="B181" s="920" t="s">
        <v>1532</v>
      </c>
      <c r="C181" s="974">
        <v>25039</v>
      </c>
      <c r="D181" s="923" t="s">
        <v>1109</v>
      </c>
      <c r="E181" s="920" t="s">
        <v>1533</v>
      </c>
      <c r="F181" s="972" t="s">
        <v>169</v>
      </c>
      <c r="G181" s="974" t="s">
        <v>367</v>
      </c>
      <c r="H181" s="923"/>
      <c r="I181" s="923"/>
      <c r="J181" s="986">
        <v>0.28999999999999998</v>
      </c>
      <c r="K181" s="989" t="s">
        <v>562</v>
      </c>
      <c r="L181" s="941">
        <v>0.11</v>
      </c>
      <c r="M181" s="932" t="s">
        <v>367</v>
      </c>
      <c r="N181" s="923"/>
      <c r="O181" s="923"/>
      <c r="P181" s="923" t="s">
        <v>999</v>
      </c>
      <c r="Q181" s="943" t="s">
        <v>1534</v>
      </c>
      <c r="R181" s="978">
        <v>7232</v>
      </c>
      <c r="S181" s="940">
        <v>7014</v>
      </c>
      <c r="T181" s="923" t="s">
        <v>1535</v>
      </c>
      <c r="U181" s="932"/>
      <c r="V181" s="923" t="s">
        <v>1536</v>
      </c>
      <c r="W181" s="974" t="s">
        <v>252</v>
      </c>
      <c r="X181" s="979">
        <v>1</v>
      </c>
      <c r="Y181" s="979">
        <v>164989</v>
      </c>
      <c r="Z181" s="979"/>
      <c r="AA181" s="902"/>
      <c r="AB181" s="957"/>
      <c r="AC181" s="981">
        <v>164989</v>
      </c>
      <c r="AD181" s="981"/>
      <c r="AE181" s="981">
        <v>164989</v>
      </c>
      <c r="AF181" s="979">
        <v>5</v>
      </c>
      <c r="AG181" s="979">
        <f t="shared" si="37"/>
        <v>44097.560975609762</v>
      </c>
      <c r="AH181" s="902">
        <f t="shared" si="34"/>
        <v>36160</v>
      </c>
      <c r="AI181" s="902">
        <f>((AH181*100%)/82%)-AH181</f>
        <v>7937.560975609762</v>
      </c>
      <c r="AJ181" s="902">
        <f t="shared" si="39"/>
        <v>44097.560975609762</v>
      </c>
    </row>
    <row r="182" spans="1:36" s="930" customFormat="1" ht="26.1" customHeight="1">
      <c r="A182" s="972" t="s">
        <v>1537</v>
      </c>
      <c r="B182" s="920" t="s">
        <v>1538</v>
      </c>
      <c r="C182" s="974" t="s">
        <v>1539</v>
      </c>
      <c r="D182" s="923" t="s">
        <v>483</v>
      </c>
      <c r="E182" s="920" t="s">
        <v>1540</v>
      </c>
      <c r="F182" s="972" t="s">
        <v>505</v>
      </c>
      <c r="G182" s="974" t="s">
        <v>347</v>
      </c>
      <c r="H182" s="923"/>
      <c r="I182" s="923"/>
      <c r="J182" s="986">
        <v>0.27</v>
      </c>
      <c r="K182" s="989" t="s">
        <v>224</v>
      </c>
      <c r="L182" s="941"/>
      <c r="M182" s="932"/>
      <c r="N182" s="923"/>
      <c r="O182" s="923"/>
      <c r="P182" s="923" t="s">
        <v>639</v>
      </c>
      <c r="Q182" s="943" t="s">
        <v>1087</v>
      </c>
      <c r="R182" s="978">
        <v>7725</v>
      </c>
      <c r="S182" s="940">
        <v>7388</v>
      </c>
      <c r="T182" s="923" t="s">
        <v>1541</v>
      </c>
      <c r="U182" s="932"/>
      <c r="V182" s="923" t="s">
        <v>1542</v>
      </c>
      <c r="W182" s="974" t="s">
        <v>854</v>
      </c>
      <c r="X182" s="979">
        <v>1</v>
      </c>
      <c r="Y182" s="979">
        <v>147754</v>
      </c>
      <c r="Z182" s="979"/>
      <c r="AA182" s="902"/>
      <c r="AB182" s="957"/>
      <c r="AC182" s="981">
        <v>147754</v>
      </c>
      <c r="AD182" s="981"/>
      <c r="AE182" s="981">
        <v>147754</v>
      </c>
      <c r="AF182" s="979">
        <v>5</v>
      </c>
      <c r="AG182" s="979">
        <f t="shared" si="37"/>
        <v>47103.658536585368</v>
      </c>
      <c r="AH182" s="902">
        <f t="shared" si="34"/>
        <v>38625</v>
      </c>
      <c r="AI182" s="902">
        <f t="shared" ref="AI182:AI191" si="40">((AH182*100%)/82%)-AH182</f>
        <v>8478.658536585368</v>
      </c>
      <c r="AJ182" s="902">
        <f t="shared" si="39"/>
        <v>47103.658536585368</v>
      </c>
    </row>
    <row r="183" spans="1:36" s="930" customFormat="1" ht="26.1" customHeight="1">
      <c r="A183" s="972" t="s">
        <v>1543</v>
      </c>
      <c r="B183" s="920" t="s">
        <v>1544</v>
      </c>
      <c r="C183" s="974" t="s">
        <v>1545</v>
      </c>
      <c r="D183" s="923" t="s">
        <v>1546</v>
      </c>
      <c r="E183" s="920" t="s">
        <v>1540</v>
      </c>
      <c r="F183" s="972" t="s">
        <v>505</v>
      </c>
      <c r="G183" s="974" t="s">
        <v>146</v>
      </c>
      <c r="H183" s="923"/>
      <c r="I183" s="923"/>
      <c r="J183" s="986">
        <v>0.24</v>
      </c>
      <c r="K183" s="989" t="s">
        <v>146</v>
      </c>
      <c r="L183" s="941"/>
      <c r="M183" s="932"/>
      <c r="N183" s="923"/>
      <c r="O183" s="923"/>
      <c r="P183" s="923" t="s">
        <v>1121</v>
      </c>
      <c r="Q183" s="943" t="s">
        <v>1547</v>
      </c>
      <c r="R183" s="978">
        <v>7543</v>
      </c>
      <c r="S183" s="940">
        <v>7068</v>
      </c>
      <c r="T183" s="923" t="s">
        <v>1548</v>
      </c>
      <c r="U183" s="932"/>
      <c r="V183" s="923" t="s">
        <v>1549</v>
      </c>
      <c r="W183" s="974" t="s">
        <v>854</v>
      </c>
      <c r="X183" s="979">
        <v>1</v>
      </c>
      <c r="Y183" s="979">
        <v>160801</v>
      </c>
      <c r="Z183" s="979"/>
      <c r="AA183" s="902"/>
      <c r="AB183" s="957"/>
      <c r="AC183" s="981">
        <v>160801</v>
      </c>
      <c r="AD183" s="981"/>
      <c r="AE183" s="981">
        <v>160801</v>
      </c>
      <c r="AF183" s="979">
        <v>5</v>
      </c>
      <c r="AG183" s="979">
        <f t="shared" si="37"/>
        <v>45993.902439024394</v>
      </c>
      <c r="AH183" s="902">
        <f t="shared" si="34"/>
        <v>37715</v>
      </c>
      <c r="AI183" s="902">
        <f t="shared" si="40"/>
        <v>8278.902439024394</v>
      </c>
      <c r="AJ183" s="902">
        <f t="shared" si="39"/>
        <v>45993.902439024394</v>
      </c>
    </row>
    <row r="184" spans="1:36" s="930" customFormat="1" ht="26.1" customHeight="1">
      <c r="A184" s="972" t="s">
        <v>1550</v>
      </c>
      <c r="B184" s="920" t="s">
        <v>1551</v>
      </c>
      <c r="C184" s="974" t="s">
        <v>1552</v>
      </c>
      <c r="D184" s="923" t="s">
        <v>1056</v>
      </c>
      <c r="E184" s="920" t="s">
        <v>1540</v>
      </c>
      <c r="F184" s="972" t="s">
        <v>346</v>
      </c>
      <c r="G184" s="974" t="s">
        <v>367</v>
      </c>
      <c r="H184" s="923"/>
      <c r="I184" s="923"/>
      <c r="J184" s="986">
        <v>0.21</v>
      </c>
      <c r="K184" s="989" t="s">
        <v>324</v>
      </c>
      <c r="L184" s="941"/>
      <c r="M184" s="932"/>
      <c r="N184" s="923"/>
      <c r="O184" s="923"/>
      <c r="P184" s="923" t="s">
        <v>1553</v>
      </c>
      <c r="Q184" s="943" t="s">
        <v>1554</v>
      </c>
      <c r="R184" s="978">
        <v>5960</v>
      </c>
      <c r="S184" s="940">
        <v>5525</v>
      </c>
      <c r="T184" s="923" t="s">
        <v>1555</v>
      </c>
      <c r="U184" s="932"/>
      <c r="V184" s="923" t="s">
        <v>1556</v>
      </c>
      <c r="W184" s="974" t="s">
        <v>854</v>
      </c>
      <c r="X184" s="979">
        <v>1</v>
      </c>
      <c r="Y184" s="979">
        <v>77361</v>
      </c>
      <c r="Z184" s="979"/>
      <c r="AA184" s="902"/>
      <c r="AB184" s="957"/>
      <c r="AC184" s="981">
        <v>77361</v>
      </c>
      <c r="AD184" s="981"/>
      <c r="AE184" s="981">
        <v>77361</v>
      </c>
      <c r="AF184" s="979">
        <v>5</v>
      </c>
      <c r="AG184" s="979">
        <f t="shared" si="37"/>
        <v>36341.463414634149</v>
      </c>
      <c r="AH184" s="902">
        <f t="shared" si="34"/>
        <v>29800</v>
      </c>
      <c r="AI184" s="902">
        <f t="shared" si="40"/>
        <v>6541.4634146341486</v>
      </c>
      <c r="AJ184" s="902">
        <f t="shared" si="39"/>
        <v>36341.463414634149</v>
      </c>
    </row>
    <row r="185" spans="1:36" s="930" customFormat="1" ht="26.1" customHeight="1">
      <c r="A185" s="972" t="s">
        <v>1557</v>
      </c>
      <c r="B185" s="920" t="s">
        <v>1558</v>
      </c>
      <c r="C185" s="974" t="s">
        <v>1559</v>
      </c>
      <c r="D185" s="923" t="s">
        <v>376</v>
      </c>
      <c r="E185" s="920" t="s">
        <v>1560</v>
      </c>
      <c r="F185" s="972" t="s">
        <v>413</v>
      </c>
      <c r="G185" s="974" t="s">
        <v>217</v>
      </c>
      <c r="H185" s="923"/>
      <c r="I185" s="923"/>
      <c r="J185" s="986">
        <v>0.33</v>
      </c>
      <c r="K185" s="989" t="s">
        <v>688</v>
      </c>
      <c r="L185" s="941">
        <v>7.0000000000000007E-2</v>
      </c>
      <c r="M185" s="932" t="s">
        <v>217</v>
      </c>
      <c r="N185" s="923"/>
      <c r="O185" s="923"/>
      <c r="P185" s="923" t="s">
        <v>1561</v>
      </c>
      <c r="Q185" s="943" t="s">
        <v>1562</v>
      </c>
      <c r="R185" s="978">
        <v>7187</v>
      </c>
      <c r="S185" s="940">
        <v>7041</v>
      </c>
      <c r="T185" s="923" t="s">
        <v>633</v>
      </c>
      <c r="U185" s="932"/>
      <c r="V185" s="923" t="s">
        <v>1563</v>
      </c>
      <c r="W185" s="974" t="s">
        <v>564</v>
      </c>
      <c r="X185" s="979">
        <v>1</v>
      </c>
      <c r="Y185" s="979">
        <v>158589</v>
      </c>
      <c r="Z185" s="979"/>
      <c r="AA185" s="902"/>
      <c r="AB185" s="957"/>
      <c r="AC185" s="981">
        <v>158589</v>
      </c>
      <c r="AD185" s="981"/>
      <c r="AE185" s="981">
        <v>158589</v>
      </c>
      <c r="AF185" s="979">
        <v>2</v>
      </c>
      <c r="AG185" s="979">
        <f t="shared" si="37"/>
        <v>17529.268292682929</v>
      </c>
      <c r="AH185" s="902">
        <f t="shared" si="34"/>
        <v>14374</v>
      </c>
      <c r="AI185" s="902">
        <f t="shared" si="40"/>
        <v>3155.2682926829293</v>
      </c>
      <c r="AJ185" s="902">
        <f t="shared" si="39"/>
        <v>17529.268292682929</v>
      </c>
    </row>
    <row r="186" spans="1:36" s="930" customFormat="1" ht="26.1" customHeight="1">
      <c r="A186" s="972" t="s">
        <v>1564</v>
      </c>
      <c r="B186" s="920" t="s">
        <v>1565</v>
      </c>
      <c r="C186" s="974" t="s">
        <v>1566</v>
      </c>
      <c r="D186" s="923" t="s">
        <v>1567</v>
      </c>
      <c r="E186" s="920" t="s">
        <v>1568</v>
      </c>
      <c r="F186" s="972" t="s">
        <v>505</v>
      </c>
      <c r="G186" s="974" t="s">
        <v>224</v>
      </c>
      <c r="H186" s="923"/>
      <c r="I186" s="923"/>
      <c r="J186" s="986">
        <v>0.3</v>
      </c>
      <c r="K186" s="989" t="s">
        <v>688</v>
      </c>
      <c r="L186" s="941"/>
      <c r="M186" s="932"/>
      <c r="N186" s="923"/>
      <c r="O186" s="923"/>
      <c r="P186" s="923" t="s">
        <v>1121</v>
      </c>
      <c r="Q186" s="943" t="s">
        <v>1569</v>
      </c>
      <c r="R186" s="978">
        <v>7908</v>
      </c>
      <c r="S186" s="940">
        <v>7366</v>
      </c>
      <c r="T186" s="923" t="s">
        <v>1570</v>
      </c>
      <c r="U186" s="932"/>
      <c r="V186" s="923" t="s">
        <v>1571</v>
      </c>
      <c r="W186" s="974" t="s">
        <v>314</v>
      </c>
      <c r="X186" s="979">
        <v>1</v>
      </c>
      <c r="Y186" s="979">
        <v>140356</v>
      </c>
      <c r="Z186" s="979"/>
      <c r="AA186" s="902"/>
      <c r="AB186" s="957"/>
      <c r="AC186" s="981">
        <v>140356</v>
      </c>
      <c r="AD186" s="981"/>
      <c r="AE186" s="981">
        <v>140356</v>
      </c>
      <c r="AF186" s="979">
        <v>3</v>
      </c>
      <c r="AG186" s="979">
        <f t="shared" si="37"/>
        <v>28931.707317073171</v>
      </c>
      <c r="AH186" s="902">
        <f t="shared" si="34"/>
        <v>23724</v>
      </c>
      <c r="AI186" s="902">
        <f t="shared" si="40"/>
        <v>5207.707317073171</v>
      </c>
      <c r="AJ186" s="902">
        <f t="shared" si="39"/>
        <v>28931.707317073171</v>
      </c>
    </row>
    <row r="187" spans="1:36" s="930" customFormat="1" ht="26.1" customHeight="1">
      <c r="A187" s="972" t="s">
        <v>1572</v>
      </c>
      <c r="B187" s="920" t="s">
        <v>1573</v>
      </c>
      <c r="C187" s="974" t="s">
        <v>154</v>
      </c>
      <c r="D187" s="923" t="s">
        <v>243</v>
      </c>
      <c r="E187" s="920" t="s">
        <v>1574</v>
      </c>
      <c r="F187" s="972" t="s">
        <v>535</v>
      </c>
      <c r="G187" s="974" t="s">
        <v>217</v>
      </c>
      <c r="H187" s="923">
        <v>0.3</v>
      </c>
      <c r="I187" s="923" t="s">
        <v>1575</v>
      </c>
      <c r="J187" s="986">
        <v>0.34</v>
      </c>
      <c r="K187" s="989" t="s">
        <v>367</v>
      </c>
      <c r="L187" s="941">
        <v>0.08</v>
      </c>
      <c r="M187" s="932" t="s">
        <v>217</v>
      </c>
      <c r="N187" s="923"/>
      <c r="O187" s="923"/>
      <c r="P187" s="923" t="s">
        <v>1576</v>
      </c>
      <c r="Q187" s="943" t="s">
        <v>1577</v>
      </c>
      <c r="R187" s="978">
        <v>8867</v>
      </c>
      <c r="S187" s="940">
        <v>7706</v>
      </c>
      <c r="T187" s="923" t="s">
        <v>1578</v>
      </c>
      <c r="U187" s="932"/>
      <c r="V187" s="923" t="s">
        <v>1579</v>
      </c>
      <c r="W187" s="974" t="s">
        <v>314</v>
      </c>
      <c r="X187" s="979">
        <v>1</v>
      </c>
      <c r="Y187" s="979">
        <v>156472</v>
      </c>
      <c r="Z187" s="979"/>
      <c r="AA187" s="902"/>
      <c r="AB187" s="957"/>
      <c r="AC187" s="981">
        <v>156472</v>
      </c>
      <c r="AD187" s="981"/>
      <c r="AE187" s="981">
        <v>156472</v>
      </c>
      <c r="AF187" s="979">
        <v>3</v>
      </c>
      <c r="AG187" s="979">
        <f t="shared" si="37"/>
        <v>32440.243902439026</v>
      </c>
      <c r="AH187" s="902">
        <f t="shared" si="34"/>
        <v>26601</v>
      </c>
      <c r="AI187" s="902">
        <f t="shared" si="40"/>
        <v>5839.243902439026</v>
      </c>
      <c r="AJ187" s="902">
        <f t="shared" si="39"/>
        <v>32440.243902439026</v>
      </c>
    </row>
    <row r="188" spans="1:36" s="930" customFormat="1" ht="26.1" customHeight="1">
      <c r="A188" s="972" t="s">
        <v>1580</v>
      </c>
      <c r="B188" s="920" t="s">
        <v>1581</v>
      </c>
      <c r="C188" s="974" t="s">
        <v>1582</v>
      </c>
      <c r="D188" s="923" t="s">
        <v>167</v>
      </c>
      <c r="E188" s="920" t="s">
        <v>1583</v>
      </c>
      <c r="F188" s="972" t="s">
        <v>569</v>
      </c>
      <c r="G188" s="974" t="s">
        <v>217</v>
      </c>
      <c r="H188" s="923"/>
      <c r="I188" s="923"/>
      <c r="J188" s="986">
        <v>0.3</v>
      </c>
      <c r="K188" s="989" t="s">
        <v>1161</v>
      </c>
      <c r="L188" s="941">
        <v>0.06</v>
      </c>
      <c r="M188" s="932" t="s">
        <v>217</v>
      </c>
      <c r="N188" s="923"/>
      <c r="O188" s="923"/>
      <c r="P188" s="923" t="s">
        <v>1584</v>
      </c>
      <c r="Q188" s="943" t="s">
        <v>1585</v>
      </c>
      <c r="R188" s="978">
        <v>6959</v>
      </c>
      <c r="S188" s="940">
        <v>6668</v>
      </c>
      <c r="T188" s="923" t="s">
        <v>1586</v>
      </c>
      <c r="U188" s="932"/>
      <c r="V188" s="923" t="s">
        <v>1587</v>
      </c>
      <c r="W188" s="974" t="s">
        <v>252</v>
      </c>
      <c r="X188" s="979">
        <v>1</v>
      </c>
      <c r="Y188" s="979">
        <v>126803</v>
      </c>
      <c r="Z188" s="979"/>
      <c r="AA188" s="902"/>
      <c r="AB188" s="957"/>
      <c r="AC188" s="981">
        <v>126803</v>
      </c>
      <c r="AD188" s="981"/>
      <c r="AE188" s="981">
        <v>126803</v>
      </c>
      <c r="AF188" s="979">
        <v>5</v>
      </c>
      <c r="AG188" s="979">
        <f t="shared" si="37"/>
        <v>42432.926829268297</v>
      </c>
      <c r="AH188" s="902">
        <f t="shared" si="34"/>
        <v>34795</v>
      </c>
      <c r="AI188" s="902">
        <f t="shared" si="40"/>
        <v>7637.9268292682973</v>
      </c>
      <c r="AJ188" s="902">
        <f t="shared" si="39"/>
        <v>42432.926829268297</v>
      </c>
    </row>
    <row r="189" spans="1:36" s="930" customFormat="1" ht="26.1" customHeight="1">
      <c r="A189" s="972" t="s">
        <v>1588</v>
      </c>
      <c r="B189" s="920" t="s">
        <v>1589</v>
      </c>
      <c r="C189" s="974" t="s">
        <v>1590</v>
      </c>
      <c r="D189" s="923" t="s">
        <v>243</v>
      </c>
      <c r="E189" s="920" t="s">
        <v>1583</v>
      </c>
      <c r="F189" s="972" t="s">
        <v>569</v>
      </c>
      <c r="G189" s="974" t="s">
        <v>217</v>
      </c>
      <c r="H189" s="923"/>
      <c r="I189" s="923"/>
      <c r="J189" s="986">
        <v>0.28999999999999998</v>
      </c>
      <c r="K189" s="989" t="s">
        <v>1161</v>
      </c>
      <c r="L189" s="941">
        <v>0.06</v>
      </c>
      <c r="M189" s="932" t="s">
        <v>217</v>
      </c>
      <c r="N189" s="923"/>
      <c r="O189" s="923"/>
      <c r="P189" s="923" t="s">
        <v>1591</v>
      </c>
      <c r="Q189" s="943" t="s">
        <v>1592</v>
      </c>
      <c r="R189" s="978">
        <v>6905</v>
      </c>
      <c r="S189" s="940">
        <v>6905</v>
      </c>
      <c r="T189" s="923" t="s">
        <v>1593</v>
      </c>
      <c r="U189" s="932"/>
      <c r="V189" s="923" t="s">
        <v>1594</v>
      </c>
      <c r="W189" s="974" t="s">
        <v>252</v>
      </c>
      <c r="X189" s="979">
        <v>1</v>
      </c>
      <c r="Y189" s="979">
        <v>142369</v>
      </c>
      <c r="Z189" s="979"/>
      <c r="AA189" s="902"/>
      <c r="AB189" s="957"/>
      <c r="AC189" s="981">
        <v>142369</v>
      </c>
      <c r="AD189" s="981"/>
      <c r="AE189" s="981">
        <v>142369</v>
      </c>
      <c r="AF189" s="979">
        <v>5</v>
      </c>
      <c r="AG189" s="979">
        <f t="shared" si="37"/>
        <v>42103.658536585368</v>
      </c>
      <c r="AH189" s="902">
        <f t="shared" si="34"/>
        <v>34525</v>
      </c>
      <c r="AI189" s="902">
        <f t="shared" si="40"/>
        <v>7578.658536585368</v>
      </c>
      <c r="AJ189" s="902">
        <f t="shared" si="39"/>
        <v>42103.658536585368</v>
      </c>
    </row>
    <row r="190" spans="1:36" s="930" customFormat="1" ht="26.1" customHeight="1">
      <c r="A190" s="972" t="s">
        <v>1595</v>
      </c>
      <c r="B190" s="920" t="s">
        <v>1596</v>
      </c>
      <c r="C190" s="974" t="s">
        <v>1597</v>
      </c>
      <c r="D190" s="923" t="s">
        <v>1567</v>
      </c>
      <c r="E190" s="920" t="s">
        <v>1598</v>
      </c>
      <c r="F190" s="972" t="s">
        <v>645</v>
      </c>
      <c r="G190" s="974" t="s">
        <v>183</v>
      </c>
      <c r="H190" s="923">
        <v>0.25</v>
      </c>
      <c r="I190" s="923" t="s">
        <v>259</v>
      </c>
      <c r="J190" s="986">
        <v>0.33</v>
      </c>
      <c r="K190" s="989" t="s">
        <v>516</v>
      </c>
      <c r="L190" s="941">
        <v>0.06</v>
      </c>
      <c r="M190" s="932" t="s">
        <v>183</v>
      </c>
      <c r="N190" s="923"/>
      <c r="O190" s="923"/>
      <c r="P190" s="923" t="s">
        <v>1599</v>
      </c>
      <c r="Q190" s="943" t="s">
        <v>1600</v>
      </c>
      <c r="R190" s="978">
        <v>9154</v>
      </c>
      <c r="S190" s="940">
        <v>9154</v>
      </c>
      <c r="T190" s="923" t="s">
        <v>1601</v>
      </c>
      <c r="U190" s="932"/>
      <c r="V190" s="923" t="s">
        <v>1602</v>
      </c>
      <c r="W190" s="974" t="s">
        <v>521</v>
      </c>
      <c r="X190" s="979">
        <v>1</v>
      </c>
      <c r="Y190" s="979">
        <v>228337</v>
      </c>
      <c r="Z190" s="979"/>
      <c r="AA190" s="902"/>
      <c r="AB190" s="957"/>
      <c r="AC190" s="981">
        <v>228337</v>
      </c>
      <c r="AD190" s="981"/>
      <c r="AE190" s="981">
        <v>228337</v>
      </c>
      <c r="AF190" s="979">
        <v>4</v>
      </c>
      <c r="AG190" s="979">
        <f t="shared" si="37"/>
        <v>44653.658536585368</v>
      </c>
      <c r="AH190" s="902">
        <f t="shared" si="34"/>
        <v>36616</v>
      </c>
      <c r="AI190" s="902">
        <f t="shared" si="40"/>
        <v>8037.658536585368</v>
      </c>
      <c r="AJ190" s="902">
        <f t="shared" si="39"/>
        <v>44653.658536585368</v>
      </c>
    </row>
    <row r="191" spans="1:36" s="930" customFormat="1" ht="26.1" customHeight="1">
      <c r="A191" s="972" t="s">
        <v>1603</v>
      </c>
      <c r="B191" s="920" t="s">
        <v>1604</v>
      </c>
      <c r="C191" s="974" t="s">
        <v>1605</v>
      </c>
      <c r="D191" s="923" t="s">
        <v>243</v>
      </c>
      <c r="E191" s="920" t="s">
        <v>1606</v>
      </c>
      <c r="F191" s="972" t="s">
        <v>131</v>
      </c>
      <c r="G191" s="974" t="s">
        <v>183</v>
      </c>
      <c r="H191" s="923"/>
      <c r="I191" s="923"/>
      <c r="J191" s="986">
        <v>0.24</v>
      </c>
      <c r="K191" s="989" t="s">
        <v>1607</v>
      </c>
      <c r="L191" s="941"/>
      <c r="M191" s="932"/>
      <c r="N191" s="923"/>
      <c r="O191" s="923"/>
      <c r="P191" s="923" t="s">
        <v>1608</v>
      </c>
      <c r="Q191" s="943" t="s">
        <v>1609</v>
      </c>
      <c r="R191" s="978">
        <v>6463</v>
      </c>
      <c r="S191" s="940">
        <v>6273</v>
      </c>
      <c r="T191" s="923" t="s">
        <v>1610</v>
      </c>
      <c r="U191" s="932"/>
      <c r="V191" s="923" t="s">
        <v>1611</v>
      </c>
      <c r="W191" s="974" t="s">
        <v>252</v>
      </c>
      <c r="X191" s="979">
        <v>1</v>
      </c>
      <c r="Y191" s="979"/>
      <c r="Z191" s="979"/>
      <c r="AA191" s="902">
        <v>268864</v>
      </c>
      <c r="AB191" s="957"/>
      <c r="AC191" s="981">
        <v>268864</v>
      </c>
      <c r="AD191" s="981">
        <v>19391</v>
      </c>
      <c r="AE191" s="981">
        <v>249473</v>
      </c>
      <c r="AF191" s="979">
        <v>5</v>
      </c>
      <c r="AG191" s="979">
        <f t="shared" si="37"/>
        <v>39408.536585365859</v>
      </c>
      <c r="AH191" s="902">
        <f t="shared" si="34"/>
        <v>32315</v>
      </c>
      <c r="AI191" s="902">
        <f t="shared" si="40"/>
        <v>7093.5365853658586</v>
      </c>
      <c r="AJ191" s="902">
        <f t="shared" si="39"/>
        <v>20017.536585365859</v>
      </c>
    </row>
    <row r="192" spans="1:36" s="1002" customFormat="1" ht="26.1" customHeight="1">
      <c r="A192" s="990" t="s">
        <v>1612</v>
      </c>
      <c r="B192" s="1824" t="s">
        <v>33</v>
      </c>
      <c r="C192" s="1824"/>
      <c r="D192" s="1824"/>
      <c r="E192" s="991"/>
      <c r="F192" s="992"/>
      <c r="G192" s="992"/>
      <c r="H192" s="992"/>
      <c r="I192" s="993"/>
      <c r="J192" s="994"/>
      <c r="K192" s="995"/>
      <c r="L192" s="994"/>
      <c r="M192" s="995"/>
      <c r="N192" s="992"/>
      <c r="O192" s="992"/>
      <c r="P192" s="992"/>
      <c r="Q192" s="992"/>
      <c r="R192" s="996"/>
      <c r="S192" s="997"/>
      <c r="T192" s="992"/>
      <c r="U192" s="998"/>
      <c r="V192" s="992"/>
      <c r="W192" s="995"/>
      <c r="X192" s="999">
        <f>SUM(X197:X217)</f>
        <v>21</v>
      </c>
      <c r="Y192" s="1000">
        <f>SUM(Y197:Y217)</f>
        <v>2853892</v>
      </c>
      <c r="Z192" s="1000">
        <f t="shared" ref="Z192:AB192" si="41">SUM(Z197:Z217)</f>
        <v>0</v>
      </c>
      <c r="AA192" s="1000">
        <f t="shared" si="41"/>
        <v>0</v>
      </c>
      <c r="AB192" s="1000">
        <f t="shared" si="41"/>
        <v>0</v>
      </c>
      <c r="AC192" s="1001">
        <f>SUM(AC193:AC265)</f>
        <v>10980430</v>
      </c>
      <c r="AD192" s="1001">
        <f t="shared" ref="AD192:AJ192" si="42">SUM(AD193:AD265)</f>
        <v>653742</v>
      </c>
      <c r="AE192" s="1001">
        <f t="shared" si="42"/>
        <v>10326687</v>
      </c>
      <c r="AF192" s="1001"/>
      <c r="AG192" s="1001">
        <f t="shared" si="42"/>
        <v>3421326.1869918713</v>
      </c>
      <c r="AH192" s="1001">
        <f t="shared" si="42"/>
        <v>2757988</v>
      </c>
      <c r="AI192" s="1001">
        <f t="shared" si="42"/>
        <v>663338.1869918697</v>
      </c>
      <c r="AJ192" s="1001">
        <f t="shared" si="42"/>
        <v>2767584.1869918713</v>
      </c>
    </row>
    <row r="193" spans="1:36" s="878" customFormat="1" ht="26.1" customHeight="1">
      <c r="A193" s="882" t="s">
        <v>1613</v>
      </c>
      <c r="B193" s="866" t="s">
        <v>1614</v>
      </c>
      <c r="C193" s="867" t="s">
        <v>1615</v>
      </c>
      <c r="D193" s="868" t="s">
        <v>129</v>
      </c>
      <c r="E193" s="866" t="s">
        <v>1616</v>
      </c>
      <c r="F193" s="867" t="s">
        <v>1617</v>
      </c>
      <c r="G193" s="867" t="s">
        <v>1618</v>
      </c>
      <c r="H193" s="868" t="s">
        <v>235</v>
      </c>
      <c r="I193" s="867" t="s">
        <v>1618</v>
      </c>
      <c r="J193" s="869"/>
      <c r="K193" s="870"/>
      <c r="L193" s="865" t="s">
        <v>247</v>
      </c>
      <c r="M193" s="867" t="s">
        <v>367</v>
      </c>
      <c r="N193" s="869"/>
      <c r="O193" s="869"/>
      <c r="P193" s="871" t="s">
        <v>1619</v>
      </c>
      <c r="Q193" s="871" t="s">
        <v>1620</v>
      </c>
      <c r="R193" s="872">
        <v>8379</v>
      </c>
      <c r="S193" s="872">
        <v>7279</v>
      </c>
      <c r="T193" s="868" t="s">
        <v>1578</v>
      </c>
      <c r="U193" s="867"/>
      <c r="V193" s="868" t="s">
        <v>1621</v>
      </c>
      <c r="W193" s="1003" t="s">
        <v>139</v>
      </c>
      <c r="X193" s="873">
        <v>1</v>
      </c>
      <c r="Y193" s="874">
        <v>147415</v>
      </c>
      <c r="Z193" s="874"/>
      <c r="AA193" s="874"/>
      <c r="AB193" s="875"/>
      <c r="AC193" s="876">
        <f>Y193</f>
        <v>147415</v>
      </c>
      <c r="AD193" s="877"/>
      <c r="AE193" s="876">
        <f>AC193</f>
        <v>147415</v>
      </c>
      <c r="AF193" s="874">
        <v>11</v>
      </c>
      <c r="AG193" s="874">
        <f>AH193+AI193</f>
        <v>122892</v>
      </c>
      <c r="AH193" s="874">
        <f t="shared" si="34"/>
        <v>92169</v>
      </c>
      <c r="AI193" s="874">
        <f>((AH193*100%)/75%)-AH193</f>
        <v>30723</v>
      </c>
      <c r="AJ193" s="874">
        <f>AG193-AD193</f>
        <v>122892</v>
      </c>
    </row>
    <row r="194" spans="1:36" s="878" customFormat="1" ht="26.1" customHeight="1">
      <c r="A194" s="882" t="s">
        <v>1622</v>
      </c>
      <c r="B194" s="866" t="s">
        <v>1623</v>
      </c>
      <c r="C194" s="867" t="s">
        <v>154</v>
      </c>
      <c r="D194" s="868" t="s">
        <v>129</v>
      </c>
      <c r="E194" s="866" t="s">
        <v>1624</v>
      </c>
      <c r="F194" s="868" t="s">
        <v>335</v>
      </c>
      <c r="G194" s="867" t="s">
        <v>861</v>
      </c>
      <c r="H194" s="868"/>
      <c r="I194" s="867"/>
      <c r="J194" s="869"/>
      <c r="K194" s="870"/>
      <c r="L194" s="865"/>
      <c r="M194" s="867"/>
      <c r="N194" s="869"/>
      <c r="O194" s="869"/>
      <c r="P194" s="871" t="s">
        <v>1625</v>
      </c>
      <c r="Q194" s="871" t="s">
        <v>1626</v>
      </c>
      <c r="R194" s="872">
        <v>5087</v>
      </c>
      <c r="S194" s="872">
        <v>4216</v>
      </c>
      <c r="T194" s="868" t="s">
        <v>1627</v>
      </c>
      <c r="U194" s="867"/>
      <c r="V194" s="868" t="s">
        <v>1628</v>
      </c>
      <c r="W194" s="867" t="s">
        <v>139</v>
      </c>
      <c r="X194" s="873">
        <v>1</v>
      </c>
      <c r="Y194" s="874">
        <v>80105</v>
      </c>
      <c r="Z194" s="874"/>
      <c r="AA194" s="874"/>
      <c r="AB194" s="875"/>
      <c r="AC194" s="876">
        <f>Y194</f>
        <v>80105</v>
      </c>
      <c r="AD194" s="877"/>
      <c r="AE194" s="876">
        <f>AC194</f>
        <v>80105</v>
      </c>
      <c r="AF194" s="874">
        <v>11</v>
      </c>
      <c r="AG194" s="874">
        <f t="shared" ref="AG194:AG257" si="43">AH194+AI194</f>
        <v>74609.333333333328</v>
      </c>
      <c r="AH194" s="874">
        <f t="shared" si="34"/>
        <v>55957</v>
      </c>
      <c r="AI194" s="874">
        <f t="shared" ref="AI194:AI196" si="44">((AH194*100%)/75%)-AH194</f>
        <v>18652.333333333328</v>
      </c>
      <c r="AJ194" s="874">
        <f t="shared" ref="AJ194:AJ257" si="45">AG194-AD194</f>
        <v>74609.333333333328</v>
      </c>
    </row>
    <row r="195" spans="1:36" s="878" customFormat="1" ht="26.1" customHeight="1">
      <c r="A195" s="882" t="s">
        <v>1629</v>
      </c>
      <c r="B195" s="866" t="s">
        <v>1630</v>
      </c>
      <c r="C195" s="867" t="s">
        <v>1631</v>
      </c>
      <c r="D195" s="868" t="s">
        <v>129</v>
      </c>
      <c r="E195" s="866" t="s">
        <v>1632</v>
      </c>
      <c r="F195" s="868" t="s">
        <v>973</v>
      </c>
      <c r="G195" s="867" t="s">
        <v>415</v>
      </c>
      <c r="H195" s="868"/>
      <c r="I195" s="867"/>
      <c r="J195" s="869"/>
      <c r="K195" s="870"/>
      <c r="L195" s="865"/>
      <c r="M195" s="867"/>
      <c r="N195" s="869"/>
      <c r="O195" s="869"/>
      <c r="P195" s="871" t="s">
        <v>975</v>
      </c>
      <c r="Q195" s="871" t="s">
        <v>1633</v>
      </c>
      <c r="R195" s="872">
        <v>5546</v>
      </c>
      <c r="S195" s="872">
        <v>4694</v>
      </c>
      <c r="T195" s="868" t="s">
        <v>1323</v>
      </c>
      <c r="U195" s="867"/>
      <c r="V195" s="868" t="s">
        <v>1634</v>
      </c>
      <c r="W195" s="867" t="s">
        <v>139</v>
      </c>
      <c r="X195" s="873">
        <v>1</v>
      </c>
      <c r="Y195" s="874">
        <v>97412</v>
      </c>
      <c r="Z195" s="874"/>
      <c r="AA195" s="874"/>
      <c r="AB195" s="875"/>
      <c r="AC195" s="876">
        <f>Y195</f>
        <v>97412</v>
      </c>
      <c r="AD195" s="877"/>
      <c r="AE195" s="876">
        <f>AC195</f>
        <v>97412</v>
      </c>
      <c r="AF195" s="874">
        <v>11</v>
      </c>
      <c r="AG195" s="874">
        <f t="shared" si="43"/>
        <v>81341.333333333328</v>
      </c>
      <c r="AH195" s="874">
        <f t="shared" si="34"/>
        <v>61006</v>
      </c>
      <c r="AI195" s="874">
        <f t="shared" si="44"/>
        <v>20335.333333333328</v>
      </c>
      <c r="AJ195" s="874">
        <f t="shared" si="45"/>
        <v>81341.333333333328</v>
      </c>
    </row>
    <row r="196" spans="1:36" s="878" customFormat="1" ht="26.1" customHeight="1">
      <c r="A196" s="882" t="s">
        <v>1635</v>
      </c>
      <c r="B196" s="885" t="s">
        <v>1636</v>
      </c>
      <c r="C196" s="879" t="s">
        <v>1637</v>
      </c>
      <c r="D196" s="881" t="s">
        <v>129</v>
      </c>
      <c r="E196" s="885" t="s">
        <v>1638</v>
      </c>
      <c r="F196" s="879" t="s">
        <v>1639</v>
      </c>
      <c r="G196" s="879" t="s">
        <v>217</v>
      </c>
      <c r="H196" s="879"/>
      <c r="I196" s="879"/>
      <c r="J196" s="881"/>
      <c r="K196" s="881"/>
      <c r="L196" s="881"/>
      <c r="M196" s="881"/>
      <c r="N196" s="881"/>
      <c r="O196" s="881"/>
      <c r="P196" s="879" t="s">
        <v>1640</v>
      </c>
      <c r="Q196" s="1004" t="s">
        <v>1620</v>
      </c>
      <c r="R196" s="1005">
        <v>7683</v>
      </c>
      <c r="S196" s="1005">
        <v>6922</v>
      </c>
      <c r="T196" s="881" t="s">
        <v>1641</v>
      </c>
      <c r="U196" s="881"/>
      <c r="V196" s="1006" t="s">
        <v>1642</v>
      </c>
      <c r="W196" s="1006" t="s">
        <v>139</v>
      </c>
      <c r="X196" s="873">
        <v>1</v>
      </c>
      <c r="Y196" s="1007"/>
      <c r="Z196" s="1008"/>
      <c r="AA196" s="1008">
        <v>250388</v>
      </c>
      <c r="AB196" s="875"/>
      <c r="AC196" s="876">
        <f>AA196</f>
        <v>250388</v>
      </c>
      <c r="AD196" s="876">
        <v>23018</v>
      </c>
      <c r="AE196" s="876">
        <f>AC196-AD196</f>
        <v>227370</v>
      </c>
      <c r="AF196" s="874">
        <v>11</v>
      </c>
      <c r="AG196" s="874">
        <f t="shared" si="43"/>
        <v>112684</v>
      </c>
      <c r="AH196" s="874">
        <f t="shared" si="34"/>
        <v>84513</v>
      </c>
      <c r="AI196" s="874">
        <f t="shared" si="44"/>
        <v>28171</v>
      </c>
      <c r="AJ196" s="874">
        <f t="shared" si="45"/>
        <v>89666</v>
      </c>
    </row>
    <row r="197" spans="1:36" s="930" customFormat="1" ht="26.1" customHeight="1">
      <c r="A197" s="882" t="s">
        <v>1643</v>
      </c>
      <c r="B197" s="920" t="s">
        <v>1644</v>
      </c>
      <c r="C197" s="932" t="s">
        <v>1645</v>
      </c>
      <c r="D197" s="923" t="s">
        <v>1646</v>
      </c>
      <c r="E197" s="920" t="s">
        <v>1647</v>
      </c>
      <c r="F197" s="984">
        <v>4.2699999999999996</v>
      </c>
      <c r="G197" s="974" t="s">
        <v>1648</v>
      </c>
      <c r="H197" s="1009"/>
      <c r="I197" s="1009"/>
      <c r="J197" s="1010">
        <v>0.27</v>
      </c>
      <c r="K197" s="974" t="s">
        <v>260</v>
      </c>
      <c r="L197" s="933"/>
      <c r="M197" s="1011"/>
      <c r="N197" s="1009"/>
      <c r="O197" s="1009"/>
      <c r="P197" s="1012" t="s">
        <v>487</v>
      </c>
      <c r="Q197" s="1012" t="s">
        <v>1649</v>
      </c>
      <c r="R197" s="940">
        <v>7357</v>
      </c>
      <c r="S197" s="940">
        <v>6362</v>
      </c>
      <c r="T197" s="1013" t="s">
        <v>1308</v>
      </c>
      <c r="U197" s="1014"/>
      <c r="V197" s="923" t="s">
        <v>1650</v>
      </c>
      <c r="W197" s="932" t="s">
        <v>139</v>
      </c>
      <c r="X197" s="979">
        <v>1</v>
      </c>
      <c r="Y197" s="902">
        <v>108707</v>
      </c>
      <c r="Z197" s="902"/>
      <c r="AA197" s="902"/>
      <c r="AB197" s="902"/>
      <c r="AC197" s="958">
        <f t="shared" ref="AC197:AC204" si="46">Y197</f>
        <v>108707</v>
      </c>
      <c r="AD197" s="958"/>
      <c r="AE197" s="958">
        <f t="shared" ref="AE197:AE204" si="47">AC197</f>
        <v>108707</v>
      </c>
      <c r="AF197" s="874">
        <v>11</v>
      </c>
      <c r="AG197" s="874">
        <f t="shared" si="43"/>
        <v>98691.463414634156</v>
      </c>
      <c r="AH197" s="902">
        <f t="shared" si="34"/>
        <v>80927</v>
      </c>
      <c r="AI197" s="902">
        <f>((AH197*100%)/82%)-AH197</f>
        <v>17764.463414634156</v>
      </c>
      <c r="AJ197" s="874">
        <f t="shared" si="45"/>
        <v>98691.463414634156</v>
      </c>
    </row>
    <row r="198" spans="1:36" s="930" customFormat="1" ht="26.1" customHeight="1">
      <c r="A198" s="882" t="s">
        <v>1651</v>
      </c>
      <c r="B198" s="920" t="s">
        <v>1652</v>
      </c>
      <c r="C198" s="932" t="s">
        <v>1653</v>
      </c>
      <c r="D198" s="923" t="s">
        <v>953</v>
      </c>
      <c r="E198" s="920" t="s">
        <v>1647</v>
      </c>
      <c r="F198" s="984" t="s">
        <v>616</v>
      </c>
      <c r="G198" s="974" t="s">
        <v>217</v>
      </c>
      <c r="H198" s="939"/>
      <c r="I198" s="939"/>
      <c r="J198" s="1010">
        <v>0.33</v>
      </c>
      <c r="K198" s="974" t="s">
        <v>516</v>
      </c>
      <c r="L198" s="1015" t="s">
        <v>474</v>
      </c>
      <c r="M198" s="974" t="s">
        <v>217</v>
      </c>
      <c r="N198" s="939"/>
      <c r="O198" s="939"/>
      <c r="P198" s="922" t="s">
        <v>1654</v>
      </c>
      <c r="Q198" s="943" t="s">
        <v>1655</v>
      </c>
      <c r="R198" s="940">
        <v>8126</v>
      </c>
      <c r="S198" s="940">
        <v>7414</v>
      </c>
      <c r="T198" s="1013" t="s">
        <v>1656</v>
      </c>
      <c r="U198" s="1016"/>
      <c r="V198" s="923" t="s">
        <v>1657</v>
      </c>
      <c r="W198" s="932" t="s">
        <v>170</v>
      </c>
      <c r="X198" s="979">
        <v>1</v>
      </c>
      <c r="Y198" s="902">
        <v>139123</v>
      </c>
      <c r="Z198" s="1017"/>
      <c r="AA198" s="1017"/>
      <c r="AB198" s="1017"/>
      <c r="AC198" s="958">
        <f t="shared" si="46"/>
        <v>139123</v>
      </c>
      <c r="AD198" s="1018"/>
      <c r="AE198" s="958">
        <f t="shared" si="47"/>
        <v>139123</v>
      </c>
      <c r="AF198" s="902">
        <v>8</v>
      </c>
      <c r="AG198" s="874">
        <f t="shared" si="43"/>
        <v>79278.048780487807</v>
      </c>
      <c r="AH198" s="902">
        <f t="shared" si="34"/>
        <v>65008</v>
      </c>
      <c r="AI198" s="902">
        <f t="shared" ref="AI198:AI217" si="48">((AH198*100%)/82%)-AH198</f>
        <v>14270.048780487807</v>
      </c>
      <c r="AJ198" s="874">
        <f t="shared" si="45"/>
        <v>79278.048780487807</v>
      </c>
    </row>
    <row r="199" spans="1:36" s="930" customFormat="1" ht="26.1" customHeight="1">
      <c r="A199" s="882" t="s">
        <v>1658</v>
      </c>
      <c r="B199" s="920" t="s">
        <v>1659</v>
      </c>
      <c r="C199" s="932" t="s">
        <v>1660</v>
      </c>
      <c r="D199" s="923" t="s">
        <v>953</v>
      </c>
      <c r="E199" s="920" t="s">
        <v>1647</v>
      </c>
      <c r="F199" s="984" t="s">
        <v>515</v>
      </c>
      <c r="G199" s="974" t="s">
        <v>367</v>
      </c>
      <c r="H199" s="984"/>
      <c r="I199" s="984"/>
      <c r="J199" s="1010">
        <v>0.31</v>
      </c>
      <c r="K199" s="932" t="s">
        <v>415</v>
      </c>
      <c r="L199" s="1015" t="s">
        <v>1482</v>
      </c>
      <c r="M199" s="974" t="s">
        <v>367</v>
      </c>
      <c r="N199" s="984"/>
      <c r="O199" s="984"/>
      <c r="P199" s="922" t="s">
        <v>1483</v>
      </c>
      <c r="Q199" s="943" t="s">
        <v>1661</v>
      </c>
      <c r="R199" s="940">
        <v>8239</v>
      </c>
      <c r="S199" s="940">
        <v>7400</v>
      </c>
      <c r="T199" s="1013" t="s">
        <v>1662</v>
      </c>
      <c r="U199" s="1019"/>
      <c r="V199" s="923" t="s">
        <v>1663</v>
      </c>
      <c r="W199" s="921" t="s">
        <v>479</v>
      </c>
      <c r="X199" s="979">
        <v>1</v>
      </c>
      <c r="Y199" s="902">
        <v>165012</v>
      </c>
      <c r="Z199" s="1017"/>
      <c r="AA199" s="1017"/>
      <c r="AB199" s="1017"/>
      <c r="AC199" s="958">
        <f t="shared" si="46"/>
        <v>165012</v>
      </c>
      <c r="AD199" s="1018"/>
      <c r="AE199" s="958">
        <f t="shared" si="47"/>
        <v>165012</v>
      </c>
      <c r="AF199" s="902">
        <v>7</v>
      </c>
      <c r="AG199" s="874">
        <f t="shared" si="43"/>
        <v>70332.926829268297</v>
      </c>
      <c r="AH199" s="902">
        <f t="shared" si="34"/>
        <v>57673</v>
      </c>
      <c r="AI199" s="902">
        <f t="shared" si="48"/>
        <v>12659.926829268297</v>
      </c>
      <c r="AJ199" s="874">
        <f t="shared" si="45"/>
        <v>70332.926829268297</v>
      </c>
    </row>
    <row r="200" spans="1:36" s="930" customFormat="1" ht="26.1" customHeight="1">
      <c r="A200" s="882" t="s">
        <v>1664</v>
      </c>
      <c r="B200" s="920" t="s">
        <v>1665</v>
      </c>
      <c r="C200" s="932" t="s">
        <v>1666</v>
      </c>
      <c r="D200" s="923" t="s">
        <v>953</v>
      </c>
      <c r="E200" s="920" t="s">
        <v>1647</v>
      </c>
      <c r="F200" s="984" t="s">
        <v>440</v>
      </c>
      <c r="G200" s="974" t="s">
        <v>234</v>
      </c>
      <c r="H200" s="984"/>
      <c r="I200" s="984"/>
      <c r="J200" s="1010">
        <v>0.3</v>
      </c>
      <c r="K200" s="974" t="s">
        <v>516</v>
      </c>
      <c r="L200" s="933"/>
      <c r="M200" s="984"/>
      <c r="N200" s="984"/>
      <c r="O200" s="984"/>
      <c r="P200" s="922" t="s">
        <v>609</v>
      </c>
      <c r="Q200" s="943" t="s">
        <v>1667</v>
      </c>
      <c r="R200" s="940">
        <v>7336</v>
      </c>
      <c r="S200" s="940">
        <v>6897</v>
      </c>
      <c r="T200" s="1013" t="s">
        <v>1668</v>
      </c>
      <c r="U200" s="1016"/>
      <c r="V200" s="923" t="s">
        <v>1669</v>
      </c>
      <c r="W200" s="921" t="s">
        <v>170</v>
      </c>
      <c r="X200" s="979">
        <v>1</v>
      </c>
      <c r="Y200" s="902">
        <v>126471</v>
      </c>
      <c r="Z200" s="1017"/>
      <c r="AA200" s="1017"/>
      <c r="AB200" s="1017"/>
      <c r="AC200" s="958">
        <f t="shared" si="46"/>
        <v>126471</v>
      </c>
      <c r="AD200" s="1018"/>
      <c r="AE200" s="958">
        <f t="shared" si="47"/>
        <v>126471</v>
      </c>
      <c r="AF200" s="902">
        <v>8</v>
      </c>
      <c r="AG200" s="874">
        <f t="shared" si="43"/>
        <v>71570.731707317071</v>
      </c>
      <c r="AH200" s="902">
        <f t="shared" si="34"/>
        <v>58688</v>
      </c>
      <c r="AI200" s="902">
        <f t="shared" si="48"/>
        <v>12882.731707317071</v>
      </c>
      <c r="AJ200" s="874">
        <f t="shared" si="45"/>
        <v>71570.731707317071</v>
      </c>
    </row>
    <row r="201" spans="1:36" s="930" customFormat="1" ht="26.1" customHeight="1">
      <c r="A201" s="882" t="s">
        <v>1670</v>
      </c>
      <c r="B201" s="920" t="s">
        <v>1671</v>
      </c>
      <c r="C201" s="932" t="s">
        <v>1672</v>
      </c>
      <c r="D201" s="923" t="s">
        <v>953</v>
      </c>
      <c r="E201" s="920" t="s">
        <v>1673</v>
      </c>
      <c r="F201" s="984">
        <v>4.0599999999999996</v>
      </c>
      <c r="G201" s="974" t="s">
        <v>217</v>
      </c>
      <c r="H201" s="984"/>
      <c r="I201" s="984"/>
      <c r="J201" s="1010">
        <v>0.22</v>
      </c>
      <c r="K201" s="974" t="s">
        <v>516</v>
      </c>
      <c r="L201" s="933"/>
      <c r="M201" s="984"/>
      <c r="N201" s="984"/>
      <c r="O201" s="984"/>
      <c r="P201" s="922" t="s">
        <v>673</v>
      </c>
      <c r="Q201" s="943" t="s">
        <v>1674</v>
      </c>
      <c r="R201" s="940">
        <v>6851</v>
      </c>
      <c r="S201" s="940">
        <v>5625</v>
      </c>
      <c r="T201" s="1013" t="s">
        <v>967</v>
      </c>
      <c r="U201" s="1016"/>
      <c r="V201" s="923" t="s">
        <v>1675</v>
      </c>
      <c r="W201" s="932" t="s">
        <v>139</v>
      </c>
      <c r="X201" s="979">
        <v>1</v>
      </c>
      <c r="Y201" s="902">
        <v>96855</v>
      </c>
      <c r="Z201" s="1017"/>
      <c r="AA201" s="1017"/>
      <c r="AB201" s="1017"/>
      <c r="AC201" s="958">
        <f t="shared" si="46"/>
        <v>96855</v>
      </c>
      <c r="AD201" s="1018"/>
      <c r="AE201" s="958">
        <f t="shared" si="47"/>
        <v>96855</v>
      </c>
      <c r="AF201" s="902">
        <v>11</v>
      </c>
      <c r="AG201" s="874">
        <f t="shared" si="43"/>
        <v>91903.658536585368</v>
      </c>
      <c r="AH201" s="902">
        <f t="shared" ref="AH201:AH264" si="49">AF201*R201</f>
        <v>75361</v>
      </c>
      <c r="AI201" s="902">
        <f t="shared" si="48"/>
        <v>16542.658536585368</v>
      </c>
      <c r="AJ201" s="874">
        <f t="shared" si="45"/>
        <v>91903.658536585368</v>
      </c>
    </row>
    <row r="202" spans="1:36" s="930" customFormat="1" ht="26.1" customHeight="1">
      <c r="A202" s="882" t="s">
        <v>1676</v>
      </c>
      <c r="B202" s="920" t="s">
        <v>1677</v>
      </c>
      <c r="C202" s="932" t="s">
        <v>1678</v>
      </c>
      <c r="D202" s="923" t="s">
        <v>1679</v>
      </c>
      <c r="E202" s="920" t="s">
        <v>1680</v>
      </c>
      <c r="F202" s="984" t="s">
        <v>169</v>
      </c>
      <c r="G202" s="974" t="s">
        <v>146</v>
      </c>
      <c r="H202" s="984"/>
      <c r="I202" s="974"/>
      <c r="J202" s="1010"/>
      <c r="K202" s="984"/>
      <c r="L202" s="1015" t="s">
        <v>171</v>
      </c>
      <c r="M202" s="974" t="s">
        <v>146</v>
      </c>
      <c r="N202" s="984"/>
      <c r="O202" s="984"/>
      <c r="P202" s="922" t="s">
        <v>389</v>
      </c>
      <c r="Q202" s="943" t="s">
        <v>1681</v>
      </c>
      <c r="R202" s="940">
        <v>6207</v>
      </c>
      <c r="S202" s="940">
        <v>5434</v>
      </c>
      <c r="T202" s="1013" t="s">
        <v>250</v>
      </c>
      <c r="U202" s="1016"/>
      <c r="V202" s="923" t="s">
        <v>1682</v>
      </c>
      <c r="W202" s="932" t="s">
        <v>139</v>
      </c>
      <c r="X202" s="979">
        <v>1</v>
      </c>
      <c r="Y202" s="902">
        <v>116826</v>
      </c>
      <c r="Z202" s="1017"/>
      <c r="AA202" s="1017"/>
      <c r="AB202" s="1017"/>
      <c r="AC202" s="958">
        <f t="shared" si="46"/>
        <v>116826</v>
      </c>
      <c r="AD202" s="1018"/>
      <c r="AE202" s="958">
        <f t="shared" si="47"/>
        <v>116826</v>
      </c>
      <c r="AF202" s="902">
        <v>11</v>
      </c>
      <c r="AG202" s="874">
        <f t="shared" si="43"/>
        <v>83264.634146341472</v>
      </c>
      <c r="AH202" s="902">
        <f t="shared" si="49"/>
        <v>68277</v>
      </c>
      <c r="AI202" s="902">
        <f t="shared" si="48"/>
        <v>14987.634146341472</v>
      </c>
      <c r="AJ202" s="874">
        <f t="shared" si="45"/>
        <v>83264.634146341472</v>
      </c>
    </row>
    <row r="203" spans="1:36" s="930" customFormat="1" ht="26.1" customHeight="1">
      <c r="A203" s="882" t="s">
        <v>1683</v>
      </c>
      <c r="B203" s="920" t="s">
        <v>1684</v>
      </c>
      <c r="C203" s="921" t="s">
        <v>1685</v>
      </c>
      <c r="D203" s="923" t="s">
        <v>1686</v>
      </c>
      <c r="E203" s="920" t="s">
        <v>1687</v>
      </c>
      <c r="F203" s="984">
        <v>4.32</v>
      </c>
      <c r="G203" s="974" t="s">
        <v>1518</v>
      </c>
      <c r="H203" s="984"/>
      <c r="I203" s="984"/>
      <c r="J203" s="1010"/>
      <c r="K203" s="984"/>
      <c r="L203" s="933"/>
      <c r="M203" s="984"/>
      <c r="N203" s="984"/>
      <c r="O203" s="984"/>
      <c r="P203" s="922" t="s">
        <v>135</v>
      </c>
      <c r="Q203" s="943" t="s">
        <v>1688</v>
      </c>
      <c r="R203" s="940">
        <v>6004</v>
      </c>
      <c r="S203" s="940">
        <v>5166</v>
      </c>
      <c r="T203" s="1013" t="s">
        <v>1689</v>
      </c>
      <c r="U203" s="1016"/>
      <c r="V203" s="923" t="s">
        <v>1690</v>
      </c>
      <c r="W203" s="932" t="s">
        <v>170</v>
      </c>
      <c r="X203" s="979">
        <v>1</v>
      </c>
      <c r="Y203" s="902">
        <v>105883</v>
      </c>
      <c r="Z203" s="1017"/>
      <c r="AA203" s="1017"/>
      <c r="AB203" s="1017"/>
      <c r="AC203" s="958">
        <f t="shared" si="46"/>
        <v>105883</v>
      </c>
      <c r="AD203" s="1018"/>
      <c r="AE203" s="958">
        <f t="shared" si="47"/>
        <v>105883</v>
      </c>
      <c r="AF203" s="902">
        <v>8</v>
      </c>
      <c r="AG203" s="874">
        <f t="shared" si="43"/>
        <v>58575.609756097561</v>
      </c>
      <c r="AH203" s="902">
        <f t="shared" si="49"/>
        <v>48032</v>
      </c>
      <c r="AI203" s="902">
        <f t="shared" si="48"/>
        <v>10543.609756097561</v>
      </c>
      <c r="AJ203" s="874">
        <f t="shared" si="45"/>
        <v>58575.609756097561</v>
      </c>
    </row>
    <row r="204" spans="1:36" s="930" customFormat="1" ht="26.1" customHeight="1">
      <c r="A204" s="882" t="s">
        <v>1691</v>
      </c>
      <c r="B204" s="920" t="s">
        <v>1692</v>
      </c>
      <c r="C204" s="932" t="s">
        <v>1693</v>
      </c>
      <c r="D204" s="923" t="s">
        <v>989</v>
      </c>
      <c r="E204" s="920" t="s">
        <v>1694</v>
      </c>
      <c r="F204" s="984">
        <v>4.9800000000000004</v>
      </c>
      <c r="G204" s="974" t="s">
        <v>1695</v>
      </c>
      <c r="H204" s="939"/>
      <c r="I204" s="939"/>
      <c r="J204" s="1010">
        <v>0.33</v>
      </c>
      <c r="K204" s="974" t="s">
        <v>516</v>
      </c>
      <c r="L204" s="933"/>
      <c r="M204" s="984"/>
      <c r="N204" s="984"/>
      <c r="O204" s="984"/>
      <c r="P204" s="922" t="s">
        <v>1696</v>
      </c>
      <c r="Q204" s="943" t="s">
        <v>1697</v>
      </c>
      <c r="R204" s="940">
        <v>9206</v>
      </c>
      <c r="S204" s="940">
        <v>7745</v>
      </c>
      <c r="T204" s="1013" t="s">
        <v>1698</v>
      </c>
      <c r="U204" s="1019"/>
      <c r="V204" s="923" t="s">
        <v>1699</v>
      </c>
      <c r="W204" s="932" t="s">
        <v>659</v>
      </c>
      <c r="X204" s="979">
        <v>1</v>
      </c>
      <c r="Y204" s="902">
        <v>207171</v>
      </c>
      <c r="Z204" s="902"/>
      <c r="AA204" s="902"/>
      <c r="AB204" s="902"/>
      <c r="AC204" s="958">
        <f t="shared" si="46"/>
        <v>207171</v>
      </c>
      <c r="AD204" s="1018"/>
      <c r="AE204" s="958">
        <f t="shared" si="47"/>
        <v>207171</v>
      </c>
      <c r="AF204" s="902">
        <v>10</v>
      </c>
      <c r="AG204" s="874">
        <f t="shared" si="43"/>
        <v>112268.29268292684</v>
      </c>
      <c r="AH204" s="902">
        <f t="shared" si="49"/>
        <v>92060</v>
      </c>
      <c r="AI204" s="902">
        <f t="shared" si="48"/>
        <v>20208.29268292684</v>
      </c>
      <c r="AJ204" s="874">
        <f t="shared" si="45"/>
        <v>112268.29268292684</v>
      </c>
    </row>
    <row r="205" spans="1:36" s="930" customFormat="1" ht="26.1" customHeight="1">
      <c r="A205" s="882" t="s">
        <v>1700</v>
      </c>
      <c r="B205" s="920" t="s">
        <v>1701</v>
      </c>
      <c r="C205" s="932" t="s">
        <v>1702</v>
      </c>
      <c r="D205" s="923" t="s">
        <v>1020</v>
      </c>
      <c r="E205" s="920" t="s">
        <v>1703</v>
      </c>
      <c r="F205" s="972" t="s">
        <v>131</v>
      </c>
      <c r="G205" s="974" t="s">
        <v>132</v>
      </c>
      <c r="H205" s="984"/>
      <c r="I205" s="984"/>
      <c r="J205" s="1010">
        <v>0.3</v>
      </c>
      <c r="K205" s="974" t="s">
        <v>516</v>
      </c>
      <c r="L205" s="933"/>
      <c r="M205" s="984"/>
      <c r="N205" s="984"/>
      <c r="O205" s="984"/>
      <c r="P205" s="922" t="s">
        <v>1704</v>
      </c>
      <c r="Q205" s="943" t="s">
        <v>1705</v>
      </c>
      <c r="R205" s="940">
        <v>8402</v>
      </c>
      <c r="S205" s="940">
        <v>6820</v>
      </c>
      <c r="T205" s="1013" t="s">
        <v>1706</v>
      </c>
      <c r="U205" s="1016"/>
      <c r="V205" s="984" t="s">
        <v>1707</v>
      </c>
      <c r="W205" s="932" t="s">
        <v>139</v>
      </c>
      <c r="X205" s="979">
        <v>1</v>
      </c>
      <c r="Y205" s="902">
        <v>158548</v>
      </c>
      <c r="Z205" s="1017"/>
      <c r="AA205" s="1017"/>
      <c r="AB205" s="1017"/>
      <c r="AC205" s="958">
        <v>158548</v>
      </c>
      <c r="AD205" s="1018"/>
      <c r="AE205" s="958">
        <v>158548</v>
      </c>
      <c r="AF205" s="902">
        <v>11</v>
      </c>
      <c r="AG205" s="874">
        <f t="shared" si="43"/>
        <v>112709.75609756098</v>
      </c>
      <c r="AH205" s="902">
        <f t="shared" si="49"/>
        <v>92422</v>
      </c>
      <c r="AI205" s="902">
        <f t="shared" si="48"/>
        <v>20287.756097560981</v>
      </c>
      <c r="AJ205" s="874">
        <f t="shared" si="45"/>
        <v>112709.75609756098</v>
      </c>
    </row>
    <row r="206" spans="1:36" s="930" customFormat="1" ht="26.1" customHeight="1">
      <c r="A206" s="882" t="s">
        <v>1708</v>
      </c>
      <c r="B206" s="920" t="s">
        <v>1709</v>
      </c>
      <c r="C206" s="932" t="s">
        <v>1710</v>
      </c>
      <c r="D206" s="923" t="s">
        <v>1711</v>
      </c>
      <c r="E206" s="920" t="s">
        <v>1712</v>
      </c>
      <c r="F206" s="984" t="s">
        <v>413</v>
      </c>
      <c r="G206" s="974" t="s">
        <v>217</v>
      </c>
      <c r="H206" s="984"/>
      <c r="I206" s="984"/>
      <c r="J206" s="1010">
        <v>0.28999999999999998</v>
      </c>
      <c r="K206" s="974" t="s">
        <v>516</v>
      </c>
      <c r="L206" s="933" t="s">
        <v>1713</v>
      </c>
      <c r="M206" s="974" t="s">
        <v>217</v>
      </c>
      <c r="N206" s="984"/>
      <c r="O206" s="984"/>
      <c r="P206" s="922" t="s">
        <v>1714</v>
      </c>
      <c r="Q206" s="943" t="s">
        <v>417</v>
      </c>
      <c r="R206" s="940">
        <v>7675</v>
      </c>
      <c r="S206" s="940">
        <v>6536</v>
      </c>
      <c r="T206" s="1013" t="s">
        <v>931</v>
      </c>
      <c r="U206" s="1019"/>
      <c r="V206" s="984" t="s">
        <v>1715</v>
      </c>
      <c r="W206" s="932" t="s">
        <v>139</v>
      </c>
      <c r="X206" s="979">
        <v>1</v>
      </c>
      <c r="Y206" s="902">
        <v>129073</v>
      </c>
      <c r="Z206" s="1017"/>
      <c r="AA206" s="1017"/>
      <c r="AB206" s="1017"/>
      <c r="AC206" s="958">
        <v>129073</v>
      </c>
      <c r="AD206" s="1018"/>
      <c r="AE206" s="958">
        <v>129073</v>
      </c>
      <c r="AF206" s="902">
        <v>11</v>
      </c>
      <c r="AG206" s="874">
        <f t="shared" si="43"/>
        <v>102957.31707317074</v>
      </c>
      <c r="AH206" s="902">
        <f t="shared" si="49"/>
        <v>84425</v>
      </c>
      <c r="AI206" s="902">
        <f t="shared" si="48"/>
        <v>18532.317073170736</v>
      </c>
      <c r="AJ206" s="874">
        <f t="shared" si="45"/>
        <v>102957.31707317074</v>
      </c>
    </row>
    <row r="207" spans="1:36" s="930" customFormat="1" ht="26.1" customHeight="1">
      <c r="A207" s="882" t="s">
        <v>1716</v>
      </c>
      <c r="B207" s="920" t="s">
        <v>1717</v>
      </c>
      <c r="C207" s="921" t="s">
        <v>1718</v>
      </c>
      <c r="D207" s="923" t="s">
        <v>1261</v>
      </c>
      <c r="E207" s="920" t="s">
        <v>1712</v>
      </c>
      <c r="F207" s="984">
        <v>4.9800000000000004</v>
      </c>
      <c r="G207" s="974" t="s">
        <v>217</v>
      </c>
      <c r="H207" s="984"/>
      <c r="I207" s="984"/>
      <c r="J207" s="1010">
        <v>0.33</v>
      </c>
      <c r="K207" s="974" t="s">
        <v>1161</v>
      </c>
      <c r="L207" s="933"/>
      <c r="M207" s="984"/>
      <c r="N207" s="984"/>
      <c r="O207" s="984"/>
      <c r="P207" s="922" t="s">
        <v>369</v>
      </c>
      <c r="Q207" s="932" t="s">
        <v>1719</v>
      </c>
      <c r="R207" s="940">
        <v>9206</v>
      </c>
      <c r="S207" s="940">
        <v>7474</v>
      </c>
      <c r="T207" s="1013" t="s">
        <v>1720</v>
      </c>
      <c r="U207" s="1019"/>
      <c r="V207" s="923" t="s">
        <v>1721</v>
      </c>
      <c r="W207" s="932" t="s">
        <v>139</v>
      </c>
      <c r="X207" s="979">
        <v>1</v>
      </c>
      <c r="Y207" s="902">
        <v>153213</v>
      </c>
      <c r="Z207" s="1017"/>
      <c r="AA207" s="1017"/>
      <c r="AB207" s="1017"/>
      <c r="AC207" s="958">
        <v>153213</v>
      </c>
      <c r="AD207" s="1018"/>
      <c r="AE207" s="958">
        <v>153213</v>
      </c>
      <c r="AF207" s="902">
        <v>11</v>
      </c>
      <c r="AG207" s="874">
        <f t="shared" si="43"/>
        <v>123495.12195121952</v>
      </c>
      <c r="AH207" s="902">
        <f t="shared" si="49"/>
        <v>101266</v>
      </c>
      <c r="AI207" s="902">
        <f t="shared" si="48"/>
        <v>22229.121951219524</v>
      </c>
      <c r="AJ207" s="874">
        <f t="shared" si="45"/>
        <v>123495.12195121952</v>
      </c>
    </row>
    <row r="208" spans="1:36" s="930" customFormat="1" ht="26.1" customHeight="1">
      <c r="A208" s="882" t="s">
        <v>1722</v>
      </c>
      <c r="B208" s="920" t="s">
        <v>1723</v>
      </c>
      <c r="C208" s="921" t="s">
        <v>1724</v>
      </c>
      <c r="D208" s="923" t="s">
        <v>1261</v>
      </c>
      <c r="E208" s="920" t="s">
        <v>1712</v>
      </c>
      <c r="F208" s="984">
        <v>4.9800000000000004</v>
      </c>
      <c r="G208" s="974" t="s">
        <v>1648</v>
      </c>
      <c r="H208" s="939"/>
      <c r="I208" s="939"/>
      <c r="J208" s="1010">
        <v>0.28999999999999998</v>
      </c>
      <c r="K208" s="974" t="s">
        <v>516</v>
      </c>
      <c r="L208" s="933"/>
      <c r="M208" s="984"/>
      <c r="N208" s="984"/>
      <c r="O208" s="984"/>
      <c r="P208" s="922" t="s">
        <v>1696</v>
      </c>
      <c r="Q208" s="943" t="s">
        <v>1725</v>
      </c>
      <c r="R208" s="940">
        <v>8998</v>
      </c>
      <c r="S208" s="940">
        <v>7849</v>
      </c>
      <c r="T208" s="926" t="s">
        <v>956</v>
      </c>
      <c r="U208" s="940"/>
      <c r="V208" s="926" t="s">
        <v>1726</v>
      </c>
      <c r="W208" s="932" t="s">
        <v>479</v>
      </c>
      <c r="X208" s="979">
        <v>1</v>
      </c>
      <c r="Y208" s="902">
        <v>148103</v>
      </c>
      <c r="Z208" s="1017"/>
      <c r="AA208" s="1017"/>
      <c r="AB208" s="1017"/>
      <c r="AC208" s="958">
        <f>Y208</f>
        <v>148103</v>
      </c>
      <c r="AD208" s="1018"/>
      <c r="AE208" s="958">
        <f>AC208</f>
        <v>148103</v>
      </c>
      <c r="AF208" s="902">
        <v>7</v>
      </c>
      <c r="AG208" s="874">
        <f t="shared" si="43"/>
        <v>76812.195121951227</v>
      </c>
      <c r="AH208" s="902">
        <f t="shared" si="49"/>
        <v>62986</v>
      </c>
      <c r="AI208" s="902">
        <f t="shared" si="48"/>
        <v>13826.195121951227</v>
      </c>
      <c r="AJ208" s="874">
        <f t="shared" si="45"/>
        <v>76812.195121951227</v>
      </c>
    </row>
    <row r="209" spans="1:36" s="930" customFormat="1" ht="26.1" customHeight="1">
      <c r="A209" s="882" t="s">
        <v>1727</v>
      </c>
      <c r="B209" s="920" t="s">
        <v>1728</v>
      </c>
      <c r="C209" s="932" t="s">
        <v>1729</v>
      </c>
      <c r="D209" s="923" t="s">
        <v>1730</v>
      </c>
      <c r="E209" s="920" t="s">
        <v>1712</v>
      </c>
      <c r="F209" s="984" t="s">
        <v>413</v>
      </c>
      <c r="G209" s="974" t="s">
        <v>217</v>
      </c>
      <c r="H209" s="984"/>
      <c r="I209" s="984"/>
      <c r="J209" s="1010">
        <v>0.28999999999999998</v>
      </c>
      <c r="K209" s="974" t="s">
        <v>1161</v>
      </c>
      <c r="L209" s="933" t="s">
        <v>1713</v>
      </c>
      <c r="M209" s="972" t="s">
        <v>217</v>
      </c>
      <c r="N209" s="984"/>
      <c r="O209" s="984"/>
      <c r="P209" s="922" t="s">
        <v>679</v>
      </c>
      <c r="Q209" s="943" t="s">
        <v>1731</v>
      </c>
      <c r="R209" s="940">
        <v>7675</v>
      </c>
      <c r="S209" s="940">
        <v>6590</v>
      </c>
      <c r="T209" s="1013" t="s">
        <v>1732</v>
      </c>
      <c r="U209" s="1013"/>
      <c r="V209" s="923" t="s">
        <v>1733</v>
      </c>
      <c r="W209" s="932" t="s">
        <v>164</v>
      </c>
      <c r="X209" s="979">
        <v>1</v>
      </c>
      <c r="Y209" s="902">
        <v>123552</v>
      </c>
      <c r="Z209" s="1017"/>
      <c r="AA209" s="1017"/>
      <c r="AB209" s="1017"/>
      <c r="AC209" s="958">
        <f>Y209</f>
        <v>123552</v>
      </c>
      <c r="AD209" s="1018"/>
      <c r="AE209" s="958">
        <v>123551</v>
      </c>
      <c r="AF209" s="902">
        <v>9</v>
      </c>
      <c r="AG209" s="874">
        <f t="shared" si="43"/>
        <v>84237.804878048788</v>
      </c>
      <c r="AH209" s="902">
        <f t="shared" si="49"/>
        <v>69075</v>
      </c>
      <c r="AI209" s="902">
        <f t="shared" si="48"/>
        <v>15162.804878048788</v>
      </c>
      <c r="AJ209" s="874">
        <f t="shared" si="45"/>
        <v>84237.804878048788</v>
      </c>
    </row>
    <row r="210" spans="1:36" s="930" customFormat="1" ht="26.1" customHeight="1">
      <c r="A210" s="882" t="s">
        <v>1734</v>
      </c>
      <c r="B210" s="920" t="s">
        <v>1735</v>
      </c>
      <c r="C210" s="932" t="s">
        <v>1736</v>
      </c>
      <c r="D210" s="923" t="s">
        <v>1737</v>
      </c>
      <c r="E210" s="920" t="s">
        <v>1738</v>
      </c>
      <c r="F210" s="984">
        <v>4.58</v>
      </c>
      <c r="G210" s="974" t="s">
        <v>963</v>
      </c>
      <c r="H210" s="984"/>
      <c r="I210" s="984"/>
      <c r="J210" s="1010">
        <v>0.33</v>
      </c>
      <c r="K210" s="974" t="s">
        <v>1161</v>
      </c>
      <c r="L210" s="933"/>
      <c r="M210" s="984"/>
      <c r="N210" s="984"/>
      <c r="O210" s="984"/>
      <c r="P210" s="922" t="s">
        <v>507</v>
      </c>
      <c r="Q210" s="943" t="s">
        <v>1739</v>
      </c>
      <c r="R210" s="940">
        <v>8467</v>
      </c>
      <c r="S210" s="940">
        <v>7129</v>
      </c>
      <c r="T210" s="1013" t="s">
        <v>1740</v>
      </c>
      <c r="U210" s="1013"/>
      <c r="V210" s="923" t="s">
        <v>1741</v>
      </c>
      <c r="W210" s="932" t="s">
        <v>139</v>
      </c>
      <c r="X210" s="979">
        <v>1</v>
      </c>
      <c r="Y210" s="902">
        <v>158611</v>
      </c>
      <c r="Z210" s="1017"/>
      <c r="AA210" s="1017"/>
      <c r="AB210" s="1017"/>
      <c r="AC210" s="958">
        <v>158611</v>
      </c>
      <c r="AD210" s="1018"/>
      <c r="AE210" s="958">
        <f>AC210</f>
        <v>158611</v>
      </c>
      <c r="AF210" s="902">
        <v>11</v>
      </c>
      <c r="AG210" s="874">
        <f t="shared" si="43"/>
        <v>113581.70731707317</v>
      </c>
      <c r="AH210" s="902">
        <f t="shared" si="49"/>
        <v>93137</v>
      </c>
      <c r="AI210" s="902">
        <f t="shared" si="48"/>
        <v>20444.707317073175</v>
      </c>
      <c r="AJ210" s="874">
        <f t="shared" si="45"/>
        <v>113581.70731707317</v>
      </c>
    </row>
    <row r="211" spans="1:36" s="930" customFormat="1" ht="26.1" customHeight="1">
      <c r="A211" s="882" t="s">
        <v>1742</v>
      </c>
      <c r="B211" s="920" t="s">
        <v>1743</v>
      </c>
      <c r="C211" s="932" t="s">
        <v>1744</v>
      </c>
      <c r="D211" s="923" t="s">
        <v>1730</v>
      </c>
      <c r="E211" s="920" t="s">
        <v>1745</v>
      </c>
      <c r="F211" s="984" t="s">
        <v>378</v>
      </c>
      <c r="G211" s="974" t="s">
        <v>367</v>
      </c>
      <c r="H211" s="984"/>
      <c r="I211" s="984"/>
      <c r="J211" s="1010">
        <v>0.23</v>
      </c>
      <c r="K211" s="974" t="s">
        <v>688</v>
      </c>
      <c r="L211" s="933" t="s">
        <v>1746</v>
      </c>
      <c r="M211" s="974" t="s">
        <v>367</v>
      </c>
      <c r="N211" s="984"/>
      <c r="O211" s="984"/>
      <c r="P211" s="922" t="s">
        <v>379</v>
      </c>
      <c r="Q211" s="943" t="s">
        <v>1747</v>
      </c>
      <c r="R211" s="940">
        <v>7223</v>
      </c>
      <c r="S211" s="940">
        <v>6126</v>
      </c>
      <c r="T211" s="1013" t="s">
        <v>1748</v>
      </c>
      <c r="U211" s="1013"/>
      <c r="V211" s="923" t="s">
        <v>1749</v>
      </c>
      <c r="W211" s="932" t="s">
        <v>348</v>
      </c>
      <c r="X211" s="979">
        <v>1</v>
      </c>
      <c r="Y211" s="902">
        <v>90355</v>
      </c>
      <c r="Z211" s="1017"/>
      <c r="AA211" s="1017"/>
      <c r="AB211" s="1017"/>
      <c r="AC211" s="958">
        <f>Y211</f>
        <v>90355</v>
      </c>
      <c r="AD211" s="1018"/>
      <c r="AE211" s="958">
        <f>AC211</f>
        <v>90355</v>
      </c>
      <c r="AF211" s="902">
        <v>6</v>
      </c>
      <c r="AG211" s="874">
        <f t="shared" si="43"/>
        <v>52851.219512195123</v>
      </c>
      <c r="AH211" s="902">
        <f t="shared" si="49"/>
        <v>43338</v>
      </c>
      <c r="AI211" s="902">
        <f t="shared" si="48"/>
        <v>9513.2195121951227</v>
      </c>
      <c r="AJ211" s="874">
        <f t="shared" si="45"/>
        <v>52851.219512195123</v>
      </c>
    </row>
    <row r="212" spans="1:36" s="930" customFormat="1" ht="26.1" customHeight="1">
      <c r="A212" s="882" t="s">
        <v>1750</v>
      </c>
      <c r="B212" s="920" t="s">
        <v>1751</v>
      </c>
      <c r="C212" s="932" t="s">
        <v>1752</v>
      </c>
      <c r="D212" s="923" t="s">
        <v>1730</v>
      </c>
      <c r="E212" s="920" t="s">
        <v>1753</v>
      </c>
      <c r="F212" s="984">
        <v>4.0599999999999996</v>
      </c>
      <c r="G212" s="974" t="s">
        <v>132</v>
      </c>
      <c r="H212" s="984"/>
      <c r="I212" s="984"/>
      <c r="J212" s="1010">
        <v>0.2</v>
      </c>
      <c r="K212" s="974" t="s">
        <v>516</v>
      </c>
      <c r="L212" s="933"/>
      <c r="M212" s="1011"/>
      <c r="N212" s="984"/>
      <c r="O212" s="984"/>
      <c r="P212" s="922" t="s">
        <v>673</v>
      </c>
      <c r="Q212" s="943" t="s">
        <v>1754</v>
      </c>
      <c r="R212" s="940">
        <v>6772</v>
      </c>
      <c r="S212" s="940">
        <v>5605</v>
      </c>
      <c r="T212" s="1013" t="s">
        <v>1755</v>
      </c>
      <c r="U212" s="1013"/>
      <c r="V212" s="923" t="s">
        <v>1756</v>
      </c>
      <c r="W212" s="932" t="s">
        <v>164</v>
      </c>
      <c r="X212" s="979">
        <v>1</v>
      </c>
      <c r="Y212" s="902">
        <v>117690</v>
      </c>
      <c r="Z212" s="1017"/>
      <c r="AA212" s="1017"/>
      <c r="AB212" s="1017"/>
      <c r="AC212" s="958">
        <f>Y212</f>
        <v>117690</v>
      </c>
      <c r="AD212" s="1018"/>
      <c r="AE212" s="958">
        <f>AC212</f>
        <v>117690</v>
      </c>
      <c r="AF212" s="902">
        <v>9</v>
      </c>
      <c r="AG212" s="874">
        <f t="shared" si="43"/>
        <v>74326.829268292684</v>
      </c>
      <c r="AH212" s="902">
        <f t="shared" si="49"/>
        <v>60948</v>
      </c>
      <c r="AI212" s="902">
        <f t="shared" si="48"/>
        <v>13378.829268292684</v>
      </c>
      <c r="AJ212" s="874">
        <f t="shared" si="45"/>
        <v>74326.829268292684</v>
      </c>
    </row>
    <row r="213" spans="1:36" s="930" customFormat="1" ht="26.1" customHeight="1">
      <c r="A213" s="882" t="s">
        <v>1757</v>
      </c>
      <c r="B213" s="920" t="s">
        <v>1758</v>
      </c>
      <c r="C213" s="932" t="s">
        <v>1759</v>
      </c>
      <c r="D213" s="923" t="s">
        <v>1730</v>
      </c>
      <c r="E213" s="920" t="s">
        <v>1760</v>
      </c>
      <c r="F213" s="972" t="s">
        <v>413</v>
      </c>
      <c r="G213" s="974" t="s">
        <v>217</v>
      </c>
      <c r="H213" s="921"/>
      <c r="I213" s="923"/>
      <c r="J213" s="1020"/>
      <c r="K213" s="974"/>
      <c r="L213" s="941">
        <v>7.0000000000000007E-2</v>
      </c>
      <c r="M213" s="932" t="s">
        <v>217</v>
      </c>
      <c r="N213" s="923"/>
      <c r="O213" s="923"/>
      <c r="P213" s="923" t="s">
        <v>679</v>
      </c>
      <c r="Q213" s="943" t="s">
        <v>417</v>
      </c>
      <c r="R213" s="940">
        <v>6038</v>
      </c>
      <c r="S213" s="940">
        <v>5148</v>
      </c>
      <c r="T213" s="923" t="s">
        <v>1761</v>
      </c>
      <c r="U213" s="923"/>
      <c r="V213" s="923" t="s">
        <v>1762</v>
      </c>
      <c r="W213" s="932" t="s">
        <v>139</v>
      </c>
      <c r="X213" s="979">
        <v>1</v>
      </c>
      <c r="Y213" s="902">
        <v>99094</v>
      </c>
      <c r="Z213" s="1017"/>
      <c r="AA213" s="1017"/>
      <c r="AB213" s="1017"/>
      <c r="AC213" s="958">
        <v>99094</v>
      </c>
      <c r="AD213" s="1018"/>
      <c r="AE213" s="958">
        <v>99094</v>
      </c>
      <c r="AF213" s="902">
        <v>11</v>
      </c>
      <c r="AG213" s="874">
        <f t="shared" si="43"/>
        <v>80997.560975609755</v>
      </c>
      <c r="AH213" s="902">
        <f t="shared" si="49"/>
        <v>66418</v>
      </c>
      <c r="AI213" s="902">
        <f t="shared" si="48"/>
        <v>14579.560975609755</v>
      </c>
      <c r="AJ213" s="874">
        <f t="shared" si="45"/>
        <v>80997.560975609755</v>
      </c>
    </row>
    <row r="214" spans="1:36" s="930" customFormat="1" ht="26.1" customHeight="1">
      <c r="A214" s="882" t="s">
        <v>1763</v>
      </c>
      <c r="B214" s="920" t="s">
        <v>1764</v>
      </c>
      <c r="C214" s="932" t="s">
        <v>1765</v>
      </c>
      <c r="D214" s="923" t="s">
        <v>1766</v>
      </c>
      <c r="E214" s="920" t="s">
        <v>1767</v>
      </c>
      <c r="F214" s="984" t="s">
        <v>1263</v>
      </c>
      <c r="G214" s="974" t="s">
        <v>217</v>
      </c>
      <c r="H214" s="984"/>
      <c r="I214" s="984"/>
      <c r="J214" s="1010">
        <v>0.34</v>
      </c>
      <c r="K214" s="974" t="s">
        <v>562</v>
      </c>
      <c r="L214" s="1020" t="s">
        <v>171</v>
      </c>
      <c r="M214" s="974" t="s">
        <v>217</v>
      </c>
      <c r="N214" s="984"/>
      <c r="O214" s="984"/>
      <c r="P214" s="922" t="s">
        <v>1448</v>
      </c>
      <c r="Q214" s="943" t="s">
        <v>991</v>
      </c>
      <c r="R214" s="940">
        <v>10106</v>
      </c>
      <c r="S214" s="940">
        <v>8972</v>
      </c>
      <c r="T214" s="1013" t="s">
        <v>250</v>
      </c>
      <c r="U214" s="1013"/>
      <c r="V214" s="923" t="s">
        <v>1768</v>
      </c>
      <c r="W214" s="932" t="s">
        <v>348</v>
      </c>
      <c r="X214" s="979">
        <v>1</v>
      </c>
      <c r="Y214" s="902">
        <v>183906</v>
      </c>
      <c r="Z214" s="1017"/>
      <c r="AA214" s="1017"/>
      <c r="AB214" s="1017"/>
      <c r="AC214" s="958">
        <f>Y214</f>
        <v>183906</v>
      </c>
      <c r="AD214" s="1018"/>
      <c r="AE214" s="958">
        <f>AC214</f>
        <v>183906</v>
      </c>
      <c r="AF214" s="902">
        <v>6</v>
      </c>
      <c r="AG214" s="874">
        <f t="shared" si="43"/>
        <v>73946.341463414632</v>
      </c>
      <c r="AH214" s="902">
        <f t="shared" si="49"/>
        <v>60636</v>
      </c>
      <c r="AI214" s="902">
        <f t="shared" si="48"/>
        <v>13310.341463414632</v>
      </c>
      <c r="AJ214" s="874">
        <f t="shared" si="45"/>
        <v>73946.341463414632</v>
      </c>
    </row>
    <row r="215" spans="1:36" s="930" customFormat="1" ht="26.1" customHeight="1">
      <c r="A215" s="882" t="s">
        <v>1769</v>
      </c>
      <c r="B215" s="920" t="s">
        <v>1770</v>
      </c>
      <c r="C215" s="932" t="s">
        <v>1752</v>
      </c>
      <c r="D215" s="923" t="s">
        <v>1737</v>
      </c>
      <c r="E215" s="920" t="s">
        <v>1771</v>
      </c>
      <c r="F215" s="972" t="s">
        <v>485</v>
      </c>
      <c r="G215" s="974" t="s">
        <v>226</v>
      </c>
      <c r="H215" s="984"/>
      <c r="I215" s="984"/>
      <c r="J215" s="1010"/>
      <c r="K215" s="984"/>
      <c r="L215" s="933"/>
      <c r="M215" s="984"/>
      <c r="N215" s="984"/>
      <c r="O215" s="984"/>
      <c r="P215" s="922" t="s">
        <v>487</v>
      </c>
      <c r="Q215" s="943" t="s">
        <v>1772</v>
      </c>
      <c r="R215" s="940">
        <v>5935</v>
      </c>
      <c r="S215" s="940">
        <v>5189</v>
      </c>
      <c r="T215" s="1013" t="s">
        <v>1773</v>
      </c>
      <c r="U215" s="1013"/>
      <c r="V215" s="923" t="s">
        <v>1774</v>
      </c>
      <c r="W215" s="932" t="s">
        <v>348</v>
      </c>
      <c r="X215" s="979">
        <v>1</v>
      </c>
      <c r="Y215" s="902">
        <v>110041</v>
      </c>
      <c r="Z215" s="1017"/>
      <c r="AA215" s="1017"/>
      <c r="AB215" s="1017"/>
      <c r="AC215" s="958">
        <f>Y215</f>
        <v>110041</v>
      </c>
      <c r="AD215" s="1018"/>
      <c r="AE215" s="958">
        <f>AC215</f>
        <v>110041</v>
      </c>
      <c r="AF215" s="902">
        <v>6</v>
      </c>
      <c r="AG215" s="874">
        <f t="shared" si="43"/>
        <v>43426.829268292684</v>
      </c>
      <c r="AH215" s="902">
        <f t="shared" si="49"/>
        <v>35610</v>
      </c>
      <c r="AI215" s="902">
        <f t="shared" si="48"/>
        <v>7816.829268292684</v>
      </c>
      <c r="AJ215" s="874">
        <f t="shared" si="45"/>
        <v>43426.829268292684</v>
      </c>
    </row>
    <row r="216" spans="1:36" s="930" customFormat="1" ht="26.1" customHeight="1">
      <c r="A216" s="882" t="s">
        <v>1775</v>
      </c>
      <c r="B216" s="920" t="s">
        <v>1776</v>
      </c>
      <c r="C216" s="932" t="s">
        <v>1777</v>
      </c>
      <c r="D216" s="923" t="s">
        <v>1778</v>
      </c>
      <c r="E216" s="920" t="s">
        <v>1779</v>
      </c>
      <c r="F216" s="923" t="s">
        <v>1058</v>
      </c>
      <c r="G216" s="921" t="s">
        <v>217</v>
      </c>
      <c r="H216" s="984"/>
      <c r="I216" s="984"/>
      <c r="J216" s="924">
        <v>0.34</v>
      </c>
      <c r="K216" s="1021" t="s">
        <v>562</v>
      </c>
      <c r="L216" s="941" t="s">
        <v>695</v>
      </c>
      <c r="M216" s="932">
        <v>43009</v>
      </c>
      <c r="N216" s="984"/>
      <c r="O216" s="984"/>
      <c r="P216" s="923" t="s">
        <v>1780</v>
      </c>
      <c r="Q216" s="921" t="s">
        <v>1781</v>
      </c>
      <c r="R216" s="940">
        <v>9719</v>
      </c>
      <c r="S216" s="940">
        <v>8881</v>
      </c>
      <c r="T216" s="923" t="s">
        <v>1782</v>
      </c>
      <c r="U216" s="1013"/>
      <c r="V216" s="923" t="s">
        <v>1783</v>
      </c>
      <c r="W216" s="932" t="s">
        <v>348</v>
      </c>
      <c r="X216" s="979">
        <v>1</v>
      </c>
      <c r="Y216" s="902">
        <v>190957</v>
      </c>
      <c r="Z216" s="1017"/>
      <c r="AA216" s="1017"/>
      <c r="AB216" s="1017"/>
      <c r="AC216" s="958">
        <f>Y216</f>
        <v>190957</v>
      </c>
      <c r="AD216" s="1018"/>
      <c r="AE216" s="958">
        <f>AC216</f>
        <v>190957</v>
      </c>
      <c r="AF216" s="902">
        <v>6</v>
      </c>
      <c r="AG216" s="874">
        <f t="shared" si="43"/>
        <v>71114.634146341472</v>
      </c>
      <c r="AH216" s="902">
        <f t="shared" si="49"/>
        <v>58314</v>
      </c>
      <c r="AI216" s="902">
        <f t="shared" si="48"/>
        <v>12800.634146341472</v>
      </c>
      <c r="AJ216" s="874">
        <f t="shared" si="45"/>
        <v>71114.634146341472</v>
      </c>
    </row>
    <row r="217" spans="1:36" s="930" customFormat="1" ht="33" customHeight="1">
      <c r="A217" s="882" t="s">
        <v>1784</v>
      </c>
      <c r="B217" s="920" t="s">
        <v>1785</v>
      </c>
      <c r="C217" s="932" t="s">
        <v>1786</v>
      </c>
      <c r="D217" s="923" t="s">
        <v>1787</v>
      </c>
      <c r="E217" s="920" t="s">
        <v>1788</v>
      </c>
      <c r="F217" s="923">
        <v>4.9800000000000004</v>
      </c>
      <c r="G217" s="932" t="s">
        <v>347</v>
      </c>
      <c r="H217" s="923"/>
      <c r="I217" s="923"/>
      <c r="J217" s="924">
        <v>0.27</v>
      </c>
      <c r="K217" s="932" t="s">
        <v>224</v>
      </c>
      <c r="L217" s="933"/>
      <c r="M217" s="984"/>
      <c r="N217" s="984"/>
      <c r="O217" s="984"/>
      <c r="P217" s="923" t="s">
        <v>1696</v>
      </c>
      <c r="Q217" s="932" t="s">
        <v>1789</v>
      </c>
      <c r="R217" s="940">
        <v>8791</v>
      </c>
      <c r="S217" s="940">
        <v>7444</v>
      </c>
      <c r="T217" s="923" t="s">
        <v>769</v>
      </c>
      <c r="U217" s="1013"/>
      <c r="V217" s="923" t="s">
        <v>1790</v>
      </c>
      <c r="W217" s="932" t="s">
        <v>139</v>
      </c>
      <c r="X217" s="979">
        <v>1</v>
      </c>
      <c r="Y217" s="902">
        <v>124701</v>
      </c>
      <c r="Z217" s="1017"/>
      <c r="AA217" s="1017"/>
      <c r="AB217" s="1017"/>
      <c r="AC217" s="958">
        <v>124701</v>
      </c>
      <c r="AD217" s="1018"/>
      <c r="AE217" s="958">
        <f>AC217</f>
        <v>124701</v>
      </c>
      <c r="AF217" s="902">
        <v>11</v>
      </c>
      <c r="AG217" s="874">
        <f t="shared" si="43"/>
        <v>117928.04878048781</v>
      </c>
      <c r="AH217" s="902">
        <f t="shared" si="49"/>
        <v>96701</v>
      </c>
      <c r="AI217" s="902">
        <f t="shared" si="48"/>
        <v>21227.048780487807</v>
      </c>
      <c r="AJ217" s="874">
        <f t="shared" si="45"/>
        <v>117928.04878048781</v>
      </c>
    </row>
    <row r="218" spans="1:36" s="878" customFormat="1" ht="26.1" customHeight="1">
      <c r="A218" s="882" t="s">
        <v>1791</v>
      </c>
      <c r="B218" s="885" t="s">
        <v>1792</v>
      </c>
      <c r="C218" s="880">
        <v>25182</v>
      </c>
      <c r="D218" s="881" t="s">
        <v>1793</v>
      </c>
      <c r="E218" s="885" t="s">
        <v>1794</v>
      </c>
      <c r="F218" s="881" t="s">
        <v>145</v>
      </c>
      <c r="G218" s="880" t="s">
        <v>1795</v>
      </c>
      <c r="H218" s="881"/>
      <c r="I218" s="881"/>
      <c r="J218" s="914"/>
      <c r="K218" s="880"/>
      <c r="L218" s="865"/>
      <c r="M218" s="899"/>
      <c r="N218" s="899"/>
      <c r="O218" s="899"/>
      <c r="P218" s="881" t="s">
        <v>973</v>
      </c>
      <c r="Q218" s="880" t="s">
        <v>1796</v>
      </c>
      <c r="R218" s="872">
        <v>6004</v>
      </c>
      <c r="S218" s="872">
        <v>5173</v>
      </c>
      <c r="T218" s="881" t="s">
        <v>1797</v>
      </c>
      <c r="U218" s="901"/>
      <c r="V218" s="881" t="s">
        <v>1798</v>
      </c>
      <c r="W218" s="880" t="s">
        <v>252</v>
      </c>
      <c r="X218" s="893">
        <v>1</v>
      </c>
      <c r="Y218" s="874">
        <v>120273</v>
      </c>
      <c r="Z218" s="1022"/>
      <c r="AA218" s="1022"/>
      <c r="AB218" s="1022"/>
      <c r="AC218" s="876">
        <v>120273</v>
      </c>
      <c r="AD218" s="1023"/>
      <c r="AE218" s="876">
        <v>120273</v>
      </c>
      <c r="AF218" s="874">
        <v>5</v>
      </c>
      <c r="AG218" s="874">
        <f t="shared" si="43"/>
        <v>40026.666666666664</v>
      </c>
      <c r="AH218" s="874">
        <f t="shared" si="49"/>
        <v>30020</v>
      </c>
      <c r="AI218" s="874">
        <f>((AH218*100%)/75%)-AH218</f>
        <v>10006.666666666664</v>
      </c>
      <c r="AJ218" s="874">
        <f t="shared" si="45"/>
        <v>40026.666666666664</v>
      </c>
    </row>
    <row r="219" spans="1:36" s="878" customFormat="1" ht="26.1" customHeight="1">
      <c r="A219" s="882" t="s">
        <v>1799</v>
      </c>
      <c r="B219" s="885" t="s">
        <v>1800</v>
      </c>
      <c r="C219" s="880">
        <v>25111</v>
      </c>
      <c r="D219" s="881" t="s">
        <v>902</v>
      </c>
      <c r="E219" s="885" t="s">
        <v>1801</v>
      </c>
      <c r="F219" s="881" t="s">
        <v>335</v>
      </c>
      <c r="G219" s="880" t="s">
        <v>347</v>
      </c>
      <c r="H219" s="881"/>
      <c r="I219" s="881"/>
      <c r="J219" s="914"/>
      <c r="K219" s="880"/>
      <c r="L219" s="865"/>
      <c r="M219" s="899"/>
      <c r="N219" s="899"/>
      <c r="O219" s="899"/>
      <c r="P219" s="881" t="s">
        <v>1802</v>
      </c>
      <c r="Q219" s="880" t="s">
        <v>1803</v>
      </c>
      <c r="R219" s="872">
        <v>5087</v>
      </c>
      <c r="S219" s="872">
        <v>4423</v>
      </c>
      <c r="T219" s="881" t="s">
        <v>1804</v>
      </c>
      <c r="U219" s="901"/>
      <c r="V219" s="881" t="s">
        <v>1805</v>
      </c>
      <c r="W219" s="880" t="s">
        <v>252</v>
      </c>
      <c r="X219" s="893">
        <v>1</v>
      </c>
      <c r="Y219" s="874"/>
      <c r="Z219" s="1022"/>
      <c r="AA219" s="1022">
        <v>164569</v>
      </c>
      <c r="AB219" s="1022"/>
      <c r="AC219" s="876">
        <v>164569</v>
      </c>
      <c r="AD219" s="1023"/>
      <c r="AE219" s="876">
        <v>164569</v>
      </c>
      <c r="AF219" s="874">
        <v>5</v>
      </c>
      <c r="AG219" s="874">
        <f t="shared" si="43"/>
        <v>33913.333333333336</v>
      </c>
      <c r="AH219" s="874">
        <f t="shared" si="49"/>
        <v>25435</v>
      </c>
      <c r="AI219" s="874">
        <f t="shared" ref="AI219:AI223" si="50">((AH219*100%)/75%)-AH219</f>
        <v>8478.3333333333358</v>
      </c>
      <c r="AJ219" s="874">
        <f t="shared" si="45"/>
        <v>33913.333333333336</v>
      </c>
    </row>
    <row r="220" spans="1:36" s="878" customFormat="1" ht="26.1" customHeight="1">
      <c r="A220" s="882" t="s">
        <v>1806</v>
      </c>
      <c r="B220" s="885" t="s">
        <v>1807</v>
      </c>
      <c r="C220" s="880" t="s">
        <v>1808</v>
      </c>
      <c r="D220" s="881" t="s">
        <v>1809</v>
      </c>
      <c r="E220" s="885" t="s">
        <v>1810</v>
      </c>
      <c r="F220" s="881" t="s">
        <v>145</v>
      </c>
      <c r="G220" s="880" t="s">
        <v>562</v>
      </c>
      <c r="H220" s="881"/>
      <c r="I220" s="881"/>
      <c r="J220" s="914"/>
      <c r="K220" s="880"/>
      <c r="L220" s="865"/>
      <c r="M220" s="899"/>
      <c r="N220" s="899"/>
      <c r="O220" s="899"/>
      <c r="P220" s="881" t="s">
        <v>1811</v>
      </c>
      <c r="Q220" s="880" t="s">
        <v>1812</v>
      </c>
      <c r="R220" s="872">
        <v>6436</v>
      </c>
      <c r="S220" s="872">
        <v>4996</v>
      </c>
      <c r="T220" s="881" t="s">
        <v>1813</v>
      </c>
      <c r="U220" s="901"/>
      <c r="V220" s="881" t="s">
        <v>1814</v>
      </c>
      <c r="W220" s="880" t="s">
        <v>314</v>
      </c>
      <c r="X220" s="893">
        <v>1</v>
      </c>
      <c r="Y220" s="874">
        <v>71195</v>
      </c>
      <c r="Z220" s="1022"/>
      <c r="AA220" s="1022"/>
      <c r="AB220" s="1022"/>
      <c r="AC220" s="876">
        <v>71195</v>
      </c>
      <c r="AD220" s="1023"/>
      <c r="AE220" s="876">
        <v>71195</v>
      </c>
      <c r="AF220" s="874">
        <v>3</v>
      </c>
      <c r="AG220" s="874">
        <f t="shared" si="43"/>
        <v>25744</v>
      </c>
      <c r="AH220" s="874">
        <f t="shared" si="49"/>
        <v>19308</v>
      </c>
      <c r="AI220" s="874">
        <f t="shared" si="50"/>
        <v>6436</v>
      </c>
      <c r="AJ220" s="874">
        <f t="shared" si="45"/>
        <v>25744</v>
      </c>
    </row>
    <row r="221" spans="1:36" s="878" customFormat="1" ht="26.1" customHeight="1">
      <c r="A221" s="882" t="s">
        <v>1815</v>
      </c>
      <c r="B221" s="885" t="s">
        <v>1816</v>
      </c>
      <c r="C221" s="880">
        <v>24390</v>
      </c>
      <c r="D221" s="881" t="s">
        <v>1817</v>
      </c>
      <c r="E221" s="885" t="s">
        <v>1818</v>
      </c>
      <c r="F221" s="881" t="s">
        <v>131</v>
      </c>
      <c r="G221" s="880" t="s">
        <v>1648</v>
      </c>
      <c r="H221" s="881"/>
      <c r="I221" s="881"/>
      <c r="J221" s="914"/>
      <c r="K221" s="880"/>
      <c r="L221" s="865"/>
      <c r="M221" s="899"/>
      <c r="N221" s="899"/>
      <c r="O221" s="899"/>
      <c r="P221" s="881" t="s">
        <v>1819</v>
      </c>
      <c r="Q221" s="880" t="s">
        <v>1820</v>
      </c>
      <c r="R221" s="872">
        <v>6928</v>
      </c>
      <c r="S221" s="872">
        <v>5854</v>
      </c>
      <c r="T221" s="881" t="s">
        <v>1720</v>
      </c>
      <c r="U221" s="901"/>
      <c r="V221" s="881" t="s">
        <v>1821</v>
      </c>
      <c r="W221" s="880" t="s">
        <v>265</v>
      </c>
      <c r="X221" s="893">
        <v>1</v>
      </c>
      <c r="Y221" s="874"/>
      <c r="Z221" s="1022"/>
      <c r="AA221" s="1022">
        <v>328125</v>
      </c>
      <c r="AB221" s="1022"/>
      <c r="AC221" s="876">
        <f>AD221+AE221</f>
        <v>328125</v>
      </c>
      <c r="AD221" s="1023">
        <v>20785</v>
      </c>
      <c r="AE221" s="876">
        <v>307340</v>
      </c>
      <c r="AF221" s="874">
        <v>1</v>
      </c>
      <c r="AG221" s="874">
        <f t="shared" si="43"/>
        <v>9237.3333333333339</v>
      </c>
      <c r="AH221" s="874">
        <f t="shared" si="49"/>
        <v>6928</v>
      </c>
      <c r="AI221" s="874">
        <f t="shared" si="50"/>
        <v>2309.3333333333339</v>
      </c>
      <c r="AJ221" s="874">
        <f t="shared" si="45"/>
        <v>-11547.666666666666</v>
      </c>
    </row>
    <row r="222" spans="1:36" s="878" customFormat="1" ht="26.1" customHeight="1">
      <c r="A222" s="882" t="s">
        <v>1822</v>
      </c>
      <c r="B222" s="885" t="s">
        <v>1823</v>
      </c>
      <c r="C222" s="880">
        <v>26665</v>
      </c>
      <c r="D222" s="881" t="s">
        <v>1824</v>
      </c>
      <c r="E222" s="885" t="s">
        <v>1825</v>
      </c>
      <c r="F222" s="881" t="s">
        <v>905</v>
      </c>
      <c r="G222" s="880" t="s">
        <v>713</v>
      </c>
      <c r="H222" s="881"/>
      <c r="I222" s="881"/>
      <c r="J222" s="914"/>
      <c r="K222" s="880"/>
      <c r="L222" s="865"/>
      <c r="M222" s="899"/>
      <c r="N222" s="899"/>
      <c r="O222" s="899"/>
      <c r="P222" s="881" t="s">
        <v>1826</v>
      </c>
      <c r="Q222" s="880" t="s">
        <v>1827</v>
      </c>
      <c r="R222" s="872">
        <v>3252</v>
      </c>
      <c r="S222" s="872">
        <v>2803</v>
      </c>
      <c r="T222" s="881" t="s">
        <v>1828</v>
      </c>
      <c r="U222" s="901"/>
      <c r="V222" s="881" t="s">
        <v>1829</v>
      </c>
      <c r="W222" s="880" t="s">
        <v>252</v>
      </c>
      <c r="X222" s="893">
        <v>1</v>
      </c>
      <c r="Y222" s="874"/>
      <c r="Z222" s="1022"/>
      <c r="AA222" s="1022">
        <v>60222</v>
      </c>
      <c r="AB222" s="1022"/>
      <c r="AC222" s="876">
        <v>60222</v>
      </c>
      <c r="AD222" s="1023">
        <v>9758</v>
      </c>
      <c r="AE222" s="876">
        <v>50464</v>
      </c>
      <c r="AF222" s="874">
        <v>5</v>
      </c>
      <c r="AG222" s="874">
        <f t="shared" si="43"/>
        <v>21680</v>
      </c>
      <c r="AH222" s="874">
        <f t="shared" si="49"/>
        <v>16260</v>
      </c>
      <c r="AI222" s="874">
        <f t="shared" si="50"/>
        <v>5420</v>
      </c>
      <c r="AJ222" s="874">
        <f t="shared" si="45"/>
        <v>11922</v>
      </c>
    </row>
    <row r="223" spans="1:36" s="878" customFormat="1" ht="26.1" customHeight="1">
      <c r="A223" s="882" t="s">
        <v>1830</v>
      </c>
      <c r="B223" s="885" t="s">
        <v>1831</v>
      </c>
      <c r="C223" s="880">
        <v>27395</v>
      </c>
      <c r="D223" s="881" t="s">
        <v>1832</v>
      </c>
      <c r="E223" s="885" t="s">
        <v>1833</v>
      </c>
      <c r="F223" s="881" t="s">
        <v>973</v>
      </c>
      <c r="G223" s="880" t="s">
        <v>1834</v>
      </c>
      <c r="H223" s="881"/>
      <c r="I223" s="881"/>
      <c r="J223" s="914"/>
      <c r="K223" s="880"/>
      <c r="L223" s="865"/>
      <c r="M223" s="899"/>
      <c r="N223" s="899"/>
      <c r="O223" s="899"/>
      <c r="P223" s="881" t="s">
        <v>975</v>
      </c>
      <c r="Q223" s="880" t="s">
        <v>1835</v>
      </c>
      <c r="R223" s="872">
        <v>5546</v>
      </c>
      <c r="S223" s="872">
        <v>4796</v>
      </c>
      <c r="T223" s="881" t="s">
        <v>1836</v>
      </c>
      <c r="U223" s="901"/>
      <c r="V223" s="881" t="s">
        <v>1837</v>
      </c>
      <c r="W223" s="880" t="s">
        <v>252</v>
      </c>
      <c r="X223" s="893" t="s">
        <v>126</v>
      </c>
      <c r="Y223" s="874"/>
      <c r="Z223" s="1022"/>
      <c r="AA223" s="1022">
        <v>160532</v>
      </c>
      <c r="AB223" s="1022"/>
      <c r="AC223" s="876">
        <v>160532</v>
      </c>
      <c r="AD223" s="1023"/>
      <c r="AE223" s="876">
        <v>160532</v>
      </c>
      <c r="AF223" s="874">
        <v>5</v>
      </c>
      <c r="AG223" s="874">
        <f t="shared" si="43"/>
        <v>36973.333333333336</v>
      </c>
      <c r="AH223" s="874">
        <f t="shared" si="49"/>
        <v>27730</v>
      </c>
      <c r="AI223" s="874">
        <f t="shared" si="50"/>
        <v>9243.3333333333358</v>
      </c>
      <c r="AJ223" s="874">
        <f t="shared" si="45"/>
        <v>36973.333333333336</v>
      </c>
    </row>
    <row r="224" spans="1:36" s="930" customFormat="1" ht="26.1" customHeight="1">
      <c r="A224" s="882" t="s">
        <v>1838</v>
      </c>
      <c r="B224" s="920" t="s">
        <v>1839</v>
      </c>
      <c r="C224" s="932" t="s">
        <v>1840</v>
      </c>
      <c r="D224" s="923" t="s">
        <v>243</v>
      </c>
      <c r="E224" s="920" t="s">
        <v>1841</v>
      </c>
      <c r="F224" s="923" t="s">
        <v>145</v>
      </c>
      <c r="G224" s="932" t="s">
        <v>226</v>
      </c>
      <c r="H224" s="923"/>
      <c r="I224" s="923"/>
      <c r="J224" s="924">
        <v>0.22</v>
      </c>
      <c r="K224" s="932" t="s">
        <v>415</v>
      </c>
      <c r="L224" s="933"/>
      <c r="M224" s="984"/>
      <c r="N224" s="984"/>
      <c r="O224" s="984"/>
      <c r="P224" s="923" t="s">
        <v>973</v>
      </c>
      <c r="Q224" s="932" t="s">
        <v>1842</v>
      </c>
      <c r="R224" s="940">
        <v>7326</v>
      </c>
      <c r="S224" s="940">
        <v>6519</v>
      </c>
      <c r="T224" s="923" t="s">
        <v>1843</v>
      </c>
      <c r="U224" s="1013"/>
      <c r="V224" s="923" t="s">
        <v>1844</v>
      </c>
      <c r="W224" s="932" t="s">
        <v>564</v>
      </c>
      <c r="X224" s="979">
        <v>1</v>
      </c>
      <c r="Y224" s="902">
        <v>124854</v>
      </c>
      <c r="Z224" s="1017"/>
      <c r="AA224" s="1017"/>
      <c r="AB224" s="1017"/>
      <c r="AC224" s="958">
        <v>124854</v>
      </c>
      <c r="AD224" s="1018"/>
      <c r="AE224" s="958">
        <v>124854</v>
      </c>
      <c r="AF224" s="902">
        <v>2</v>
      </c>
      <c r="AG224" s="874">
        <f t="shared" si="43"/>
        <v>17868.292682926829</v>
      </c>
      <c r="AH224" s="902">
        <f t="shared" si="49"/>
        <v>14652</v>
      </c>
      <c r="AI224" s="902">
        <f>((AH224*100%)/82%)-AH224</f>
        <v>3216.292682926829</v>
      </c>
      <c r="AJ224" s="874">
        <f t="shared" si="45"/>
        <v>17868.292682926829</v>
      </c>
    </row>
    <row r="225" spans="1:36" s="930" customFormat="1" ht="26.1" customHeight="1">
      <c r="A225" s="882" t="s">
        <v>1845</v>
      </c>
      <c r="B225" s="920" t="s">
        <v>1846</v>
      </c>
      <c r="C225" s="932" t="s">
        <v>1710</v>
      </c>
      <c r="D225" s="923" t="s">
        <v>376</v>
      </c>
      <c r="E225" s="920" t="s">
        <v>1847</v>
      </c>
      <c r="F225" s="923" t="s">
        <v>440</v>
      </c>
      <c r="G225" s="932" t="s">
        <v>224</v>
      </c>
      <c r="H225" s="923"/>
      <c r="I225" s="923"/>
      <c r="J225" s="924" t="s">
        <v>1848</v>
      </c>
      <c r="K225" s="932" t="s">
        <v>1648</v>
      </c>
      <c r="L225" s="933">
        <v>0.09</v>
      </c>
      <c r="M225" s="984" t="s">
        <v>224</v>
      </c>
      <c r="N225" s="984"/>
      <c r="O225" s="984"/>
      <c r="P225" s="923" t="s">
        <v>585</v>
      </c>
      <c r="Q225" s="932" t="s">
        <v>586</v>
      </c>
      <c r="R225" s="940">
        <v>7936</v>
      </c>
      <c r="S225" s="940">
        <v>7093</v>
      </c>
      <c r="T225" s="923" t="s">
        <v>1849</v>
      </c>
      <c r="U225" s="1013"/>
      <c r="V225" s="923" t="s">
        <v>1850</v>
      </c>
      <c r="W225" s="932" t="s">
        <v>176</v>
      </c>
      <c r="X225" s="979">
        <v>1</v>
      </c>
      <c r="Y225" s="902">
        <v>134441</v>
      </c>
      <c r="Z225" s="1017"/>
      <c r="AA225" s="1017"/>
      <c r="AB225" s="1017"/>
      <c r="AC225" s="958">
        <v>134441</v>
      </c>
      <c r="AD225" s="1018"/>
      <c r="AE225" s="958">
        <v>134441</v>
      </c>
      <c r="AF225" s="902">
        <v>0</v>
      </c>
      <c r="AG225" s="874">
        <f t="shared" si="43"/>
        <v>0</v>
      </c>
      <c r="AH225" s="902">
        <f t="shared" si="49"/>
        <v>0</v>
      </c>
      <c r="AI225" s="902">
        <f t="shared" ref="AI225:AI233" si="51">((AH225*100%)/82%)-AH225</f>
        <v>0</v>
      </c>
      <c r="AJ225" s="874">
        <f t="shared" si="45"/>
        <v>0</v>
      </c>
    </row>
    <row r="226" spans="1:36" s="930" customFormat="1" ht="26.1" customHeight="1">
      <c r="A226" s="882" t="s">
        <v>1851</v>
      </c>
      <c r="B226" s="920" t="s">
        <v>1852</v>
      </c>
      <c r="C226" s="932" t="s">
        <v>154</v>
      </c>
      <c r="D226" s="923" t="s">
        <v>1032</v>
      </c>
      <c r="E226" s="920" t="s">
        <v>1853</v>
      </c>
      <c r="F226" s="923" t="s">
        <v>440</v>
      </c>
      <c r="G226" s="932" t="s">
        <v>224</v>
      </c>
      <c r="H226" s="923"/>
      <c r="I226" s="923"/>
      <c r="J226" s="924">
        <v>0.28999999999999998</v>
      </c>
      <c r="K226" s="932" t="s">
        <v>260</v>
      </c>
      <c r="L226" s="933">
        <v>0.09</v>
      </c>
      <c r="M226" s="984" t="s">
        <v>224</v>
      </c>
      <c r="N226" s="984"/>
      <c r="O226" s="984"/>
      <c r="P226" s="923" t="s">
        <v>585</v>
      </c>
      <c r="Q226" s="932" t="s">
        <v>586</v>
      </c>
      <c r="R226" s="940">
        <v>7862</v>
      </c>
      <c r="S226" s="940">
        <v>6951</v>
      </c>
      <c r="T226" s="923" t="s">
        <v>1854</v>
      </c>
      <c r="U226" s="1013"/>
      <c r="V226" s="923" t="s">
        <v>1066</v>
      </c>
      <c r="W226" s="932" t="s">
        <v>314</v>
      </c>
      <c r="X226" s="979">
        <v>1</v>
      </c>
      <c r="Y226" s="902">
        <v>128601</v>
      </c>
      <c r="Z226" s="1017"/>
      <c r="AA226" s="1017"/>
      <c r="AB226" s="1017"/>
      <c r="AC226" s="958">
        <v>128601</v>
      </c>
      <c r="AD226" s="1018"/>
      <c r="AE226" s="958">
        <v>128601</v>
      </c>
      <c r="AF226" s="902">
        <v>3</v>
      </c>
      <c r="AG226" s="874">
        <f t="shared" si="43"/>
        <v>28763.414634146342</v>
      </c>
      <c r="AH226" s="902">
        <f t="shared" si="49"/>
        <v>23586</v>
      </c>
      <c r="AI226" s="902">
        <f t="shared" si="51"/>
        <v>5177.414634146342</v>
      </c>
      <c r="AJ226" s="874">
        <f t="shared" si="45"/>
        <v>28763.414634146342</v>
      </c>
    </row>
    <row r="227" spans="1:36" s="930" customFormat="1" ht="26.1" customHeight="1">
      <c r="A227" s="882" t="s">
        <v>1855</v>
      </c>
      <c r="B227" s="920" t="s">
        <v>1856</v>
      </c>
      <c r="C227" s="932" t="s">
        <v>154</v>
      </c>
      <c r="D227" s="923" t="s">
        <v>595</v>
      </c>
      <c r="E227" s="920" t="s">
        <v>1857</v>
      </c>
      <c r="F227" s="923" t="s">
        <v>515</v>
      </c>
      <c r="G227" s="932" t="s">
        <v>183</v>
      </c>
      <c r="H227" s="923">
        <v>0.3</v>
      </c>
      <c r="I227" s="923" t="s">
        <v>1858</v>
      </c>
      <c r="J227" s="924">
        <v>0.35</v>
      </c>
      <c r="K227" s="932" t="s">
        <v>1648</v>
      </c>
      <c r="L227" s="933">
        <v>0.15</v>
      </c>
      <c r="M227" s="984" t="s">
        <v>183</v>
      </c>
      <c r="N227" s="984"/>
      <c r="O227" s="984"/>
      <c r="P227" s="923" t="s">
        <v>1859</v>
      </c>
      <c r="Q227" s="932" t="s">
        <v>188</v>
      </c>
      <c r="R227" s="940">
        <v>9248</v>
      </c>
      <c r="S227" s="940">
        <v>8340</v>
      </c>
      <c r="T227" s="923" t="s">
        <v>780</v>
      </c>
      <c r="U227" s="1013"/>
      <c r="V227" s="923" t="s">
        <v>1860</v>
      </c>
      <c r="W227" s="932" t="s">
        <v>176</v>
      </c>
      <c r="X227" s="979">
        <v>1</v>
      </c>
      <c r="Y227" s="902">
        <v>182641</v>
      </c>
      <c r="Z227" s="1017"/>
      <c r="AA227" s="1017"/>
      <c r="AB227" s="1017"/>
      <c r="AC227" s="958">
        <v>182641</v>
      </c>
      <c r="AD227" s="1018"/>
      <c r="AE227" s="958">
        <v>182641</v>
      </c>
      <c r="AF227" s="902">
        <v>0</v>
      </c>
      <c r="AG227" s="874">
        <f t="shared" si="43"/>
        <v>0</v>
      </c>
      <c r="AH227" s="902">
        <f t="shared" si="49"/>
        <v>0</v>
      </c>
      <c r="AI227" s="902">
        <f t="shared" si="51"/>
        <v>0</v>
      </c>
      <c r="AJ227" s="874">
        <f t="shared" si="45"/>
        <v>0</v>
      </c>
    </row>
    <row r="228" spans="1:36" s="930" customFormat="1" ht="26.1" customHeight="1">
      <c r="A228" s="882" t="s">
        <v>1861</v>
      </c>
      <c r="B228" s="920" t="s">
        <v>1862</v>
      </c>
      <c r="C228" s="932" t="s">
        <v>1863</v>
      </c>
      <c r="D228" s="923" t="s">
        <v>542</v>
      </c>
      <c r="E228" s="920" t="s">
        <v>1864</v>
      </c>
      <c r="F228" s="923" t="s">
        <v>378</v>
      </c>
      <c r="G228" s="932" t="s">
        <v>224</v>
      </c>
      <c r="H228" s="923"/>
      <c r="I228" s="923"/>
      <c r="J228" s="924">
        <v>0.19</v>
      </c>
      <c r="K228" s="932" t="s">
        <v>415</v>
      </c>
      <c r="L228" s="933"/>
      <c r="M228" s="984"/>
      <c r="N228" s="984"/>
      <c r="O228" s="984"/>
      <c r="P228" s="923" t="s">
        <v>1865</v>
      </c>
      <c r="Q228" s="932" t="s">
        <v>1866</v>
      </c>
      <c r="R228" s="940">
        <v>7052</v>
      </c>
      <c r="S228" s="940">
        <v>6079</v>
      </c>
      <c r="T228" s="923" t="s">
        <v>1867</v>
      </c>
      <c r="U228" s="1013"/>
      <c r="V228" s="923" t="s">
        <v>1868</v>
      </c>
      <c r="W228" s="932" t="s">
        <v>176</v>
      </c>
      <c r="X228" s="979">
        <v>1</v>
      </c>
      <c r="Y228" s="902">
        <v>120921</v>
      </c>
      <c r="Z228" s="1017"/>
      <c r="AA228" s="1017"/>
      <c r="AB228" s="1017"/>
      <c r="AC228" s="958">
        <v>120921</v>
      </c>
      <c r="AD228" s="1018"/>
      <c r="AE228" s="958">
        <v>120921</v>
      </c>
      <c r="AF228" s="902">
        <v>0</v>
      </c>
      <c r="AG228" s="874">
        <f t="shared" si="43"/>
        <v>0</v>
      </c>
      <c r="AH228" s="902">
        <f t="shared" si="49"/>
        <v>0</v>
      </c>
      <c r="AI228" s="902">
        <f t="shared" si="51"/>
        <v>0</v>
      </c>
      <c r="AJ228" s="874">
        <f t="shared" si="45"/>
        <v>0</v>
      </c>
    </row>
    <row r="229" spans="1:36" s="930" customFormat="1" ht="26.1" customHeight="1">
      <c r="A229" s="882" t="s">
        <v>1869</v>
      </c>
      <c r="B229" s="920" t="s">
        <v>1870</v>
      </c>
      <c r="C229" s="932" t="s">
        <v>1702</v>
      </c>
      <c r="D229" s="923" t="s">
        <v>386</v>
      </c>
      <c r="E229" s="920" t="s">
        <v>1871</v>
      </c>
      <c r="F229" s="923" t="s">
        <v>413</v>
      </c>
      <c r="G229" s="932" t="s">
        <v>183</v>
      </c>
      <c r="H229" s="923">
        <v>0.2</v>
      </c>
      <c r="I229" s="923" t="s">
        <v>1872</v>
      </c>
      <c r="J229" s="924"/>
      <c r="K229" s="932"/>
      <c r="L229" s="933">
        <v>7.0000000000000007E-2</v>
      </c>
      <c r="M229" s="984" t="s">
        <v>183</v>
      </c>
      <c r="N229" s="984"/>
      <c r="O229" s="984"/>
      <c r="P229" s="923" t="s">
        <v>1873</v>
      </c>
      <c r="Q229" s="932" t="s">
        <v>1874</v>
      </c>
      <c r="R229" s="940">
        <v>6399</v>
      </c>
      <c r="S229" s="940">
        <v>5957</v>
      </c>
      <c r="T229" s="923" t="s">
        <v>756</v>
      </c>
      <c r="U229" s="1013"/>
      <c r="V229" s="923" t="s">
        <v>1875</v>
      </c>
      <c r="W229" s="932" t="s">
        <v>176</v>
      </c>
      <c r="X229" s="979">
        <v>1</v>
      </c>
      <c r="Y229" s="902">
        <v>111029</v>
      </c>
      <c r="Z229" s="1017"/>
      <c r="AA229" s="1017"/>
      <c r="AB229" s="1017"/>
      <c r="AC229" s="958">
        <v>111029</v>
      </c>
      <c r="AD229" s="1018"/>
      <c r="AE229" s="958">
        <v>111029</v>
      </c>
      <c r="AF229" s="902">
        <v>0</v>
      </c>
      <c r="AG229" s="874">
        <f t="shared" si="43"/>
        <v>0</v>
      </c>
      <c r="AH229" s="902">
        <f t="shared" si="49"/>
        <v>0</v>
      </c>
      <c r="AI229" s="902">
        <f t="shared" si="51"/>
        <v>0</v>
      </c>
      <c r="AJ229" s="874">
        <f t="shared" si="45"/>
        <v>0</v>
      </c>
    </row>
    <row r="230" spans="1:36" s="930" customFormat="1" ht="26.1" customHeight="1">
      <c r="A230" s="882" t="s">
        <v>1876</v>
      </c>
      <c r="B230" s="920" t="s">
        <v>1877</v>
      </c>
      <c r="C230" s="932" t="s">
        <v>1878</v>
      </c>
      <c r="D230" s="923" t="s">
        <v>243</v>
      </c>
      <c r="E230" s="920" t="s">
        <v>1879</v>
      </c>
      <c r="F230" s="923" t="s">
        <v>388</v>
      </c>
      <c r="G230" s="932" t="s">
        <v>217</v>
      </c>
      <c r="H230" s="923"/>
      <c r="I230" s="923"/>
      <c r="J230" s="924">
        <v>0.32</v>
      </c>
      <c r="K230" s="932" t="s">
        <v>1880</v>
      </c>
      <c r="L230" s="933">
        <v>0.1</v>
      </c>
      <c r="M230" s="984" t="s">
        <v>217</v>
      </c>
      <c r="N230" s="984"/>
      <c r="O230" s="984"/>
      <c r="P230" s="923" t="s">
        <v>1881</v>
      </c>
      <c r="Q230" s="932" t="s">
        <v>1882</v>
      </c>
      <c r="R230" s="940">
        <v>8194</v>
      </c>
      <c r="S230" s="940">
        <v>7289</v>
      </c>
      <c r="T230" s="923" t="s">
        <v>1883</v>
      </c>
      <c r="U230" s="1013"/>
      <c r="V230" s="923" t="s">
        <v>1884</v>
      </c>
      <c r="W230" s="932" t="s">
        <v>265</v>
      </c>
      <c r="X230" s="979">
        <v>1</v>
      </c>
      <c r="Y230" s="902">
        <v>197897</v>
      </c>
      <c r="Z230" s="1017"/>
      <c r="AA230" s="1017"/>
      <c r="AB230" s="1017"/>
      <c r="AC230" s="958">
        <v>197897</v>
      </c>
      <c r="AD230" s="1018"/>
      <c r="AE230" s="958">
        <v>197897</v>
      </c>
      <c r="AF230" s="902">
        <v>1</v>
      </c>
      <c r="AG230" s="874">
        <f t="shared" si="43"/>
        <v>9992.6829268292695</v>
      </c>
      <c r="AH230" s="902">
        <f t="shared" si="49"/>
        <v>8194</v>
      </c>
      <c r="AI230" s="902">
        <f t="shared" si="51"/>
        <v>1798.6829268292695</v>
      </c>
      <c r="AJ230" s="874">
        <f t="shared" si="45"/>
        <v>9992.6829268292695</v>
      </c>
    </row>
    <row r="231" spans="1:36" s="930" customFormat="1" ht="26.1" customHeight="1">
      <c r="A231" s="882" t="s">
        <v>1885</v>
      </c>
      <c r="B231" s="920" t="s">
        <v>1886</v>
      </c>
      <c r="C231" s="932" t="s">
        <v>1887</v>
      </c>
      <c r="D231" s="923" t="s">
        <v>1020</v>
      </c>
      <c r="E231" s="920" t="s">
        <v>1888</v>
      </c>
      <c r="F231" s="923" t="s">
        <v>1889</v>
      </c>
      <c r="G231" s="932" t="s">
        <v>217</v>
      </c>
      <c r="H231" s="923"/>
      <c r="I231" s="923"/>
      <c r="J231" s="924">
        <v>0.32</v>
      </c>
      <c r="K231" s="932" t="s">
        <v>132</v>
      </c>
      <c r="L231" s="933">
        <v>0.05</v>
      </c>
      <c r="M231" s="984" t="s">
        <v>217</v>
      </c>
      <c r="N231" s="984"/>
      <c r="O231" s="984"/>
      <c r="P231" s="923" t="s">
        <v>1696</v>
      </c>
      <c r="Q231" s="932" t="s">
        <v>1890</v>
      </c>
      <c r="R231" s="940">
        <v>9594</v>
      </c>
      <c r="S231" s="940">
        <v>8243</v>
      </c>
      <c r="T231" s="923" t="s">
        <v>1891</v>
      </c>
      <c r="U231" s="1013"/>
      <c r="V231" s="923" t="s">
        <v>1628</v>
      </c>
      <c r="W231" s="932" t="s">
        <v>252</v>
      </c>
      <c r="X231" s="979">
        <v>1</v>
      </c>
      <c r="Y231" s="902">
        <v>206098</v>
      </c>
      <c r="Z231" s="1017"/>
      <c r="AA231" s="1017"/>
      <c r="AB231" s="1017"/>
      <c r="AC231" s="958">
        <v>206098</v>
      </c>
      <c r="AD231" s="1018"/>
      <c r="AE231" s="958">
        <v>206098</v>
      </c>
      <c r="AF231" s="902">
        <v>5</v>
      </c>
      <c r="AG231" s="874">
        <f t="shared" si="43"/>
        <v>58500</v>
      </c>
      <c r="AH231" s="902">
        <f t="shared" si="49"/>
        <v>47970</v>
      </c>
      <c r="AI231" s="902">
        <f t="shared" si="51"/>
        <v>10530</v>
      </c>
      <c r="AJ231" s="874">
        <f t="shared" si="45"/>
        <v>58500</v>
      </c>
    </row>
    <row r="232" spans="1:36" s="930" customFormat="1" ht="26.1" customHeight="1">
      <c r="A232" s="882" t="s">
        <v>1892</v>
      </c>
      <c r="B232" s="920" t="s">
        <v>1893</v>
      </c>
      <c r="C232" s="932" t="s">
        <v>1894</v>
      </c>
      <c r="D232" s="923" t="s">
        <v>1020</v>
      </c>
      <c r="E232" s="920" t="s">
        <v>1895</v>
      </c>
      <c r="F232" s="923" t="s">
        <v>1896</v>
      </c>
      <c r="G232" s="932" t="s">
        <v>217</v>
      </c>
      <c r="H232" s="923"/>
      <c r="I232" s="923"/>
      <c r="J232" s="924">
        <v>0.32</v>
      </c>
      <c r="K232" s="932" t="s">
        <v>132</v>
      </c>
      <c r="L232" s="933">
        <v>0.08</v>
      </c>
      <c r="M232" s="984" t="s">
        <v>217</v>
      </c>
      <c r="N232" s="984"/>
      <c r="O232" s="984"/>
      <c r="P232" s="923" t="s">
        <v>929</v>
      </c>
      <c r="Q232" s="932" t="s">
        <v>1897</v>
      </c>
      <c r="R232" s="940">
        <v>9868</v>
      </c>
      <c r="S232" s="940">
        <v>8626</v>
      </c>
      <c r="T232" s="923" t="s">
        <v>162</v>
      </c>
      <c r="U232" s="1013"/>
      <c r="V232" s="923" t="s">
        <v>1898</v>
      </c>
      <c r="W232" s="932" t="s">
        <v>252</v>
      </c>
      <c r="X232" s="979">
        <v>1</v>
      </c>
      <c r="Y232" s="902">
        <v>172520</v>
      </c>
      <c r="Z232" s="1017"/>
      <c r="AA232" s="1017"/>
      <c r="AB232" s="1017"/>
      <c r="AC232" s="958">
        <v>172520</v>
      </c>
      <c r="AD232" s="1018"/>
      <c r="AE232" s="958">
        <v>172520</v>
      </c>
      <c r="AF232" s="902">
        <v>5</v>
      </c>
      <c r="AG232" s="874">
        <f t="shared" si="43"/>
        <v>60170.731707317078</v>
      </c>
      <c r="AH232" s="902">
        <f t="shared" si="49"/>
        <v>49340</v>
      </c>
      <c r="AI232" s="902">
        <f t="shared" si="51"/>
        <v>10830.731707317078</v>
      </c>
      <c r="AJ232" s="874">
        <f t="shared" si="45"/>
        <v>60170.731707317078</v>
      </c>
    </row>
    <row r="233" spans="1:36" s="930" customFormat="1" ht="26.1" customHeight="1">
      <c r="A233" s="882" t="s">
        <v>1899</v>
      </c>
      <c r="B233" s="920" t="s">
        <v>1900</v>
      </c>
      <c r="C233" s="932" t="s">
        <v>1901</v>
      </c>
      <c r="D233" s="923" t="s">
        <v>595</v>
      </c>
      <c r="E233" s="920" t="s">
        <v>1902</v>
      </c>
      <c r="F233" s="923" t="s">
        <v>1903</v>
      </c>
      <c r="G233" s="932" t="s">
        <v>367</v>
      </c>
      <c r="H233" s="923">
        <v>0.3</v>
      </c>
      <c r="I233" s="923" t="s">
        <v>1904</v>
      </c>
      <c r="J233" s="924">
        <v>0.36</v>
      </c>
      <c r="K233" s="932" t="s">
        <v>132</v>
      </c>
      <c r="L233" s="933">
        <v>0.17</v>
      </c>
      <c r="M233" s="984" t="s">
        <v>367</v>
      </c>
      <c r="N233" s="984"/>
      <c r="O233" s="984"/>
      <c r="P233" s="923" t="s">
        <v>1905</v>
      </c>
      <c r="Q233" s="932" t="s">
        <v>1620</v>
      </c>
      <c r="R233" s="940">
        <v>9547</v>
      </c>
      <c r="S233" s="940">
        <v>8221</v>
      </c>
      <c r="T233" s="923" t="s">
        <v>1906</v>
      </c>
      <c r="U233" s="1013"/>
      <c r="V233" s="923" t="s">
        <v>1907</v>
      </c>
      <c r="W233" s="932" t="s">
        <v>521</v>
      </c>
      <c r="X233" s="979">
        <v>1</v>
      </c>
      <c r="Y233" s="902">
        <v>229688</v>
      </c>
      <c r="Z233" s="1017"/>
      <c r="AA233" s="1017"/>
      <c r="AB233" s="1017"/>
      <c r="AC233" s="958">
        <v>229688</v>
      </c>
      <c r="AD233" s="1018"/>
      <c r="AE233" s="958">
        <v>229688</v>
      </c>
      <c r="AF233" s="902">
        <v>4</v>
      </c>
      <c r="AG233" s="874">
        <f t="shared" si="43"/>
        <v>46570.731707317078</v>
      </c>
      <c r="AH233" s="902">
        <f t="shared" si="49"/>
        <v>38188</v>
      </c>
      <c r="AI233" s="902">
        <f t="shared" si="51"/>
        <v>8382.731707317078</v>
      </c>
      <c r="AJ233" s="874">
        <f t="shared" si="45"/>
        <v>46570.731707317078</v>
      </c>
    </row>
    <row r="234" spans="1:36" s="878" customFormat="1" ht="38.25" customHeight="1">
      <c r="A234" s="882" t="s">
        <v>1908</v>
      </c>
      <c r="B234" s="885" t="s">
        <v>1909</v>
      </c>
      <c r="C234" s="880" t="s">
        <v>1910</v>
      </c>
      <c r="D234" s="881" t="s">
        <v>180</v>
      </c>
      <c r="E234" s="885" t="s">
        <v>1911</v>
      </c>
      <c r="F234" s="881" t="s">
        <v>472</v>
      </c>
      <c r="G234" s="880" t="s">
        <v>183</v>
      </c>
      <c r="H234" s="881">
        <v>0.3</v>
      </c>
      <c r="I234" s="881" t="s">
        <v>1912</v>
      </c>
      <c r="J234" s="914">
        <v>0.32</v>
      </c>
      <c r="K234" s="880" t="s">
        <v>183</v>
      </c>
      <c r="L234" s="865">
        <v>0.12</v>
      </c>
      <c r="M234" s="899" t="s">
        <v>183</v>
      </c>
      <c r="N234" s="899"/>
      <c r="O234" s="899"/>
      <c r="P234" s="881" t="s">
        <v>1400</v>
      </c>
      <c r="Q234" s="880" t="s">
        <v>188</v>
      </c>
      <c r="R234" s="872">
        <v>10785</v>
      </c>
      <c r="S234" s="872">
        <v>9307</v>
      </c>
      <c r="T234" s="881" t="s">
        <v>1913</v>
      </c>
      <c r="U234" s="901"/>
      <c r="V234" s="881" t="s">
        <v>1914</v>
      </c>
      <c r="W234" s="880" t="s">
        <v>252</v>
      </c>
      <c r="X234" s="893">
        <v>1</v>
      </c>
      <c r="Y234" s="874">
        <v>176847</v>
      </c>
      <c r="Z234" s="1022"/>
      <c r="AA234" s="1022"/>
      <c r="AB234" s="1022"/>
      <c r="AC234" s="876">
        <v>176847</v>
      </c>
      <c r="AD234" s="1023"/>
      <c r="AE234" s="876">
        <v>176847</v>
      </c>
      <c r="AF234" s="874">
        <v>5</v>
      </c>
      <c r="AG234" s="874">
        <f t="shared" si="43"/>
        <v>71900</v>
      </c>
      <c r="AH234" s="874">
        <f t="shared" si="49"/>
        <v>53925</v>
      </c>
      <c r="AI234" s="874">
        <f>((AH234*100%)/75%)-AH234</f>
        <v>17975</v>
      </c>
      <c r="AJ234" s="874">
        <f t="shared" si="45"/>
        <v>71900</v>
      </c>
    </row>
    <row r="235" spans="1:36" s="878" customFormat="1" ht="26.1" customHeight="1">
      <c r="A235" s="882" t="s">
        <v>1915</v>
      </c>
      <c r="B235" s="885" t="s">
        <v>1916</v>
      </c>
      <c r="C235" s="880" t="s">
        <v>459</v>
      </c>
      <c r="D235" s="881" t="s">
        <v>1686</v>
      </c>
      <c r="E235" s="885" t="s">
        <v>1917</v>
      </c>
      <c r="F235" s="881" t="s">
        <v>973</v>
      </c>
      <c r="G235" s="880" t="s">
        <v>1918</v>
      </c>
      <c r="H235" s="881">
        <v>0.3</v>
      </c>
      <c r="I235" s="881" t="s">
        <v>1919</v>
      </c>
      <c r="J235" s="914"/>
      <c r="K235" s="880"/>
      <c r="L235" s="865"/>
      <c r="M235" s="899"/>
      <c r="N235" s="899"/>
      <c r="O235" s="899"/>
      <c r="P235" s="881" t="s">
        <v>1920</v>
      </c>
      <c r="Q235" s="880" t="s">
        <v>1921</v>
      </c>
      <c r="R235" s="872">
        <v>5546</v>
      </c>
      <c r="S235" s="872">
        <v>4756</v>
      </c>
      <c r="T235" s="881" t="s">
        <v>1627</v>
      </c>
      <c r="U235" s="901"/>
      <c r="V235" s="881" t="s">
        <v>1380</v>
      </c>
      <c r="W235" s="880" t="s">
        <v>176</v>
      </c>
      <c r="X235" s="893">
        <v>1</v>
      </c>
      <c r="Y235" s="874">
        <v>113503</v>
      </c>
      <c r="Z235" s="1022"/>
      <c r="AA235" s="1022"/>
      <c r="AB235" s="1022"/>
      <c r="AC235" s="876">
        <v>113503</v>
      </c>
      <c r="AD235" s="1023"/>
      <c r="AE235" s="876">
        <v>113503</v>
      </c>
      <c r="AF235" s="874">
        <v>0</v>
      </c>
      <c r="AG235" s="874">
        <f t="shared" si="43"/>
        <v>0</v>
      </c>
      <c r="AH235" s="874">
        <f t="shared" si="49"/>
        <v>0</v>
      </c>
      <c r="AI235" s="902">
        <f>((AH235*100%)/75%)-AH235</f>
        <v>0</v>
      </c>
      <c r="AJ235" s="874">
        <f t="shared" si="45"/>
        <v>0</v>
      </c>
    </row>
    <row r="236" spans="1:36" s="930" customFormat="1" ht="33" customHeight="1">
      <c r="A236" s="882" t="s">
        <v>1922</v>
      </c>
      <c r="B236" s="920" t="s">
        <v>1923</v>
      </c>
      <c r="C236" s="932">
        <v>26924</v>
      </c>
      <c r="D236" s="923" t="s">
        <v>1924</v>
      </c>
      <c r="E236" s="920" t="s">
        <v>1925</v>
      </c>
      <c r="F236" s="923" t="s">
        <v>884</v>
      </c>
      <c r="G236" s="932" t="s">
        <v>224</v>
      </c>
      <c r="H236" s="923"/>
      <c r="I236" s="923"/>
      <c r="J236" s="924"/>
      <c r="K236" s="932"/>
      <c r="L236" s="933"/>
      <c r="M236" s="984"/>
      <c r="N236" s="984"/>
      <c r="O236" s="984"/>
      <c r="P236" s="923" t="s">
        <v>160</v>
      </c>
      <c r="Q236" s="932" t="s">
        <v>1926</v>
      </c>
      <c r="R236" s="940">
        <v>9416</v>
      </c>
      <c r="S236" s="940">
        <v>7375</v>
      </c>
      <c r="T236" s="923" t="s">
        <v>1927</v>
      </c>
      <c r="U236" s="1013"/>
      <c r="V236" s="923" t="s">
        <v>1928</v>
      </c>
      <c r="W236" s="932" t="s">
        <v>564</v>
      </c>
      <c r="X236" s="979">
        <v>1</v>
      </c>
      <c r="Y236" s="902"/>
      <c r="Z236" s="1017"/>
      <c r="AA236" s="1017">
        <v>304813</v>
      </c>
      <c r="AB236" s="1017"/>
      <c r="AC236" s="958">
        <v>304813</v>
      </c>
      <c r="AD236" s="958">
        <v>28249</v>
      </c>
      <c r="AE236" s="958">
        <v>276564</v>
      </c>
      <c r="AF236" s="902">
        <v>2</v>
      </c>
      <c r="AG236" s="874">
        <f t="shared" si="43"/>
        <v>25109.333333333332</v>
      </c>
      <c r="AH236" s="902">
        <f t="shared" si="49"/>
        <v>18832</v>
      </c>
      <c r="AI236" s="902">
        <f>((AH236*100%)/75%)-AH236</f>
        <v>6277.3333333333321</v>
      </c>
      <c r="AJ236" s="874">
        <f t="shared" si="45"/>
        <v>-3139.6666666666679</v>
      </c>
    </row>
    <row r="237" spans="1:36" s="930" customFormat="1" ht="26.1" customHeight="1">
      <c r="A237" s="882" t="s">
        <v>1929</v>
      </c>
      <c r="B237" s="920" t="s">
        <v>1930</v>
      </c>
      <c r="C237" s="932" t="s">
        <v>1931</v>
      </c>
      <c r="D237" s="923"/>
      <c r="E237" s="920" t="s">
        <v>1932</v>
      </c>
      <c r="F237" s="923" t="s">
        <v>209</v>
      </c>
      <c r="G237" s="932" t="s">
        <v>260</v>
      </c>
      <c r="H237" s="923"/>
      <c r="I237" s="923"/>
      <c r="J237" s="924"/>
      <c r="K237" s="932"/>
      <c r="L237" s="933"/>
      <c r="M237" s="984"/>
      <c r="N237" s="984"/>
      <c r="O237" s="984"/>
      <c r="P237" s="923" t="s">
        <v>216</v>
      </c>
      <c r="Q237" s="932" t="s">
        <v>1933</v>
      </c>
      <c r="R237" s="940">
        <v>1467</v>
      </c>
      <c r="S237" s="940">
        <v>1384</v>
      </c>
      <c r="T237" s="923" t="s">
        <v>1934</v>
      </c>
      <c r="U237" s="1013"/>
      <c r="V237" s="923" t="s">
        <v>1935</v>
      </c>
      <c r="W237" s="932" t="s">
        <v>252</v>
      </c>
      <c r="X237" s="979">
        <v>1</v>
      </c>
      <c r="Y237" s="902"/>
      <c r="Z237" s="1017"/>
      <c r="AA237" s="1017">
        <v>14269</v>
      </c>
      <c r="AB237" s="1017"/>
      <c r="AC237" s="958">
        <v>14269</v>
      </c>
      <c r="AD237" s="1018">
        <v>14269</v>
      </c>
      <c r="AE237" s="958"/>
      <c r="AF237" s="902">
        <v>5</v>
      </c>
      <c r="AG237" s="874">
        <f t="shared" si="43"/>
        <v>7335</v>
      </c>
      <c r="AH237" s="902">
        <f t="shared" si="49"/>
        <v>7335</v>
      </c>
      <c r="AI237" s="902"/>
      <c r="AJ237" s="874">
        <f t="shared" si="45"/>
        <v>-6934</v>
      </c>
    </row>
    <row r="238" spans="1:36" s="930" customFormat="1" ht="26.1" customHeight="1">
      <c r="A238" s="882" t="s">
        <v>1936</v>
      </c>
      <c r="B238" s="920" t="s">
        <v>1937</v>
      </c>
      <c r="C238" s="932" t="s">
        <v>1938</v>
      </c>
      <c r="D238" s="923"/>
      <c r="E238" s="920" t="s">
        <v>1939</v>
      </c>
      <c r="F238" s="923" t="s">
        <v>223</v>
      </c>
      <c r="G238" s="932" t="s">
        <v>1795</v>
      </c>
      <c r="H238" s="923"/>
      <c r="I238" s="923"/>
      <c r="J238" s="924"/>
      <c r="K238" s="932"/>
      <c r="L238" s="933"/>
      <c r="M238" s="984"/>
      <c r="N238" s="984"/>
      <c r="O238" s="984"/>
      <c r="P238" s="923" t="s">
        <v>225</v>
      </c>
      <c r="Q238" s="932" t="s">
        <v>1940</v>
      </c>
      <c r="R238" s="940">
        <v>2090</v>
      </c>
      <c r="S238" s="940">
        <v>2010</v>
      </c>
      <c r="T238" s="923" t="s">
        <v>1941</v>
      </c>
      <c r="U238" s="1013"/>
      <c r="V238" s="923" t="s">
        <v>1942</v>
      </c>
      <c r="W238" s="932" t="s">
        <v>252</v>
      </c>
      <c r="X238" s="979">
        <v>1</v>
      </c>
      <c r="Y238" s="902"/>
      <c r="Z238" s="1017"/>
      <c r="AA238" s="1017">
        <v>20573</v>
      </c>
      <c r="AB238" s="1017"/>
      <c r="AC238" s="958">
        <v>20573</v>
      </c>
      <c r="AD238" s="1018">
        <v>20573</v>
      </c>
      <c r="AE238" s="958"/>
      <c r="AF238" s="902">
        <v>5</v>
      </c>
      <c r="AG238" s="874">
        <f t="shared" si="43"/>
        <v>10450</v>
      </c>
      <c r="AH238" s="902">
        <f t="shared" si="49"/>
        <v>10450</v>
      </c>
      <c r="AI238" s="902"/>
      <c r="AJ238" s="874">
        <f t="shared" si="45"/>
        <v>-10123</v>
      </c>
    </row>
    <row r="239" spans="1:36" s="930" customFormat="1" ht="26.1" customHeight="1">
      <c r="A239" s="882" t="s">
        <v>1943</v>
      </c>
      <c r="B239" s="920" t="s">
        <v>1944</v>
      </c>
      <c r="C239" s="932" t="s">
        <v>1945</v>
      </c>
      <c r="D239" s="923"/>
      <c r="E239" s="920" t="s">
        <v>1946</v>
      </c>
      <c r="F239" s="923" t="s">
        <v>216</v>
      </c>
      <c r="G239" s="932" t="s">
        <v>1368</v>
      </c>
      <c r="H239" s="923"/>
      <c r="I239" s="923"/>
      <c r="J239" s="924"/>
      <c r="K239" s="932"/>
      <c r="L239" s="933"/>
      <c r="M239" s="984"/>
      <c r="N239" s="984"/>
      <c r="O239" s="984"/>
      <c r="P239" s="923"/>
      <c r="Q239" s="932"/>
      <c r="R239" s="940">
        <v>1390</v>
      </c>
      <c r="S239" s="940">
        <v>1346</v>
      </c>
      <c r="T239" s="923" t="s">
        <v>1947</v>
      </c>
      <c r="U239" s="1013"/>
      <c r="V239" s="923" t="s">
        <v>1948</v>
      </c>
      <c r="W239" s="932">
        <v>43647</v>
      </c>
      <c r="X239" s="979">
        <v>1</v>
      </c>
      <c r="Y239" s="902"/>
      <c r="Z239" s="1017"/>
      <c r="AA239" s="1017">
        <v>8210</v>
      </c>
      <c r="AB239" s="1017"/>
      <c r="AC239" s="958">
        <v>8210</v>
      </c>
      <c r="AD239" s="1018">
        <v>8210</v>
      </c>
      <c r="AE239" s="958"/>
      <c r="AF239" s="902">
        <v>5</v>
      </c>
      <c r="AG239" s="874">
        <f t="shared" si="43"/>
        <v>6950</v>
      </c>
      <c r="AH239" s="902">
        <f t="shared" si="49"/>
        <v>6950</v>
      </c>
      <c r="AI239" s="902"/>
      <c r="AJ239" s="874">
        <f t="shared" si="45"/>
        <v>-1260</v>
      </c>
    </row>
    <row r="240" spans="1:36" s="930" customFormat="1" ht="26.1" customHeight="1">
      <c r="A240" s="882" t="s">
        <v>1949</v>
      </c>
      <c r="B240" s="920" t="s">
        <v>1950</v>
      </c>
      <c r="C240" s="932">
        <v>27373</v>
      </c>
      <c r="D240" s="923"/>
      <c r="E240" s="920" t="s">
        <v>1951</v>
      </c>
      <c r="F240" s="923" t="s">
        <v>223</v>
      </c>
      <c r="G240" s="932" t="s">
        <v>1795</v>
      </c>
      <c r="H240" s="923"/>
      <c r="I240" s="923"/>
      <c r="J240" s="924"/>
      <c r="K240" s="932"/>
      <c r="L240" s="933"/>
      <c r="M240" s="984"/>
      <c r="N240" s="984"/>
      <c r="O240" s="984"/>
      <c r="P240" s="923" t="s">
        <v>225</v>
      </c>
      <c r="Q240" s="932" t="s">
        <v>1940</v>
      </c>
      <c r="R240" s="940">
        <v>2090</v>
      </c>
      <c r="S240" s="940">
        <v>2010</v>
      </c>
      <c r="T240" s="923" t="s">
        <v>1941</v>
      </c>
      <c r="U240" s="1013"/>
      <c r="V240" s="923" t="s">
        <v>1952</v>
      </c>
      <c r="W240" s="932">
        <v>43647</v>
      </c>
      <c r="X240" s="979">
        <v>1</v>
      </c>
      <c r="Y240" s="902"/>
      <c r="Z240" s="1017"/>
      <c r="AA240" s="1017">
        <v>20573</v>
      </c>
      <c r="AB240" s="1017"/>
      <c r="AC240" s="958">
        <v>20573</v>
      </c>
      <c r="AD240" s="1018">
        <v>20573</v>
      </c>
      <c r="AE240" s="958"/>
      <c r="AF240" s="902">
        <v>5</v>
      </c>
      <c r="AG240" s="874">
        <f t="shared" si="43"/>
        <v>10450</v>
      </c>
      <c r="AH240" s="902">
        <f t="shared" si="49"/>
        <v>10450</v>
      </c>
      <c r="AI240" s="902"/>
      <c r="AJ240" s="874">
        <f t="shared" si="45"/>
        <v>-10123</v>
      </c>
    </row>
    <row r="241" spans="1:36" s="930" customFormat="1" ht="26.1" customHeight="1">
      <c r="A241" s="882" t="s">
        <v>1953</v>
      </c>
      <c r="B241" s="920" t="s">
        <v>1954</v>
      </c>
      <c r="C241" s="932">
        <v>25204</v>
      </c>
      <c r="D241" s="923"/>
      <c r="E241" s="920" t="s">
        <v>1955</v>
      </c>
      <c r="F241" s="923" t="s">
        <v>209</v>
      </c>
      <c r="G241" s="932" t="s">
        <v>260</v>
      </c>
      <c r="H241" s="923"/>
      <c r="I241" s="923"/>
      <c r="J241" s="924"/>
      <c r="K241" s="932"/>
      <c r="L241" s="933"/>
      <c r="M241" s="984"/>
      <c r="N241" s="984"/>
      <c r="O241" s="984"/>
      <c r="P241" s="923" t="s">
        <v>216</v>
      </c>
      <c r="Q241" s="932" t="s">
        <v>1933</v>
      </c>
      <c r="R241" s="940">
        <v>1467</v>
      </c>
      <c r="S241" s="940">
        <v>1384</v>
      </c>
      <c r="T241" s="923" t="s">
        <v>1956</v>
      </c>
      <c r="U241" s="1013"/>
      <c r="V241" s="923" t="s">
        <v>1957</v>
      </c>
      <c r="W241" s="932">
        <v>43647</v>
      </c>
      <c r="X241" s="979">
        <v>1</v>
      </c>
      <c r="Y241" s="902"/>
      <c r="Z241" s="1017"/>
      <c r="AA241" s="1017">
        <v>14356</v>
      </c>
      <c r="AB241" s="1017"/>
      <c r="AC241" s="958">
        <v>14356</v>
      </c>
      <c r="AD241" s="1018">
        <v>14356</v>
      </c>
      <c r="AE241" s="958"/>
      <c r="AF241" s="902">
        <v>5</v>
      </c>
      <c r="AG241" s="874">
        <f t="shared" si="43"/>
        <v>7335</v>
      </c>
      <c r="AH241" s="902">
        <f t="shared" si="49"/>
        <v>7335</v>
      </c>
      <c r="AI241" s="902"/>
      <c r="AJ241" s="874">
        <f t="shared" si="45"/>
        <v>-7021</v>
      </c>
    </row>
    <row r="242" spans="1:36" s="930" customFormat="1" ht="26.1" customHeight="1">
      <c r="A242" s="882" t="s">
        <v>1958</v>
      </c>
      <c r="B242" s="920" t="s">
        <v>1959</v>
      </c>
      <c r="C242" s="932">
        <v>26546</v>
      </c>
      <c r="D242" s="923"/>
      <c r="E242" s="920" t="s">
        <v>1960</v>
      </c>
      <c r="F242" s="923" t="s">
        <v>223</v>
      </c>
      <c r="G242" s="932" t="s">
        <v>1795</v>
      </c>
      <c r="H242" s="923"/>
      <c r="I242" s="923"/>
      <c r="J242" s="924"/>
      <c r="K242" s="932"/>
      <c r="L242" s="933"/>
      <c r="M242" s="984"/>
      <c r="N242" s="984"/>
      <c r="O242" s="984"/>
      <c r="P242" s="923" t="s">
        <v>225</v>
      </c>
      <c r="Q242" s="932" t="s">
        <v>1940</v>
      </c>
      <c r="R242" s="940">
        <v>2090</v>
      </c>
      <c r="S242" s="940">
        <v>2010</v>
      </c>
      <c r="T242" s="923" t="s">
        <v>1961</v>
      </c>
      <c r="U242" s="1013"/>
      <c r="V242" s="923" t="s">
        <v>1962</v>
      </c>
      <c r="W242" s="932">
        <v>43647</v>
      </c>
      <c r="X242" s="979">
        <v>1</v>
      </c>
      <c r="Y242" s="902"/>
      <c r="Z242" s="1017"/>
      <c r="AA242" s="1017">
        <v>20573</v>
      </c>
      <c r="AB242" s="1017"/>
      <c r="AC242" s="958">
        <v>20573</v>
      </c>
      <c r="AD242" s="1018">
        <v>20573</v>
      </c>
      <c r="AE242" s="958"/>
      <c r="AF242" s="902">
        <v>5</v>
      </c>
      <c r="AG242" s="874">
        <f t="shared" si="43"/>
        <v>10450</v>
      </c>
      <c r="AH242" s="902">
        <f t="shared" si="49"/>
        <v>10450</v>
      </c>
      <c r="AI242" s="902"/>
      <c r="AJ242" s="874">
        <f t="shared" si="45"/>
        <v>-10123</v>
      </c>
    </row>
    <row r="243" spans="1:36" s="930" customFormat="1" ht="26.1" customHeight="1">
      <c r="A243" s="882" t="s">
        <v>1963</v>
      </c>
      <c r="B243" s="920" t="s">
        <v>1964</v>
      </c>
      <c r="C243" s="932">
        <v>34613</v>
      </c>
      <c r="D243" s="923"/>
      <c r="E243" s="920" t="s">
        <v>1965</v>
      </c>
      <c r="F243" s="923" t="s">
        <v>209</v>
      </c>
      <c r="G243" s="932" t="s">
        <v>260</v>
      </c>
      <c r="H243" s="923"/>
      <c r="I243" s="923"/>
      <c r="J243" s="924"/>
      <c r="K243" s="932"/>
      <c r="L243" s="933"/>
      <c r="M243" s="984"/>
      <c r="N243" s="984"/>
      <c r="O243" s="984"/>
      <c r="P243" s="923" t="s">
        <v>216</v>
      </c>
      <c r="Q243" s="932" t="s">
        <v>1966</v>
      </c>
      <c r="R243" s="940">
        <v>1467</v>
      </c>
      <c r="S243" s="940">
        <v>1417</v>
      </c>
      <c r="T243" s="923" t="s">
        <v>1967</v>
      </c>
      <c r="U243" s="1013"/>
      <c r="V243" s="923" t="s">
        <v>1968</v>
      </c>
      <c r="W243" s="932">
        <v>43647</v>
      </c>
      <c r="X243" s="979">
        <v>1</v>
      </c>
      <c r="Y243" s="902"/>
      <c r="Z243" s="1017"/>
      <c r="AA243" s="1017">
        <v>13425</v>
      </c>
      <c r="AB243" s="1017"/>
      <c r="AC243" s="958">
        <v>13425</v>
      </c>
      <c r="AD243" s="1018">
        <v>13425</v>
      </c>
      <c r="AE243" s="958"/>
      <c r="AF243" s="902">
        <v>5</v>
      </c>
      <c r="AG243" s="874">
        <f t="shared" si="43"/>
        <v>7335</v>
      </c>
      <c r="AH243" s="902">
        <f t="shared" si="49"/>
        <v>7335</v>
      </c>
      <c r="AI243" s="902"/>
      <c r="AJ243" s="874">
        <f t="shared" si="45"/>
        <v>-6090</v>
      </c>
    </row>
    <row r="244" spans="1:36" s="930" customFormat="1" ht="26.1" customHeight="1">
      <c r="A244" s="882" t="s">
        <v>1969</v>
      </c>
      <c r="B244" s="920" t="s">
        <v>1970</v>
      </c>
      <c r="C244" s="932">
        <v>29823</v>
      </c>
      <c r="D244" s="923"/>
      <c r="E244" s="920" t="s">
        <v>1971</v>
      </c>
      <c r="F244" s="923" t="s">
        <v>223</v>
      </c>
      <c r="G244" s="932" t="s">
        <v>1795</v>
      </c>
      <c r="H244" s="923"/>
      <c r="I244" s="923"/>
      <c r="J244" s="924"/>
      <c r="K244" s="932"/>
      <c r="L244" s="933"/>
      <c r="M244" s="984"/>
      <c r="N244" s="984"/>
      <c r="O244" s="984"/>
      <c r="P244" s="923" t="s">
        <v>225</v>
      </c>
      <c r="Q244" s="932" t="s">
        <v>1940</v>
      </c>
      <c r="R244" s="940">
        <v>2090</v>
      </c>
      <c r="S244" s="940">
        <v>2010</v>
      </c>
      <c r="T244" s="923" t="s">
        <v>1941</v>
      </c>
      <c r="U244" s="1013"/>
      <c r="V244" s="923" t="s">
        <v>1972</v>
      </c>
      <c r="W244" s="932">
        <v>43647</v>
      </c>
      <c r="X244" s="979">
        <v>1</v>
      </c>
      <c r="Y244" s="902"/>
      <c r="Z244" s="1017"/>
      <c r="AA244" s="1017">
        <v>20574</v>
      </c>
      <c r="AB244" s="1017"/>
      <c r="AC244" s="958">
        <v>20574</v>
      </c>
      <c r="AD244" s="1018">
        <v>20574</v>
      </c>
      <c r="AE244" s="958"/>
      <c r="AF244" s="902">
        <v>5</v>
      </c>
      <c r="AG244" s="874">
        <f t="shared" si="43"/>
        <v>10450</v>
      </c>
      <c r="AH244" s="902">
        <f t="shared" si="49"/>
        <v>10450</v>
      </c>
      <c r="AI244" s="902"/>
      <c r="AJ244" s="874">
        <f t="shared" si="45"/>
        <v>-10124</v>
      </c>
    </row>
    <row r="245" spans="1:36" s="930" customFormat="1" ht="26.1" customHeight="1">
      <c r="A245" s="882" t="s">
        <v>1973</v>
      </c>
      <c r="B245" s="920" t="s">
        <v>1974</v>
      </c>
      <c r="C245" s="932" t="s">
        <v>1975</v>
      </c>
      <c r="D245" s="923" t="s">
        <v>1261</v>
      </c>
      <c r="E245" s="920" t="s">
        <v>1976</v>
      </c>
      <c r="F245" s="923" t="s">
        <v>1418</v>
      </c>
      <c r="G245" s="932" t="s">
        <v>336</v>
      </c>
      <c r="H245" s="923"/>
      <c r="I245" s="923"/>
      <c r="J245" s="924">
        <v>0.31</v>
      </c>
      <c r="K245" s="932" t="s">
        <v>367</v>
      </c>
      <c r="L245" s="933" t="s">
        <v>1421</v>
      </c>
      <c r="M245" s="984" t="s">
        <v>336</v>
      </c>
      <c r="N245" s="984"/>
      <c r="O245" s="984"/>
      <c r="P245" s="923" t="s">
        <v>1977</v>
      </c>
      <c r="Q245" s="932" t="s">
        <v>1978</v>
      </c>
      <c r="R245" s="940">
        <v>11415</v>
      </c>
      <c r="S245" s="940">
        <v>8987</v>
      </c>
      <c r="T245" s="923" t="s">
        <v>1979</v>
      </c>
      <c r="U245" s="1013"/>
      <c r="V245" s="923" t="s">
        <v>1980</v>
      </c>
      <c r="W245" s="932" t="s">
        <v>314</v>
      </c>
      <c r="X245" s="979">
        <v>1</v>
      </c>
      <c r="Y245" s="902">
        <v>206713</v>
      </c>
      <c r="Z245" s="1017"/>
      <c r="AA245" s="1017"/>
      <c r="AB245" s="1017"/>
      <c r="AC245" s="958">
        <v>206713</v>
      </c>
      <c r="AD245" s="1018"/>
      <c r="AE245" s="958">
        <v>206713</v>
      </c>
      <c r="AF245" s="902">
        <v>3</v>
      </c>
      <c r="AG245" s="874">
        <f t="shared" si="43"/>
        <v>41762.195121951219</v>
      </c>
      <c r="AH245" s="902">
        <f t="shared" si="49"/>
        <v>34245</v>
      </c>
      <c r="AI245" s="902">
        <f t="shared" ref="AI245:AI260" si="52">((AH245*100%)/82%)-AH245</f>
        <v>7517.1951219512193</v>
      </c>
      <c r="AJ245" s="874">
        <f t="shared" si="45"/>
        <v>41762.195121951219</v>
      </c>
    </row>
    <row r="246" spans="1:36" s="930" customFormat="1" ht="26.1" customHeight="1">
      <c r="A246" s="882" t="s">
        <v>1981</v>
      </c>
      <c r="B246" s="920" t="s">
        <v>1982</v>
      </c>
      <c r="C246" s="932" t="s">
        <v>1983</v>
      </c>
      <c r="D246" s="923" t="s">
        <v>243</v>
      </c>
      <c r="E246" s="920" t="s">
        <v>1984</v>
      </c>
      <c r="F246" s="923" t="s">
        <v>131</v>
      </c>
      <c r="G246" s="932" t="s">
        <v>873</v>
      </c>
      <c r="H246" s="923"/>
      <c r="I246" s="923"/>
      <c r="J246" s="924">
        <v>0.22</v>
      </c>
      <c r="K246" s="932" t="s">
        <v>516</v>
      </c>
      <c r="L246" s="933"/>
      <c r="M246" s="984"/>
      <c r="N246" s="984"/>
      <c r="O246" s="984"/>
      <c r="P246" s="923" t="s">
        <v>160</v>
      </c>
      <c r="Q246" s="932" t="s">
        <v>1985</v>
      </c>
      <c r="R246" s="940">
        <v>9261</v>
      </c>
      <c r="S246" s="940">
        <v>6771</v>
      </c>
      <c r="T246" s="923" t="s">
        <v>1986</v>
      </c>
      <c r="U246" s="1013"/>
      <c r="V246" s="923" t="s">
        <v>1987</v>
      </c>
      <c r="W246" s="932" t="s">
        <v>314</v>
      </c>
      <c r="X246" s="979">
        <v>1</v>
      </c>
      <c r="Y246" s="902">
        <v>145593</v>
      </c>
      <c r="Z246" s="1017"/>
      <c r="AA246" s="1017"/>
      <c r="AB246" s="1017"/>
      <c r="AC246" s="958">
        <v>145593</v>
      </c>
      <c r="AD246" s="1018"/>
      <c r="AE246" s="958">
        <v>145593</v>
      </c>
      <c r="AF246" s="902">
        <v>3</v>
      </c>
      <c r="AG246" s="874">
        <f t="shared" si="43"/>
        <v>33881.707317073175</v>
      </c>
      <c r="AH246" s="902">
        <f t="shared" si="49"/>
        <v>27783</v>
      </c>
      <c r="AI246" s="902">
        <f t="shared" si="52"/>
        <v>6098.7073170731746</v>
      </c>
      <c r="AJ246" s="874">
        <f t="shared" si="45"/>
        <v>33881.707317073175</v>
      </c>
    </row>
    <row r="247" spans="1:36" s="930" customFormat="1" ht="26.1" customHeight="1">
      <c r="A247" s="882" t="s">
        <v>1988</v>
      </c>
      <c r="B247" s="920" t="s">
        <v>1989</v>
      </c>
      <c r="C247" s="932" t="s">
        <v>1990</v>
      </c>
      <c r="D247" s="923" t="s">
        <v>243</v>
      </c>
      <c r="E247" s="920" t="s">
        <v>1984</v>
      </c>
      <c r="F247" s="923" t="s">
        <v>1889</v>
      </c>
      <c r="G247" s="932" t="s">
        <v>139</v>
      </c>
      <c r="H247" s="923"/>
      <c r="I247" s="923"/>
      <c r="J247" s="924">
        <v>0.33</v>
      </c>
      <c r="K247" s="932" t="s">
        <v>146</v>
      </c>
      <c r="L247" s="933" t="s">
        <v>1746</v>
      </c>
      <c r="M247" s="984" t="s">
        <v>139</v>
      </c>
      <c r="N247" s="984"/>
      <c r="O247" s="984"/>
      <c r="P247" s="923" t="s">
        <v>1696</v>
      </c>
      <c r="Q247" s="932" t="s">
        <v>1991</v>
      </c>
      <c r="R247" s="940">
        <v>10600</v>
      </c>
      <c r="S247" s="940">
        <v>8151</v>
      </c>
      <c r="T247" s="923" t="s">
        <v>1979</v>
      </c>
      <c r="U247" s="1013"/>
      <c r="V247" s="923" t="s">
        <v>1992</v>
      </c>
      <c r="W247" s="932" t="s">
        <v>314</v>
      </c>
      <c r="X247" s="979">
        <v>1</v>
      </c>
      <c r="Y247" s="902">
        <v>211936</v>
      </c>
      <c r="Z247" s="1017"/>
      <c r="AA247" s="1017"/>
      <c r="AB247" s="1017"/>
      <c r="AC247" s="958">
        <v>211936</v>
      </c>
      <c r="AD247" s="1018"/>
      <c r="AE247" s="958">
        <v>211936</v>
      </c>
      <c r="AF247" s="902">
        <v>3</v>
      </c>
      <c r="AG247" s="874">
        <f t="shared" si="43"/>
        <v>38780.487804878052</v>
      </c>
      <c r="AH247" s="902">
        <f t="shared" si="49"/>
        <v>31800</v>
      </c>
      <c r="AI247" s="902">
        <f t="shared" si="52"/>
        <v>6980.487804878052</v>
      </c>
      <c r="AJ247" s="874">
        <f t="shared" si="45"/>
        <v>38780.487804878052</v>
      </c>
    </row>
    <row r="248" spans="1:36" s="930" customFormat="1" ht="26.1" customHeight="1">
      <c r="A248" s="882" t="s">
        <v>1993</v>
      </c>
      <c r="B248" s="920" t="s">
        <v>1994</v>
      </c>
      <c r="C248" s="932" t="s">
        <v>1995</v>
      </c>
      <c r="D248" s="923" t="s">
        <v>736</v>
      </c>
      <c r="E248" s="920" t="s">
        <v>1996</v>
      </c>
      <c r="F248" s="923" t="s">
        <v>440</v>
      </c>
      <c r="G248" s="932" t="s">
        <v>183</v>
      </c>
      <c r="H248" s="923"/>
      <c r="I248" s="923"/>
      <c r="J248" s="924">
        <v>0.3</v>
      </c>
      <c r="K248" s="932" t="s">
        <v>516</v>
      </c>
      <c r="L248" s="933" t="s">
        <v>247</v>
      </c>
      <c r="M248" s="984" t="s">
        <v>183</v>
      </c>
      <c r="N248" s="984"/>
      <c r="O248" s="984"/>
      <c r="P248" s="923" t="s">
        <v>609</v>
      </c>
      <c r="Q248" s="932" t="s">
        <v>1997</v>
      </c>
      <c r="R248" s="940">
        <v>9979</v>
      </c>
      <c r="S248" s="940">
        <v>7001</v>
      </c>
      <c r="T248" s="923" t="s">
        <v>1998</v>
      </c>
      <c r="U248" s="1013"/>
      <c r="V248" s="923" t="s">
        <v>1999</v>
      </c>
      <c r="W248" s="932" t="s">
        <v>314</v>
      </c>
      <c r="X248" s="979">
        <v>1</v>
      </c>
      <c r="Y248" s="902"/>
      <c r="Z248" s="1017"/>
      <c r="AA248" s="1017">
        <v>372468</v>
      </c>
      <c r="AB248" s="1017"/>
      <c r="AC248" s="958">
        <v>372468</v>
      </c>
      <c r="AD248" s="1018">
        <v>25914</v>
      </c>
      <c r="AE248" s="958">
        <f t="shared" ref="AE248:AE259" si="53">AC248-AD248</f>
        <v>346554</v>
      </c>
      <c r="AF248" s="902">
        <v>3</v>
      </c>
      <c r="AG248" s="874">
        <f t="shared" si="43"/>
        <v>36508.536585365859</v>
      </c>
      <c r="AH248" s="902">
        <f t="shared" si="49"/>
        <v>29937</v>
      </c>
      <c r="AI248" s="902">
        <f t="shared" si="52"/>
        <v>6571.5365853658586</v>
      </c>
      <c r="AJ248" s="874">
        <f t="shared" si="45"/>
        <v>10594.536585365859</v>
      </c>
    </row>
    <row r="249" spans="1:36" s="930" customFormat="1" ht="26.1" customHeight="1">
      <c r="A249" s="882" t="s">
        <v>2000</v>
      </c>
      <c r="B249" s="920" t="s">
        <v>2001</v>
      </c>
      <c r="C249" s="932" t="s">
        <v>708</v>
      </c>
      <c r="D249" s="923" t="s">
        <v>736</v>
      </c>
      <c r="E249" s="920" t="s">
        <v>2002</v>
      </c>
      <c r="F249" s="923" t="s">
        <v>569</v>
      </c>
      <c r="G249" s="932" t="s">
        <v>139</v>
      </c>
      <c r="H249" s="923"/>
      <c r="I249" s="923"/>
      <c r="J249" s="924"/>
      <c r="K249" s="932"/>
      <c r="L249" s="933" t="s">
        <v>928</v>
      </c>
      <c r="M249" s="984" t="s">
        <v>139</v>
      </c>
      <c r="N249" s="984"/>
      <c r="O249" s="984"/>
      <c r="P249" s="923" t="s">
        <v>379</v>
      </c>
      <c r="Q249" s="932" t="s">
        <v>2003</v>
      </c>
      <c r="R249" s="940">
        <v>6412</v>
      </c>
      <c r="S249" s="940">
        <v>5127</v>
      </c>
      <c r="T249" s="923" t="s">
        <v>2004</v>
      </c>
      <c r="U249" s="1013"/>
      <c r="V249" s="923" t="s">
        <v>2005</v>
      </c>
      <c r="W249" s="932" t="s">
        <v>314</v>
      </c>
      <c r="X249" s="979">
        <v>1</v>
      </c>
      <c r="Y249" s="902"/>
      <c r="Z249" s="1017"/>
      <c r="AA249" s="1017">
        <v>219220</v>
      </c>
      <c r="AB249" s="1017"/>
      <c r="AC249" s="958">
        <v>219220</v>
      </c>
      <c r="AD249" s="1018">
        <v>19237</v>
      </c>
      <c r="AE249" s="958">
        <f t="shared" si="53"/>
        <v>199983</v>
      </c>
      <c r="AF249" s="902">
        <v>3</v>
      </c>
      <c r="AG249" s="874">
        <f t="shared" si="43"/>
        <v>23458.536585365855</v>
      </c>
      <c r="AH249" s="902">
        <f t="shared" si="49"/>
        <v>19236</v>
      </c>
      <c r="AI249" s="902">
        <f t="shared" si="52"/>
        <v>4222.536585365855</v>
      </c>
      <c r="AJ249" s="874">
        <f t="shared" si="45"/>
        <v>4221.536585365855</v>
      </c>
    </row>
    <row r="250" spans="1:36" s="930" customFormat="1" ht="26.1" customHeight="1">
      <c r="A250" s="882" t="s">
        <v>2006</v>
      </c>
      <c r="B250" s="920" t="s">
        <v>2007</v>
      </c>
      <c r="C250" s="932" t="s">
        <v>2008</v>
      </c>
      <c r="D250" s="923" t="s">
        <v>1269</v>
      </c>
      <c r="E250" s="920" t="s">
        <v>2009</v>
      </c>
      <c r="F250" s="923" t="s">
        <v>403</v>
      </c>
      <c r="G250" s="932" t="s">
        <v>367</v>
      </c>
      <c r="H250" s="923"/>
      <c r="I250" s="923"/>
      <c r="J250" s="924">
        <v>0.31</v>
      </c>
      <c r="K250" s="932" t="s">
        <v>146</v>
      </c>
      <c r="L250" s="933" t="s">
        <v>1421</v>
      </c>
      <c r="M250" s="984" t="s">
        <v>367</v>
      </c>
      <c r="N250" s="984"/>
      <c r="O250" s="984"/>
      <c r="P250" s="923" t="s">
        <v>2010</v>
      </c>
      <c r="Q250" s="932" t="s">
        <v>2011</v>
      </c>
      <c r="R250" s="940">
        <v>9708</v>
      </c>
      <c r="S250" s="940">
        <v>7310</v>
      </c>
      <c r="T250" s="923" t="s">
        <v>2012</v>
      </c>
      <c r="U250" s="1013"/>
      <c r="V250" s="923" t="s">
        <v>2013</v>
      </c>
      <c r="W250" s="932" t="s">
        <v>314</v>
      </c>
      <c r="X250" s="979">
        <v>1</v>
      </c>
      <c r="Y250" s="902"/>
      <c r="Z250" s="1017"/>
      <c r="AA250" s="1017">
        <v>399715</v>
      </c>
      <c r="AB250" s="1017"/>
      <c r="AC250" s="958">
        <v>399715</v>
      </c>
      <c r="AD250" s="1018">
        <v>26865</v>
      </c>
      <c r="AE250" s="958">
        <f t="shared" si="53"/>
        <v>372850</v>
      </c>
      <c r="AF250" s="902">
        <v>3</v>
      </c>
      <c r="AG250" s="874">
        <f t="shared" si="43"/>
        <v>35517.07317073171</v>
      </c>
      <c r="AH250" s="902">
        <f t="shared" si="49"/>
        <v>29124</v>
      </c>
      <c r="AI250" s="902">
        <f t="shared" si="52"/>
        <v>6393.07317073171</v>
      </c>
      <c r="AJ250" s="874">
        <f t="shared" si="45"/>
        <v>8652.07317073171</v>
      </c>
    </row>
    <row r="251" spans="1:36" s="930" customFormat="1" ht="31.5" customHeight="1">
      <c r="A251" s="882" t="s">
        <v>2014</v>
      </c>
      <c r="B251" s="920" t="s">
        <v>2015</v>
      </c>
      <c r="C251" s="932" t="s">
        <v>2016</v>
      </c>
      <c r="D251" s="923" t="s">
        <v>736</v>
      </c>
      <c r="E251" s="920" t="s">
        <v>2017</v>
      </c>
      <c r="F251" s="923" t="s">
        <v>440</v>
      </c>
      <c r="G251" s="932" t="s">
        <v>659</v>
      </c>
      <c r="H251" s="923"/>
      <c r="I251" s="923"/>
      <c r="J251" s="924"/>
      <c r="K251" s="932"/>
      <c r="L251" s="933" t="s">
        <v>247</v>
      </c>
      <c r="M251" s="984" t="s">
        <v>659</v>
      </c>
      <c r="N251" s="984"/>
      <c r="O251" s="984"/>
      <c r="P251" s="923" t="s">
        <v>609</v>
      </c>
      <c r="Q251" s="932" t="s">
        <v>2018</v>
      </c>
      <c r="R251" s="940">
        <v>6317</v>
      </c>
      <c r="S251" s="940">
        <v>5622</v>
      </c>
      <c r="T251" s="923" t="s">
        <v>557</v>
      </c>
      <c r="U251" s="1013"/>
      <c r="V251" s="923" t="s">
        <v>2019</v>
      </c>
      <c r="W251" s="932" t="s">
        <v>314</v>
      </c>
      <c r="X251" s="979">
        <v>1</v>
      </c>
      <c r="Y251" s="902"/>
      <c r="Z251" s="1017"/>
      <c r="AA251" s="1017">
        <v>290533</v>
      </c>
      <c r="AB251" s="1017"/>
      <c r="AC251" s="958">
        <v>290533</v>
      </c>
      <c r="AD251" s="1018">
        <v>20675</v>
      </c>
      <c r="AE251" s="958">
        <f t="shared" si="53"/>
        <v>269858</v>
      </c>
      <c r="AF251" s="902">
        <v>3</v>
      </c>
      <c r="AG251" s="874">
        <f t="shared" si="43"/>
        <v>23110.9756097561</v>
      </c>
      <c r="AH251" s="902">
        <f t="shared" si="49"/>
        <v>18951</v>
      </c>
      <c r="AI251" s="902">
        <f t="shared" si="52"/>
        <v>4159.9756097561003</v>
      </c>
      <c r="AJ251" s="874">
        <f t="shared" si="45"/>
        <v>2435.9756097561003</v>
      </c>
    </row>
    <row r="252" spans="1:36" s="930" customFormat="1" ht="26.1" customHeight="1">
      <c r="A252" s="882" t="s">
        <v>2020</v>
      </c>
      <c r="B252" s="920" t="s">
        <v>2021</v>
      </c>
      <c r="C252" s="932" t="s">
        <v>2022</v>
      </c>
      <c r="D252" s="923" t="s">
        <v>2023</v>
      </c>
      <c r="E252" s="920" t="s">
        <v>2024</v>
      </c>
      <c r="F252" s="923" t="s">
        <v>440</v>
      </c>
      <c r="G252" s="932" t="s">
        <v>659</v>
      </c>
      <c r="H252" s="923"/>
      <c r="I252" s="923"/>
      <c r="J252" s="924">
        <v>0.28000000000000003</v>
      </c>
      <c r="K252" s="932" t="s">
        <v>259</v>
      </c>
      <c r="L252" s="933" t="s">
        <v>247</v>
      </c>
      <c r="M252" s="984" t="s">
        <v>659</v>
      </c>
      <c r="N252" s="984"/>
      <c r="O252" s="984"/>
      <c r="P252" s="923" t="s">
        <v>609</v>
      </c>
      <c r="Q252" s="932" t="s">
        <v>2018</v>
      </c>
      <c r="R252" s="940">
        <v>8506</v>
      </c>
      <c r="S252" s="940">
        <v>6851</v>
      </c>
      <c r="T252" s="923" t="s">
        <v>2025</v>
      </c>
      <c r="U252" s="1013"/>
      <c r="V252" s="923" t="s">
        <v>2026</v>
      </c>
      <c r="W252" s="932" t="s">
        <v>314</v>
      </c>
      <c r="X252" s="979">
        <v>1</v>
      </c>
      <c r="Y252" s="902"/>
      <c r="Z252" s="1017"/>
      <c r="AA252" s="1017">
        <v>344096</v>
      </c>
      <c r="AB252" s="1017"/>
      <c r="AC252" s="958">
        <v>344096</v>
      </c>
      <c r="AD252" s="1018">
        <v>25518</v>
      </c>
      <c r="AE252" s="958">
        <f t="shared" si="53"/>
        <v>318578</v>
      </c>
      <c r="AF252" s="902">
        <v>3</v>
      </c>
      <c r="AG252" s="874">
        <f t="shared" si="43"/>
        <v>31119.512195121952</v>
      </c>
      <c r="AH252" s="902">
        <f t="shared" si="49"/>
        <v>25518</v>
      </c>
      <c r="AI252" s="902">
        <f t="shared" si="52"/>
        <v>5601.5121951219517</v>
      </c>
      <c r="AJ252" s="874">
        <f t="shared" si="45"/>
        <v>5601.5121951219517</v>
      </c>
    </row>
    <row r="253" spans="1:36" s="930" customFormat="1" ht="26.1" customHeight="1">
      <c r="A253" s="882" t="s">
        <v>2027</v>
      </c>
      <c r="B253" s="920" t="s">
        <v>2028</v>
      </c>
      <c r="C253" s="932" t="s">
        <v>2029</v>
      </c>
      <c r="D253" s="923" t="s">
        <v>2030</v>
      </c>
      <c r="E253" s="920" t="s">
        <v>2031</v>
      </c>
      <c r="F253" s="923" t="s">
        <v>884</v>
      </c>
      <c r="G253" s="932" t="s">
        <v>562</v>
      </c>
      <c r="H253" s="923"/>
      <c r="I253" s="923"/>
      <c r="J253" s="924"/>
      <c r="K253" s="932"/>
      <c r="L253" s="933"/>
      <c r="M253" s="984"/>
      <c r="N253" s="984"/>
      <c r="O253" s="984"/>
      <c r="P253" s="923" t="s">
        <v>369</v>
      </c>
      <c r="Q253" s="932" t="s">
        <v>2032</v>
      </c>
      <c r="R253" s="940">
        <v>7402</v>
      </c>
      <c r="S253" s="940">
        <v>5858</v>
      </c>
      <c r="T253" s="923" t="s">
        <v>2033</v>
      </c>
      <c r="U253" s="1013"/>
      <c r="V253" s="923" t="s">
        <v>2034</v>
      </c>
      <c r="W253" s="932" t="s">
        <v>314</v>
      </c>
      <c r="X253" s="979">
        <v>1</v>
      </c>
      <c r="Y253" s="902"/>
      <c r="Z253" s="1017"/>
      <c r="AA253" s="1017">
        <v>246364</v>
      </c>
      <c r="AB253" s="1017"/>
      <c r="AC253" s="958">
        <v>246364</v>
      </c>
      <c r="AD253" s="958">
        <v>22261</v>
      </c>
      <c r="AE253" s="958">
        <f t="shared" si="53"/>
        <v>224103</v>
      </c>
      <c r="AF253" s="902">
        <v>3</v>
      </c>
      <c r="AG253" s="874">
        <f t="shared" si="43"/>
        <v>27080.487804878052</v>
      </c>
      <c r="AH253" s="902">
        <f t="shared" si="49"/>
        <v>22206</v>
      </c>
      <c r="AI253" s="902">
        <f t="shared" si="52"/>
        <v>4874.487804878052</v>
      </c>
      <c r="AJ253" s="874">
        <f t="shared" si="45"/>
        <v>4819.487804878052</v>
      </c>
    </row>
    <row r="254" spans="1:36" s="930" customFormat="1" ht="26.1" customHeight="1">
      <c r="A254" s="882" t="s">
        <v>2035</v>
      </c>
      <c r="B254" s="920" t="s">
        <v>2036</v>
      </c>
      <c r="C254" s="932" t="s">
        <v>2037</v>
      </c>
      <c r="D254" s="923" t="s">
        <v>2038</v>
      </c>
      <c r="E254" s="920" t="s">
        <v>2039</v>
      </c>
      <c r="F254" s="923" t="s">
        <v>258</v>
      </c>
      <c r="G254" s="932" t="s">
        <v>183</v>
      </c>
      <c r="H254" s="923"/>
      <c r="I254" s="923"/>
      <c r="J254" s="924"/>
      <c r="K254" s="932"/>
      <c r="L254" s="933"/>
      <c r="M254" s="984"/>
      <c r="N254" s="984"/>
      <c r="O254" s="984"/>
      <c r="P254" s="923" t="s">
        <v>673</v>
      </c>
      <c r="Q254" s="932" t="s">
        <v>2040</v>
      </c>
      <c r="R254" s="940">
        <v>6049</v>
      </c>
      <c r="S254" s="940">
        <v>4788</v>
      </c>
      <c r="T254" s="923" t="s">
        <v>2041</v>
      </c>
      <c r="U254" s="1013"/>
      <c r="V254" s="923" t="s">
        <v>2042</v>
      </c>
      <c r="W254" s="932" t="s">
        <v>314</v>
      </c>
      <c r="X254" s="979">
        <v>1</v>
      </c>
      <c r="Y254" s="902"/>
      <c r="Z254" s="1017"/>
      <c r="AA254" s="1017">
        <v>183363</v>
      </c>
      <c r="AB254" s="1017"/>
      <c r="AC254" s="958">
        <v>183363</v>
      </c>
      <c r="AD254" s="958">
        <v>18148</v>
      </c>
      <c r="AE254" s="958">
        <f t="shared" si="53"/>
        <v>165215</v>
      </c>
      <c r="AF254" s="902">
        <v>3</v>
      </c>
      <c r="AG254" s="874">
        <f t="shared" si="43"/>
        <v>22130.487804878048</v>
      </c>
      <c r="AH254" s="902">
        <f t="shared" si="49"/>
        <v>18147</v>
      </c>
      <c r="AI254" s="902">
        <f t="shared" si="52"/>
        <v>3983.4878048780483</v>
      </c>
      <c r="AJ254" s="874">
        <f t="shared" si="45"/>
        <v>3982.4878048780483</v>
      </c>
    </row>
    <row r="255" spans="1:36" s="930" customFormat="1" ht="26.1" customHeight="1">
      <c r="A255" s="882" t="s">
        <v>2043</v>
      </c>
      <c r="B255" s="920" t="s">
        <v>2044</v>
      </c>
      <c r="C255" s="932" t="s">
        <v>2045</v>
      </c>
      <c r="D255" s="923" t="s">
        <v>1269</v>
      </c>
      <c r="E255" s="920" t="s">
        <v>2046</v>
      </c>
      <c r="F255" s="923" t="s">
        <v>569</v>
      </c>
      <c r="G255" s="932" t="s">
        <v>139</v>
      </c>
      <c r="H255" s="923"/>
      <c r="I255" s="923"/>
      <c r="J255" s="924">
        <v>0.23</v>
      </c>
      <c r="K255" s="932" t="s">
        <v>688</v>
      </c>
      <c r="L255" s="933" t="s">
        <v>928</v>
      </c>
      <c r="M255" s="984" t="s">
        <v>139</v>
      </c>
      <c r="N255" s="984"/>
      <c r="O255" s="984"/>
      <c r="P255" s="923" t="s">
        <v>570</v>
      </c>
      <c r="Q255" s="932" t="s">
        <v>2047</v>
      </c>
      <c r="R255" s="940">
        <v>7887</v>
      </c>
      <c r="S255" s="940">
        <v>6219</v>
      </c>
      <c r="T255" s="923" t="s">
        <v>2048</v>
      </c>
      <c r="U255" s="1013"/>
      <c r="V255" s="923" t="s">
        <v>2049</v>
      </c>
      <c r="W255" s="932" t="s">
        <v>314</v>
      </c>
      <c r="X255" s="979">
        <v>1</v>
      </c>
      <c r="Y255" s="902"/>
      <c r="Z255" s="1017"/>
      <c r="AA255" s="1017">
        <v>266499</v>
      </c>
      <c r="AB255" s="1017"/>
      <c r="AC255" s="958">
        <v>266499</v>
      </c>
      <c r="AD255" s="1018">
        <v>23854</v>
      </c>
      <c r="AE255" s="958">
        <f t="shared" si="53"/>
        <v>242645</v>
      </c>
      <c r="AF255" s="902">
        <v>3</v>
      </c>
      <c r="AG255" s="874">
        <f t="shared" si="43"/>
        <v>28854.878048780491</v>
      </c>
      <c r="AH255" s="902">
        <f t="shared" si="49"/>
        <v>23661</v>
      </c>
      <c r="AI255" s="902">
        <f t="shared" si="52"/>
        <v>5193.8780487804906</v>
      </c>
      <c r="AJ255" s="874">
        <f t="shared" si="45"/>
        <v>5000.8780487804906</v>
      </c>
    </row>
    <row r="256" spans="1:36" s="930" customFormat="1" ht="33.75" customHeight="1">
      <c r="A256" s="882" t="s">
        <v>2050</v>
      </c>
      <c r="B256" s="920" t="s">
        <v>2051</v>
      </c>
      <c r="C256" s="932" t="s">
        <v>2052</v>
      </c>
      <c r="D256" s="923" t="s">
        <v>1679</v>
      </c>
      <c r="E256" s="920" t="s">
        <v>2053</v>
      </c>
      <c r="F256" s="923" t="s">
        <v>346</v>
      </c>
      <c r="G256" s="932" t="s">
        <v>132</v>
      </c>
      <c r="H256" s="923"/>
      <c r="I256" s="923"/>
      <c r="J256" s="924"/>
      <c r="K256" s="932"/>
      <c r="L256" s="933"/>
      <c r="M256" s="984"/>
      <c r="N256" s="984"/>
      <c r="O256" s="984"/>
      <c r="P256" s="923" t="s">
        <v>2054</v>
      </c>
      <c r="Q256" s="932" t="s">
        <v>2055</v>
      </c>
      <c r="R256" s="940">
        <v>5900</v>
      </c>
      <c r="S256" s="940">
        <v>4743</v>
      </c>
      <c r="T256" s="923" t="s">
        <v>836</v>
      </c>
      <c r="U256" s="1013"/>
      <c r="V256" s="923" t="s">
        <v>2056</v>
      </c>
      <c r="W256" s="932" t="s">
        <v>314</v>
      </c>
      <c r="X256" s="979">
        <v>1</v>
      </c>
      <c r="Y256" s="902"/>
      <c r="Z256" s="1017"/>
      <c r="AA256" s="1017">
        <v>174234</v>
      </c>
      <c r="AB256" s="1017"/>
      <c r="AC256" s="958">
        <v>174234</v>
      </c>
      <c r="AD256" s="1018">
        <v>17701</v>
      </c>
      <c r="AE256" s="958">
        <f t="shared" si="53"/>
        <v>156533</v>
      </c>
      <c r="AF256" s="902">
        <v>3</v>
      </c>
      <c r="AG256" s="874">
        <f t="shared" si="43"/>
        <v>21585.365853658539</v>
      </c>
      <c r="AH256" s="902">
        <f t="shared" si="49"/>
        <v>17700</v>
      </c>
      <c r="AI256" s="902">
        <f t="shared" si="52"/>
        <v>3885.365853658539</v>
      </c>
      <c r="AJ256" s="874">
        <f t="shared" si="45"/>
        <v>3884.365853658539</v>
      </c>
    </row>
    <row r="257" spans="1:36" s="930" customFormat="1" ht="26.1" customHeight="1">
      <c r="A257" s="882" t="s">
        <v>2057</v>
      </c>
      <c r="B257" s="920" t="s">
        <v>2058</v>
      </c>
      <c r="C257" s="932" t="s">
        <v>2059</v>
      </c>
      <c r="D257" s="923" t="s">
        <v>2060</v>
      </c>
      <c r="E257" s="920" t="s">
        <v>2061</v>
      </c>
      <c r="F257" s="923" t="s">
        <v>378</v>
      </c>
      <c r="G257" s="932" t="s">
        <v>164</v>
      </c>
      <c r="H257" s="923"/>
      <c r="I257" s="923"/>
      <c r="J257" s="924"/>
      <c r="K257" s="932"/>
      <c r="L257" s="933" t="s">
        <v>1746</v>
      </c>
      <c r="M257" s="984" t="s">
        <v>164</v>
      </c>
      <c r="N257" s="984"/>
      <c r="O257" s="984"/>
      <c r="P257" s="923" t="s">
        <v>2062</v>
      </c>
      <c r="Q257" s="932" t="s">
        <v>2063</v>
      </c>
      <c r="R257" s="940">
        <v>6352</v>
      </c>
      <c r="S257" s="940">
        <v>4977</v>
      </c>
      <c r="T257" s="923" t="s">
        <v>2041</v>
      </c>
      <c r="U257" s="1013"/>
      <c r="V257" s="923" t="s">
        <v>2064</v>
      </c>
      <c r="W257" s="932" t="s">
        <v>314</v>
      </c>
      <c r="X257" s="979">
        <v>1</v>
      </c>
      <c r="Y257" s="902"/>
      <c r="Z257" s="1017"/>
      <c r="AA257" s="1017">
        <v>190777</v>
      </c>
      <c r="AB257" s="1017"/>
      <c r="AC257" s="958">
        <v>190777</v>
      </c>
      <c r="AD257" s="1018">
        <v>19056</v>
      </c>
      <c r="AE257" s="958">
        <f t="shared" si="53"/>
        <v>171721</v>
      </c>
      <c r="AF257" s="902">
        <v>3</v>
      </c>
      <c r="AG257" s="874">
        <f t="shared" si="43"/>
        <v>23239.024390243903</v>
      </c>
      <c r="AH257" s="902">
        <f t="shared" si="49"/>
        <v>19056</v>
      </c>
      <c r="AI257" s="902">
        <f t="shared" si="52"/>
        <v>4183.0243902439033</v>
      </c>
      <c r="AJ257" s="874">
        <f t="shared" si="45"/>
        <v>4183.0243902439033</v>
      </c>
    </row>
    <row r="258" spans="1:36" s="930" customFormat="1" ht="31.5" customHeight="1">
      <c r="A258" s="882" t="s">
        <v>2065</v>
      </c>
      <c r="B258" s="920" t="s">
        <v>2066</v>
      </c>
      <c r="C258" s="932" t="s">
        <v>2067</v>
      </c>
      <c r="D258" s="923" t="s">
        <v>2068</v>
      </c>
      <c r="E258" s="920" t="s">
        <v>2069</v>
      </c>
      <c r="F258" s="923" t="s">
        <v>335</v>
      </c>
      <c r="G258" s="932" t="s">
        <v>234</v>
      </c>
      <c r="H258" s="923"/>
      <c r="I258" s="923"/>
      <c r="J258" s="924"/>
      <c r="K258" s="932"/>
      <c r="L258" s="933"/>
      <c r="M258" s="984"/>
      <c r="N258" s="984"/>
      <c r="O258" s="984"/>
      <c r="P258" s="923" t="s">
        <v>2070</v>
      </c>
      <c r="Q258" s="932" t="s">
        <v>2071</v>
      </c>
      <c r="R258" s="940">
        <v>5453</v>
      </c>
      <c r="S258" s="940">
        <v>4359</v>
      </c>
      <c r="T258" s="923" t="s">
        <v>2072</v>
      </c>
      <c r="U258" s="1013"/>
      <c r="V258" s="923" t="s">
        <v>2073</v>
      </c>
      <c r="W258" s="932" t="s">
        <v>564</v>
      </c>
      <c r="X258" s="979">
        <v>1</v>
      </c>
      <c r="Y258" s="902"/>
      <c r="Z258" s="1017"/>
      <c r="AA258" s="1017">
        <v>114453</v>
      </c>
      <c r="AB258" s="1017"/>
      <c r="AC258" s="958">
        <v>114453</v>
      </c>
      <c r="AD258" s="1018">
        <v>16360</v>
      </c>
      <c r="AE258" s="958">
        <f t="shared" si="53"/>
        <v>98093</v>
      </c>
      <c r="AF258" s="902">
        <v>2</v>
      </c>
      <c r="AG258" s="874">
        <f t="shared" ref="AG258:AG265" si="54">AH258+AI258</f>
        <v>13300</v>
      </c>
      <c r="AH258" s="902">
        <f t="shared" si="49"/>
        <v>10906</v>
      </c>
      <c r="AI258" s="902">
        <f t="shared" si="52"/>
        <v>2394</v>
      </c>
      <c r="AJ258" s="874">
        <f t="shared" ref="AJ258:AJ265" si="55">AG258-AD258</f>
        <v>-3060</v>
      </c>
    </row>
    <row r="259" spans="1:36" s="930" customFormat="1" ht="26.1" customHeight="1">
      <c r="A259" s="882" t="s">
        <v>2074</v>
      </c>
      <c r="B259" s="920" t="s">
        <v>2075</v>
      </c>
      <c r="C259" s="932" t="s">
        <v>2076</v>
      </c>
      <c r="D259" s="923" t="s">
        <v>2077</v>
      </c>
      <c r="E259" s="920" t="s">
        <v>2078</v>
      </c>
      <c r="F259" s="923" t="s">
        <v>1490</v>
      </c>
      <c r="G259" s="932" t="s">
        <v>861</v>
      </c>
      <c r="H259" s="923"/>
      <c r="I259" s="923"/>
      <c r="J259" s="924"/>
      <c r="K259" s="932"/>
      <c r="L259" s="933"/>
      <c r="M259" s="984"/>
      <c r="N259" s="984"/>
      <c r="O259" s="984"/>
      <c r="P259" s="923" t="s">
        <v>2079</v>
      </c>
      <c r="Q259" s="932" t="s">
        <v>2080</v>
      </c>
      <c r="R259" s="940">
        <v>4976</v>
      </c>
      <c r="S259" s="940">
        <v>4017</v>
      </c>
      <c r="T259" s="923" t="s">
        <v>2072</v>
      </c>
      <c r="U259" s="1013"/>
      <c r="V259" s="923" t="s">
        <v>2081</v>
      </c>
      <c r="W259" s="932" t="s">
        <v>564</v>
      </c>
      <c r="X259" s="979">
        <v>1</v>
      </c>
      <c r="Y259" s="902"/>
      <c r="Z259" s="1017"/>
      <c r="AA259" s="1017">
        <v>105315</v>
      </c>
      <c r="AB259" s="1017"/>
      <c r="AC259" s="958">
        <v>105315</v>
      </c>
      <c r="AD259" s="1018">
        <v>14929</v>
      </c>
      <c r="AE259" s="958">
        <f t="shared" si="53"/>
        <v>90386</v>
      </c>
      <c r="AF259" s="902">
        <v>2</v>
      </c>
      <c r="AG259" s="874">
        <f t="shared" si="54"/>
        <v>12136.58536585366</v>
      </c>
      <c r="AH259" s="902">
        <f t="shared" si="49"/>
        <v>9952</v>
      </c>
      <c r="AI259" s="902">
        <f t="shared" si="52"/>
        <v>2184.5853658536598</v>
      </c>
      <c r="AJ259" s="874">
        <f t="shared" si="55"/>
        <v>-2792.4146341463402</v>
      </c>
    </row>
    <row r="260" spans="1:36" s="930" customFormat="1" ht="26.1" customHeight="1">
      <c r="A260" s="882" t="s">
        <v>2082</v>
      </c>
      <c r="B260" s="920" t="s">
        <v>2083</v>
      </c>
      <c r="C260" s="932">
        <v>23507</v>
      </c>
      <c r="D260" s="923" t="s">
        <v>1391</v>
      </c>
      <c r="E260" s="920" t="s">
        <v>2084</v>
      </c>
      <c r="F260" s="923" t="s">
        <v>131</v>
      </c>
      <c r="G260" s="932" t="s">
        <v>146</v>
      </c>
      <c r="H260" s="923">
        <v>0.2</v>
      </c>
      <c r="I260" s="923" t="s">
        <v>2085</v>
      </c>
      <c r="J260" s="924"/>
      <c r="K260" s="932"/>
      <c r="L260" s="933"/>
      <c r="M260" s="984"/>
      <c r="N260" s="984"/>
      <c r="O260" s="984"/>
      <c r="P260" s="923" t="s">
        <v>507</v>
      </c>
      <c r="Q260" s="932" t="s">
        <v>2086</v>
      </c>
      <c r="R260" s="940">
        <v>6741</v>
      </c>
      <c r="S260" s="940">
        <v>5980</v>
      </c>
      <c r="T260" s="923" t="s">
        <v>2087</v>
      </c>
      <c r="U260" s="1013"/>
      <c r="V260" s="923" t="s">
        <v>764</v>
      </c>
      <c r="W260" s="932" t="s">
        <v>176</v>
      </c>
      <c r="X260" s="979">
        <v>1</v>
      </c>
      <c r="Y260" s="902">
        <v>147510</v>
      </c>
      <c r="Z260" s="1017"/>
      <c r="AA260" s="1017"/>
      <c r="AB260" s="1017"/>
      <c r="AC260" s="958">
        <v>147510</v>
      </c>
      <c r="AD260" s="958">
        <v>147510</v>
      </c>
      <c r="AE260" s="958"/>
      <c r="AF260" s="902">
        <v>0</v>
      </c>
      <c r="AG260" s="874">
        <f t="shared" si="54"/>
        <v>0</v>
      </c>
      <c r="AH260" s="902">
        <f t="shared" si="49"/>
        <v>0</v>
      </c>
      <c r="AI260" s="902">
        <f t="shared" si="52"/>
        <v>0</v>
      </c>
      <c r="AJ260" s="874">
        <f t="shared" si="55"/>
        <v>-147510</v>
      </c>
    </row>
    <row r="261" spans="1:36" s="878" customFormat="1" ht="26.1" customHeight="1">
      <c r="A261" s="882" t="s">
        <v>2088</v>
      </c>
      <c r="B261" s="885" t="s">
        <v>2089</v>
      </c>
      <c r="C261" s="886" t="s">
        <v>2090</v>
      </c>
      <c r="D261" s="881" t="s">
        <v>2091</v>
      </c>
      <c r="E261" s="885" t="s">
        <v>2092</v>
      </c>
      <c r="F261" s="899"/>
      <c r="G261" s="887"/>
      <c r="H261" s="881"/>
      <c r="I261" s="880"/>
      <c r="J261" s="900"/>
      <c r="K261" s="898"/>
      <c r="L261" s="865"/>
      <c r="M261" s="898"/>
      <c r="N261" s="899"/>
      <c r="O261" s="899"/>
      <c r="P261" s="881"/>
      <c r="Q261" s="880"/>
      <c r="R261" s="872">
        <v>3975</v>
      </c>
      <c r="S261" s="872"/>
      <c r="T261" s="901" t="s">
        <v>2093</v>
      </c>
      <c r="U261" s="898"/>
      <c r="V261" s="881" t="s">
        <v>2094</v>
      </c>
      <c r="W261" s="880" t="s">
        <v>854</v>
      </c>
      <c r="X261" s="873">
        <v>1</v>
      </c>
      <c r="Y261" s="874"/>
      <c r="Z261" s="874"/>
      <c r="AA261" s="874">
        <v>104666</v>
      </c>
      <c r="AB261" s="874"/>
      <c r="AC261" s="876">
        <f>AA261</f>
        <v>104666</v>
      </c>
      <c r="AD261" s="876">
        <v>11926</v>
      </c>
      <c r="AE261" s="876">
        <f>AC261-AD261</f>
        <v>92740</v>
      </c>
      <c r="AF261" s="874">
        <v>5</v>
      </c>
      <c r="AG261" s="874">
        <f t="shared" si="54"/>
        <v>26500</v>
      </c>
      <c r="AH261" s="874">
        <f t="shared" si="49"/>
        <v>19875</v>
      </c>
      <c r="AI261" s="874">
        <f>((AH261*100%)/75%)-AH261</f>
        <v>6625</v>
      </c>
      <c r="AJ261" s="874">
        <f t="shared" si="55"/>
        <v>14574</v>
      </c>
    </row>
    <row r="262" spans="1:36" s="878" customFormat="1" ht="26.1" customHeight="1">
      <c r="A262" s="882" t="s">
        <v>2095</v>
      </c>
      <c r="B262" s="885" t="s">
        <v>2096</v>
      </c>
      <c r="C262" s="886" t="s">
        <v>2097</v>
      </c>
      <c r="D262" s="881" t="s">
        <v>2091</v>
      </c>
      <c r="E262" s="885" t="s">
        <v>2098</v>
      </c>
      <c r="F262" s="899"/>
      <c r="G262" s="887"/>
      <c r="H262" s="881"/>
      <c r="I262" s="880"/>
      <c r="J262" s="900"/>
      <c r="K262" s="898"/>
      <c r="L262" s="865"/>
      <c r="M262" s="898"/>
      <c r="N262" s="899"/>
      <c r="O262" s="899"/>
      <c r="P262" s="881"/>
      <c r="Q262" s="880"/>
      <c r="R262" s="872">
        <v>4999</v>
      </c>
      <c r="S262" s="872"/>
      <c r="T262" s="901" t="s">
        <v>2099</v>
      </c>
      <c r="U262" s="898"/>
      <c r="V262" s="881" t="s">
        <v>2100</v>
      </c>
      <c r="W262" s="880" t="s">
        <v>854</v>
      </c>
      <c r="X262" s="873">
        <v>1</v>
      </c>
      <c r="Y262" s="874"/>
      <c r="Z262" s="874"/>
      <c r="AA262" s="874">
        <v>105476</v>
      </c>
      <c r="AB262" s="874"/>
      <c r="AC262" s="876">
        <f>AA262</f>
        <v>105476</v>
      </c>
      <c r="AD262" s="876">
        <v>14997</v>
      </c>
      <c r="AE262" s="876">
        <f>AC262-AD262</f>
        <v>90479</v>
      </c>
      <c r="AF262" s="874">
        <v>5</v>
      </c>
      <c r="AG262" s="874">
        <f t="shared" si="54"/>
        <v>33326.666666666664</v>
      </c>
      <c r="AH262" s="874">
        <f t="shared" si="49"/>
        <v>24995</v>
      </c>
      <c r="AI262" s="874">
        <f t="shared" ref="AI262:AI263" si="56">((AH262*100%)/75%)-AH262</f>
        <v>8331.6666666666642</v>
      </c>
      <c r="AJ262" s="874">
        <f t="shared" si="55"/>
        <v>18329.666666666664</v>
      </c>
    </row>
    <row r="263" spans="1:36" s="878" customFormat="1" ht="26.1" customHeight="1">
      <c r="A263" s="882" t="s">
        <v>2101</v>
      </c>
      <c r="B263" s="885" t="s">
        <v>2102</v>
      </c>
      <c r="C263" s="886" t="s">
        <v>2103</v>
      </c>
      <c r="D263" s="881" t="s">
        <v>2091</v>
      </c>
      <c r="E263" s="885" t="s">
        <v>2104</v>
      </c>
      <c r="F263" s="899"/>
      <c r="G263" s="887"/>
      <c r="H263" s="881"/>
      <c r="I263" s="880"/>
      <c r="J263" s="900"/>
      <c r="K263" s="898"/>
      <c r="L263" s="865"/>
      <c r="M263" s="898"/>
      <c r="N263" s="899"/>
      <c r="O263" s="899"/>
      <c r="P263" s="881"/>
      <c r="Q263" s="880"/>
      <c r="R263" s="872">
        <v>4809</v>
      </c>
      <c r="S263" s="872"/>
      <c r="T263" s="901" t="s">
        <v>529</v>
      </c>
      <c r="U263" s="898"/>
      <c r="V263" s="881" t="s">
        <v>2105</v>
      </c>
      <c r="W263" s="880" t="s">
        <v>854</v>
      </c>
      <c r="X263" s="873">
        <v>1</v>
      </c>
      <c r="Y263" s="874"/>
      <c r="Z263" s="874"/>
      <c r="AA263" s="874">
        <v>148233</v>
      </c>
      <c r="AB263" s="874"/>
      <c r="AC263" s="876">
        <f>AA263</f>
        <v>148233</v>
      </c>
      <c r="AD263" s="876">
        <v>14428</v>
      </c>
      <c r="AE263" s="876">
        <f>AC263-AD263</f>
        <v>133805</v>
      </c>
      <c r="AF263" s="874">
        <v>5</v>
      </c>
      <c r="AG263" s="874">
        <f t="shared" si="54"/>
        <v>32060</v>
      </c>
      <c r="AH263" s="874">
        <f t="shared" si="49"/>
        <v>24045</v>
      </c>
      <c r="AI263" s="874">
        <f t="shared" si="56"/>
        <v>8015</v>
      </c>
      <c r="AJ263" s="874">
        <f t="shared" si="55"/>
        <v>17632</v>
      </c>
    </row>
    <row r="264" spans="1:36" s="878" customFormat="1" ht="26.1" customHeight="1">
      <c r="A264" s="882" t="s">
        <v>2106</v>
      </c>
      <c r="B264" s="897" t="s">
        <v>776</v>
      </c>
      <c r="C264" s="887" t="s">
        <v>2107</v>
      </c>
      <c r="D264" s="881" t="s">
        <v>2108</v>
      </c>
      <c r="E264" s="885" t="s">
        <v>2109</v>
      </c>
      <c r="F264" s="881" t="s">
        <v>738</v>
      </c>
      <c r="G264" s="887" t="s">
        <v>367</v>
      </c>
      <c r="H264" s="899" t="s">
        <v>133</v>
      </c>
      <c r="I264" s="887" t="s">
        <v>147</v>
      </c>
      <c r="J264" s="900"/>
      <c r="K264" s="898"/>
      <c r="L264" s="882" t="s">
        <v>928</v>
      </c>
      <c r="M264" s="887" t="s">
        <v>367</v>
      </c>
      <c r="N264" s="899"/>
      <c r="O264" s="899"/>
      <c r="P264" s="881" t="s">
        <v>286</v>
      </c>
      <c r="Q264" s="890" t="s">
        <v>287</v>
      </c>
      <c r="R264" s="872">
        <v>7671</v>
      </c>
      <c r="S264" s="872">
        <v>6452</v>
      </c>
      <c r="T264" s="901" t="s">
        <v>2110</v>
      </c>
      <c r="U264" s="898"/>
      <c r="V264" s="881" t="s">
        <v>2111</v>
      </c>
      <c r="W264" s="887" t="s">
        <v>139</v>
      </c>
      <c r="X264" s="873">
        <v>1</v>
      </c>
      <c r="Y264" s="874">
        <v>180659</v>
      </c>
      <c r="Z264" s="874"/>
      <c r="AA264" s="874"/>
      <c r="AB264" s="874"/>
      <c r="AC264" s="876">
        <f>Y264</f>
        <v>180659</v>
      </c>
      <c r="AD264" s="884"/>
      <c r="AE264" s="876">
        <f>AC264</f>
        <v>180659</v>
      </c>
      <c r="AF264" s="874">
        <v>11</v>
      </c>
      <c r="AG264" s="874">
        <f t="shared" si="54"/>
        <v>112508</v>
      </c>
      <c r="AH264" s="874">
        <f t="shared" si="49"/>
        <v>84381</v>
      </c>
      <c r="AI264" s="874">
        <f>((AH264*100%)/75%)-AH264</f>
        <v>28127</v>
      </c>
      <c r="AJ264" s="874">
        <f t="shared" si="55"/>
        <v>112508</v>
      </c>
    </row>
    <row r="265" spans="1:36" s="878" customFormat="1" ht="26.1" customHeight="1">
      <c r="A265" s="882" t="s">
        <v>2112</v>
      </c>
      <c r="B265" s="897" t="s">
        <v>2113</v>
      </c>
      <c r="C265" s="887" t="s">
        <v>2114</v>
      </c>
      <c r="D265" s="881" t="s">
        <v>2115</v>
      </c>
      <c r="E265" s="885" t="s">
        <v>2116</v>
      </c>
      <c r="F265" s="899" t="s">
        <v>884</v>
      </c>
      <c r="G265" s="887" t="s">
        <v>347</v>
      </c>
      <c r="H265" s="899" t="s">
        <v>133</v>
      </c>
      <c r="I265" s="887" t="s">
        <v>1803</v>
      </c>
      <c r="J265" s="900"/>
      <c r="K265" s="898"/>
      <c r="L265" s="865"/>
      <c r="M265" s="898"/>
      <c r="N265" s="899"/>
      <c r="O265" s="899"/>
      <c r="P265" s="881" t="s">
        <v>1696</v>
      </c>
      <c r="Q265" s="890" t="s">
        <v>2117</v>
      </c>
      <c r="R265" s="872">
        <v>7200</v>
      </c>
      <c r="S265" s="872">
        <v>6195</v>
      </c>
      <c r="T265" s="901" t="s">
        <v>2118</v>
      </c>
      <c r="U265" s="898"/>
      <c r="V265" s="881" t="s">
        <v>587</v>
      </c>
      <c r="W265" s="887" t="s">
        <v>479</v>
      </c>
      <c r="X265" s="873">
        <v>1</v>
      </c>
      <c r="Y265" s="874">
        <v>152073</v>
      </c>
      <c r="Z265" s="874"/>
      <c r="AA265" s="874"/>
      <c r="AB265" s="874"/>
      <c r="AC265" s="876">
        <f>Y265</f>
        <v>152073</v>
      </c>
      <c r="AD265" s="884"/>
      <c r="AE265" s="876">
        <f>AC265</f>
        <v>152073</v>
      </c>
      <c r="AF265" s="874">
        <v>7</v>
      </c>
      <c r="AG265" s="874">
        <f t="shared" si="54"/>
        <v>61463.414634146342</v>
      </c>
      <c r="AH265" s="902">
        <f t="shared" ref="AH265:AH281" si="57">AF265*R265</f>
        <v>50400</v>
      </c>
      <c r="AI265" s="874">
        <f>((AH265*100%)/82%)-AH265</f>
        <v>11063.414634146342</v>
      </c>
      <c r="AJ265" s="874">
        <f t="shared" si="55"/>
        <v>61463.414634146342</v>
      </c>
    </row>
    <row r="266" spans="1:36" s="864" customFormat="1" ht="26.1" customHeight="1">
      <c r="A266" s="859" t="s">
        <v>2119</v>
      </c>
      <c r="B266" s="1825" t="s">
        <v>38</v>
      </c>
      <c r="C266" s="1825"/>
      <c r="D266" s="1825"/>
      <c r="E266" s="1145"/>
      <c r="F266" s="948"/>
      <c r="G266" s="1024"/>
      <c r="H266" s="948"/>
      <c r="I266" s="948"/>
      <c r="J266" s="1025"/>
      <c r="K266" s="1024"/>
      <c r="L266" s="907"/>
      <c r="M266" s="859"/>
      <c r="N266" s="859"/>
      <c r="O266" s="859"/>
      <c r="P266" s="948"/>
      <c r="Q266" s="1024"/>
      <c r="R266" s="909"/>
      <c r="S266" s="909"/>
      <c r="T266" s="948"/>
      <c r="U266" s="950"/>
      <c r="V266" s="948"/>
      <c r="W266" s="1024"/>
      <c r="X266" s="955">
        <f>SUM(X267:X281)</f>
        <v>15</v>
      </c>
      <c r="Y266" s="955">
        <f t="shared" ref="Y266:AB266" si="58">SUM(Y267:Y281)</f>
        <v>2457532</v>
      </c>
      <c r="Z266" s="955">
        <f t="shared" si="58"/>
        <v>0</v>
      </c>
      <c r="AA266" s="955">
        <f t="shared" si="58"/>
        <v>0</v>
      </c>
      <c r="AB266" s="955">
        <f t="shared" si="58"/>
        <v>0</v>
      </c>
      <c r="AC266" s="955">
        <f>SUM(AC267:AC281)</f>
        <v>2457532</v>
      </c>
      <c r="AD266" s="955">
        <f t="shared" ref="AD266:AJ266" si="59">SUM(AD267:AD281)</f>
        <v>0</v>
      </c>
      <c r="AE266" s="955">
        <f t="shared" si="59"/>
        <v>2457532</v>
      </c>
      <c r="AF266" s="955"/>
      <c r="AG266" s="955">
        <f t="shared" si="59"/>
        <v>346666.09756097564</v>
      </c>
      <c r="AH266" s="955">
        <f t="shared" si="59"/>
        <v>280454</v>
      </c>
      <c r="AI266" s="955">
        <f t="shared" si="59"/>
        <v>66212.097560975628</v>
      </c>
      <c r="AJ266" s="955">
        <f t="shared" si="59"/>
        <v>346666.09756097564</v>
      </c>
    </row>
    <row r="267" spans="1:36" s="930" customFormat="1" ht="26.1" customHeight="1">
      <c r="A267" s="972" t="s">
        <v>2120</v>
      </c>
      <c r="B267" s="920" t="s">
        <v>2121</v>
      </c>
      <c r="C267" s="932">
        <v>24265</v>
      </c>
      <c r="D267" s="923" t="s">
        <v>1269</v>
      </c>
      <c r="E267" s="920" t="s">
        <v>2122</v>
      </c>
      <c r="F267" s="923" t="s">
        <v>378</v>
      </c>
      <c r="G267" s="932" t="s">
        <v>224</v>
      </c>
      <c r="H267" s="923"/>
      <c r="I267" s="923"/>
      <c r="J267" s="924">
        <v>0.22</v>
      </c>
      <c r="K267" s="932" t="s">
        <v>516</v>
      </c>
      <c r="L267" s="933" t="s">
        <v>1746</v>
      </c>
      <c r="M267" s="972" t="s">
        <v>224</v>
      </c>
      <c r="N267" s="984"/>
      <c r="O267" s="984"/>
      <c r="P267" s="923" t="s">
        <v>673</v>
      </c>
      <c r="Q267" s="932" t="s">
        <v>2123</v>
      </c>
      <c r="R267" s="940">
        <v>7353</v>
      </c>
      <c r="S267" s="940">
        <v>5972</v>
      </c>
      <c r="T267" s="923" t="s">
        <v>1773</v>
      </c>
      <c r="U267" s="1013"/>
      <c r="V267" s="923" t="s">
        <v>2124</v>
      </c>
      <c r="W267" s="932" t="s">
        <v>348</v>
      </c>
      <c r="X267" s="979">
        <v>1</v>
      </c>
      <c r="Y267" s="902">
        <v>86467</v>
      </c>
      <c r="Z267" s="1017"/>
      <c r="AA267" s="1017"/>
      <c r="AB267" s="1017"/>
      <c r="AC267" s="958">
        <f>Y267</f>
        <v>86467</v>
      </c>
      <c r="AD267" s="1018"/>
      <c r="AE267" s="958">
        <f>AC267</f>
        <v>86467</v>
      </c>
      <c r="AF267" s="902">
        <v>6</v>
      </c>
      <c r="AG267" s="902">
        <f>AH267+AI267</f>
        <v>53802.439024390245</v>
      </c>
      <c r="AH267" s="902">
        <f t="shared" si="57"/>
        <v>44118</v>
      </c>
      <c r="AI267" s="874">
        <f>((AH267*100%)/82%)-AH267</f>
        <v>9684.4390243902453</v>
      </c>
      <c r="AJ267" s="874">
        <f>AG267-AD267</f>
        <v>53802.439024390245</v>
      </c>
    </row>
    <row r="268" spans="1:36" s="930" customFormat="1" ht="26.1" customHeight="1">
      <c r="A268" s="972" t="s">
        <v>2125</v>
      </c>
      <c r="B268" s="920" t="s">
        <v>2126</v>
      </c>
      <c r="C268" s="932">
        <v>23204</v>
      </c>
      <c r="D268" s="923" t="s">
        <v>2127</v>
      </c>
      <c r="E268" s="920" t="s">
        <v>2128</v>
      </c>
      <c r="F268" s="923" t="s">
        <v>535</v>
      </c>
      <c r="G268" s="932" t="s">
        <v>224</v>
      </c>
      <c r="H268" s="923"/>
      <c r="I268" s="923"/>
      <c r="J268" s="924">
        <v>0.28999999999999998</v>
      </c>
      <c r="K268" s="932" t="s">
        <v>259</v>
      </c>
      <c r="L268" s="933" t="s">
        <v>695</v>
      </c>
      <c r="M268" s="972" t="s">
        <v>224</v>
      </c>
      <c r="N268" s="984"/>
      <c r="O268" s="984"/>
      <c r="P268" s="923" t="s">
        <v>555</v>
      </c>
      <c r="Q268" s="932" t="s">
        <v>2129</v>
      </c>
      <c r="R268" s="940">
        <v>7788</v>
      </c>
      <c r="S268" s="940">
        <v>6672</v>
      </c>
      <c r="T268" s="923" t="s">
        <v>2130</v>
      </c>
      <c r="U268" s="1013"/>
      <c r="V268" s="923" t="s">
        <v>2131</v>
      </c>
      <c r="W268" s="932" t="s">
        <v>348</v>
      </c>
      <c r="X268" s="979">
        <v>1</v>
      </c>
      <c r="Y268" s="902">
        <v>159925</v>
      </c>
      <c r="Z268" s="1017"/>
      <c r="AA268" s="1017"/>
      <c r="AB268" s="1017"/>
      <c r="AC268" s="958">
        <f>Y268</f>
        <v>159925</v>
      </c>
      <c r="AD268" s="1018"/>
      <c r="AE268" s="958">
        <f>AC268</f>
        <v>159925</v>
      </c>
      <c r="AF268" s="902">
        <v>6</v>
      </c>
      <c r="AG268" s="902">
        <f t="shared" ref="AG268:AG281" si="60">AH268+AI268</f>
        <v>56985.365853658543</v>
      </c>
      <c r="AH268" s="902">
        <f t="shared" si="57"/>
        <v>46728</v>
      </c>
      <c r="AI268" s="874">
        <f t="shared" ref="AI268:AI270" si="61">((AH268*100%)/82%)-AH268</f>
        <v>10257.365853658543</v>
      </c>
      <c r="AJ268" s="874">
        <f t="shared" ref="AJ268:AJ281" si="62">AG268-AD268</f>
        <v>56985.365853658543</v>
      </c>
    </row>
    <row r="269" spans="1:36" s="930" customFormat="1" ht="26.1" customHeight="1">
      <c r="A269" s="972" t="s">
        <v>2132</v>
      </c>
      <c r="B269" s="920" t="s">
        <v>2133</v>
      </c>
      <c r="C269" s="932">
        <v>24806</v>
      </c>
      <c r="D269" s="923" t="s">
        <v>1737</v>
      </c>
      <c r="E269" s="920" t="s">
        <v>2134</v>
      </c>
      <c r="F269" s="923" t="s">
        <v>1194</v>
      </c>
      <c r="G269" s="932">
        <v>42278</v>
      </c>
      <c r="H269" s="923"/>
      <c r="I269" s="923"/>
      <c r="J269" s="924">
        <v>0.28999999999999998</v>
      </c>
      <c r="K269" s="932" t="s">
        <v>259</v>
      </c>
      <c r="L269" s="933"/>
      <c r="M269" s="984"/>
      <c r="N269" s="984"/>
      <c r="O269" s="984"/>
      <c r="P269" s="923" t="s">
        <v>507</v>
      </c>
      <c r="Q269" s="932" t="s">
        <v>2135</v>
      </c>
      <c r="R269" s="940">
        <v>8836</v>
      </c>
      <c r="S269" s="940">
        <v>7171</v>
      </c>
      <c r="T269" s="923" t="s">
        <v>2136</v>
      </c>
      <c r="U269" s="1013"/>
      <c r="V269" s="923" t="s">
        <v>2137</v>
      </c>
      <c r="W269" s="932" t="s">
        <v>479</v>
      </c>
      <c r="X269" s="979">
        <v>1</v>
      </c>
      <c r="Y269" s="902">
        <v>155345</v>
      </c>
      <c r="Z269" s="1017"/>
      <c r="AA269" s="1017"/>
      <c r="AB269" s="1017"/>
      <c r="AC269" s="958">
        <f>Y269</f>
        <v>155345</v>
      </c>
      <c r="AD269" s="1018"/>
      <c r="AE269" s="958">
        <f>AC269</f>
        <v>155345</v>
      </c>
      <c r="AF269" s="902">
        <v>7</v>
      </c>
      <c r="AG269" s="902">
        <f t="shared" si="60"/>
        <v>75429.268292682929</v>
      </c>
      <c r="AH269" s="902">
        <f t="shared" si="57"/>
        <v>61852</v>
      </c>
      <c r="AI269" s="874">
        <f t="shared" si="61"/>
        <v>13577.268292682929</v>
      </c>
      <c r="AJ269" s="874">
        <f t="shared" si="62"/>
        <v>75429.268292682929</v>
      </c>
    </row>
    <row r="270" spans="1:36" s="930" customFormat="1" ht="26.1" customHeight="1">
      <c r="A270" s="972" t="s">
        <v>2138</v>
      </c>
      <c r="B270" s="920" t="s">
        <v>2139</v>
      </c>
      <c r="C270" s="932" t="s">
        <v>2140</v>
      </c>
      <c r="D270" s="923" t="s">
        <v>1269</v>
      </c>
      <c r="E270" s="920" t="s">
        <v>2141</v>
      </c>
      <c r="F270" s="923" t="s">
        <v>440</v>
      </c>
      <c r="G270" s="932" t="s">
        <v>183</v>
      </c>
      <c r="H270" s="923"/>
      <c r="I270" s="923"/>
      <c r="J270" s="924">
        <v>0.31</v>
      </c>
      <c r="K270" s="932" t="s">
        <v>1161</v>
      </c>
      <c r="L270" s="986">
        <v>0.09</v>
      </c>
      <c r="M270" s="972" t="s">
        <v>183</v>
      </c>
      <c r="N270" s="984"/>
      <c r="O270" s="984"/>
      <c r="P270" s="923" t="s">
        <v>585</v>
      </c>
      <c r="Q270" s="932" t="s">
        <v>2142</v>
      </c>
      <c r="R270" s="940">
        <v>7901</v>
      </c>
      <c r="S270" s="940">
        <v>6649</v>
      </c>
      <c r="T270" s="923" t="s">
        <v>2143</v>
      </c>
      <c r="U270" s="1013"/>
      <c r="V270" s="923" t="s">
        <v>1715</v>
      </c>
      <c r="W270" s="932" t="s">
        <v>139</v>
      </c>
      <c r="X270" s="979">
        <v>1</v>
      </c>
      <c r="Y270" s="902">
        <v>131269</v>
      </c>
      <c r="Z270" s="1017"/>
      <c r="AA270" s="1017"/>
      <c r="AB270" s="1017"/>
      <c r="AC270" s="958">
        <f>Y270</f>
        <v>131269</v>
      </c>
      <c r="AD270" s="1018"/>
      <c r="AE270" s="958">
        <f>AC270</f>
        <v>131269</v>
      </c>
      <c r="AF270" s="902">
        <v>11</v>
      </c>
      <c r="AG270" s="902">
        <f t="shared" si="60"/>
        <v>105989.02439024391</v>
      </c>
      <c r="AH270" s="902">
        <f t="shared" si="57"/>
        <v>86911</v>
      </c>
      <c r="AI270" s="874">
        <f t="shared" si="61"/>
        <v>19078.024390243911</v>
      </c>
      <c r="AJ270" s="874">
        <f t="shared" si="62"/>
        <v>105989.02439024391</v>
      </c>
    </row>
    <row r="271" spans="1:36" s="930" customFormat="1" ht="26.1" customHeight="1">
      <c r="A271" s="972" t="s">
        <v>2144</v>
      </c>
      <c r="B271" s="920" t="s">
        <v>2145</v>
      </c>
      <c r="C271" s="932">
        <v>22595</v>
      </c>
      <c r="D271" s="923" t="s">
        <v>2146</v>
      </c>
      <c r="E271" s="920" t="s">
        <v>2147</v>
      </c>
      <c r="F271" s="923" t="s">
        <v>2148</v>
      </c>
      <c r="G271" s="932" t="s">
        <v>224</v>
      </c>
      <c r="H271" s="923">
        <v>0.2</v>
      </c>
      <c r="I271" s="923" t="s">
        <v>2149</v>
      </c>
      <c r="J271" s="924"/>
      <c r="K271" s="932"/>
      <c r="L271" s="986">
        <v>0.14000000000000001</v>
      </c>
      <c r="M271" s="972" t="s">
        <v>224</v>
      </c>
      <c r="N271" s="984"/>
      <c r="O271" s="984"/>
      <c r="P271" s="923" t="s">
        <v>2150</v>
      </c>
      <c r="Q271" s="932" t="s">
        <v>2151</v>
      </c>
      <c r="R271" s="940">
        <v>8169</v>
      </c>
      <c r="S271" s="940">
        <v>7171</v>
      </c>
      <c r="T271" s="923" t="s">
        <v>2152</v>
      </c>
      <c r="U271" s="1013"/>
      <c r="V271" s="923" t="s">
        <v>2153</v>
      </c>
      <c r="W271" s="932" t="s">
        <v>252</v>
      </c>
      <c r="X271" s="979">
        <v>1</v>
      </c>
      <c r="Y271" s="902">
        <v>159569</v>
      </c>
      <c r="Z271" s="1017"/>
      <c r="AA271" s="1017"/>
      <c r="AB271" s="1017"/>
      <c r="AC271" s="958">
        <v>159569</v>
      </c>
      <c r="AD271" s="1018"/>
      <c r="AE271" s="958">
        <v>159569</v>
      </c>
      <c r="AF271" s="902">
        <v>5</v>
      </c>
      <c r="AG271" s="902">
        <f t="shared" si="60"/>
        <v>54460</v>
      </c>
      <c r="AH271" s="902">
        <f t="shared" si="57"/>
        <v>40845</v>
      </c>
      <c r="AI271" s="902">
        <f>((AH271*100%)/75%)-AH271</f>
        <v>13615</v>
      </c>
      <c r="AJ271" s="874">
        <f t="shared" si="62"/>
        <v>54460</v>
      </c>
    </row>
    <row r="272" spans="1:36" s="930" customFormat="1" ht="26.1" customHeight="1">
      <c r="A272" s="972" t="s">
        <v>2154</v>
      </c>
      <c r="B272" s="920" t="s">
        <v>2155</v>
      </c>
      <c r="C272" s="932">
        <v>23655</v>
      </c>
      <c r="D272" s="923" t="s">
        <v>2156</v>
      </c>
      <c r="E272" s="920" t="s">
        <v>2157</v>
      </c>
      <c r="F272" s="923" t="s">
        <v>1058</v>
      </c>
      <c r="G272" s="932" t="s">
        <v>224</v>
      </c>
      <c r="H272" s="923"/>
      <c r="I272" s="923"/>
      <c r="J272" s="924">
        <v>0.33</v>
      </c>
      <c r="K272" s="932" t="s">
        <v>516</v>
      </c>
      <c r="L272" s="986">
        <v>0.08</v>
      </c>
      <c r="M272" s="972" t="s">
        <v>224</v>
      </c>
      <c r="N272" s="984"/>
      <c r="O272" s="984"/>
      <c r="P272" s="923" t="s">
        <v>2158</v>
      </c>
      <c r="Q272" s="932" t="s">
        <v>2159</v>
      </c>
      <c r="R272" s="940"/>
      <c r="S272" s="940">
        <v>8670</v>
      </c>
      <c r="T272" s="923" t="s">
        <v>2160</v>
      </c>
      <c r="U272" s="1013"/>
      <c r="V272" s="923" t="s">
        <v>2161</v>
      </c>
      <c r="W272" s="932" t="s">
        <v>176</v>
      </c>
      <c r="X272" s="979">
        <v>1</v>
      </c>
      <c r="Y272" s="902">
        <v>236283</v>
      </c>
      <c r="Z272" s="1017"/>
      <c r="AA272" s="1017"/>
      <c r="AB272" s="1017"/>
      <c r="AC272" s="958">
        <v>236283</v>
      </c>
      <c r="AD272" s="1018"/>
      <c r="AE272" s="958">
        <v>236283</v>
      </c>
      <c r="AF272" s="902">
        <v>0</v>
      </c>
      <c r="AG272" s="902">
        <f t="shared" si="60"/>
        <v>0</v>
      </c>
      <c r="AH272" s="902">
        <f t="shared" si="57"/>
        <v>0</v>
      </c>
      <c r="AI272" s="874">
        <f>((AH272*100%)/82%)-AH272</f>
        <v>0</v>
      </c>
      <c r="AJ272" s="874">
        <f t="shared" si="62"/>
        <v>0</v>
      </c>
    </row>
    <row r="273" spans="1:36" s="930" customFormat="1" ht="26.1" customHeight="1">
      <c r="A273" s="972" t="s">
        <v>2162</v>
      </c>
      <c r="B273" s="920" t="s">
        <v>2163</v>
      </c>
      <c r="C273" s="932">
        <v>23663</v>
      </c>
      <c r="D273" s="923" t="s">
        <v>2164</v>
      </c>
      <c r="E273" s="920" t="s">
        <v>2165</v>
      </c>
      <c r="F273" s="923" t="s">
        <v>388</v>
      </c>
      <c r="G273" s="932" t="s">
        <v>564</v>
      </c>
      <c r="H273" s="923"/>
      <c r="I273" s="923"/>
      <c r="J273" s="924">
        <v>0.33</v>
      </c>
      <c r="K273" s="932" t="s">
        <v>348</v>
      </c>
      <c r="L273" s="986">
        <v>0.1</v>
      </c>
      <c r="M273" s="972" t="s">
        <v>564</v>
      </c>
      <c r="N273" s="984"/>
      <c r="O273" s="984"/>
      <c r="P273" s="923" t="s">
        <v>2166</v>
      </c>
      <c r="Q273" s="932" t="s">
        <v>2167</v>
      </c>
      <c r="R273" s="940"/>
      <c r="S273" s="940">
        <v>7214</v>
      </c>
      <c r="T273" s="923" t="s">
        <v>2168</v>
      </c>
      <c r="U273" s="1013"/>
      <c r="V273" s="923" t="s">
        <v>2169</v>
      </c>
      <c r="W273" s="932" t="s">
        <v>176</v>
      </c>
      <c r="X273" s="979">
        <v>1</v>
      </c>
      <c r="Y273" s="902">
        <v>193371</v>
      </c>
      <c r="Z273" s="1017"/>
      <c r="AA273" s="1017"/>
      <c r="AB273" s="1017"/>
      <c r="AC273" s="958">
        <v>193371</v>
      </c>
      <c r="AD273" s="1018"/>
      <c r="AE273" s="958">
        <v>193371</v>
      </c>
      <c r="AF273" s="902">
        <v>0</v>
      </c>
      <c r="AG273" s="902">
        <f t="shared" si="60"/>
        <v>0</v>
      </c>
      <c r="AH273" s="902">
        <f t="shared" si="57"/>
        <v>0</v>
      </c>
      <c r="AI273" s="874">
        <f t="shared" ref="AI273:AI281" si="63">((AH273*100%)/82%)-AH273</f>
        <v>0</v>
      </c>
      <c r="AJ273" s="874">
        <f t="shared" si="62"/>
        <v>0</v>
      </c>
    </row>
    <row r="274" spans="1:36" s="930" customFormat="1" ht="26.1" customHeight="1">
      <c r="A274" s="972" t="s">
        <v>2170</v>
      </c>
      <c r="B274" s="920" t="s">
        <v>2171</v>
      </c>
      <c r="C274" s="932">
        <v>24812</v>
      </c>
      <c r="D274" s="923" t="s">
        <v>2172</v>
      </c>
      <c r="E274" s="920" t="s">
        <v>2173</v>
      </c>
      <c r="F274" s="923" t="s">
        <v>505</v>
      </c>
      <c r="G274" s="932" t="s">
        <v>183</v>
      </c>
      <c r="H274" s="923"/>
      <c r="I274" s="923"/>
      <c r="J274" s="924">
        <v>0.28999999999999998</v>
      </c>
      <c r="K274" s="932">
        <v>43191</v>
      </c>
      <c r="L274" s="986"/>
      <c r="M274" s="972"/>
      <c r="N274" s="984"/>
      <c r="O274" s="984"/>
      <c r="P274" s="923" t="s">
        <v>507</v>
      </c>
      <c r="Q274" s="932" t="s">
        <v>508</v>
      </c>
      <c r="R274" s="940"/>
      <c r="S274" s="940">
        <v>7499</v>
      </c>
      <c r="T274" s="923" t="s">
        <v>2174</v>
      </c>
      <c r="U274" s="1013"/>
      <c r="V274" s="923" t="s">
        <v>2175</v>
      </c>
      <c r="W274" s="932" t="s">
        <v>176</v>
      </c>
      <c r="X274" s="979">
        <v>1</v>
      </c>
      <c r="Y274" s="902">
        <v>149877</v>
      </c>
      <c r="Z274" s="1017"/>
      <c r="AA274" s="1017"/>
      <c r="AB274" s="1017"/>
      <c r="AC274" s="958">
        <v>149877</v>
      </c>
      <c r="AD274" s="1018"/>
      <c r="AE274" s="958">
        <v>149877</v>
      </c>
      <c r="AF274" s="902">
        <v>0</v>
      </c>
      <c r="AG274" s="902">
        <f t="shared" si="60"/>
        <v>0</v>
      </c>
      <c r="AH274" s="902">
        <f t="shared" si="57"/>
        <v>0</v>
      </c>
      <c r="AI274" s="874">
        <f t="shared" si="63"/>
        <v>0</v>
      </c>
      <c r="AJ274" s="874">
        <f t="shared" si="62"/>
        <v>0</v>
      </c>
    </row>
    <row r="275" spans="1:36" s="930" customFormat="1" ht="26.1" customHeight="1">
      <c r="A275" s="972" t="s">
        <v>2176</v>
      </c>
      <c r="B275" s="920" t="s">
        <v>2177</v>
      </c>
      <c r="C275" s="932">
        <v>25218</v>
      </c>
      <c r="D275" s="923" t="s">
        <v>2156</v>
      </c>
      <c r="E275" s="920" t="s">
        <v>2178</v>
      </c>
      <c r="F275" s="923" t="s">
        <v>440</v>
      </c>
      <c r="G275" s="932" t="s">
        <v>224</v>
      </c>
      <c r="H275" s="923"/>
      <c r="I275" s="923"/>
      <c r="J275" s="924">
        <v>0.31</v>
      </c>
      <c r="K275" s="932" t="s">
        <v>170</v>
      </c>
      <c r="L275" s="986">
        <v>0.09</v>
      </c>
      <c r="M275" s="972" t="s">
        <v>224</v>
      </c>
      <c r="N275" s="984"/>
      <c r="O275" s="984"/>
      <c r="P275" s="923" t="s">
        <v>585</v>
      </c>
      <c r="Q275" s="932" t="s">
        <v>2179</v>
      </c>
      <c r="R275" s="940"/>
      <c r="S275" s="940">
        <v>6914</v>
      </c>
      <c r="T275" s="923" t="s">
        <v>2180</v>
      </c>
      <c r="U275" s="1013"/>
      <c r="V275" s="923" t="s">
        <v>2181</v>
      </c>
      <c r="W275" s="932" t="s">
        <v>252</v>
      </c>
      <c r="X275" s="979">
        <v>1</v>
      </c>
      <c r="Y275" s="902">
        <v>169395</v>
      </c>
      <c r="Z275" s="1017"/>
      <c r="AA275" s="1017"/>
      <c r="AB275" s="1017"/>
      <c r="AC275" s="958">
        <v>169395</v>
      </c>
      <c r="AD275" s="1018"/>
      <c r="AE275" s="958">
        <v>169395</v>
      </c>
      <c r="AF275" s="902">
        <v>5</v>
      </c>
      <c r="AG275" s="902">
        <f t="shared" si="60"/>
        <v>0</v>
      </c>
      <c r="AH275" s="902">
        <f t="shared" si="57"/>
        <v>0</v>
      </c>
      <c r="AI275" s="874">
        <f t="shared" si="63"/>
        <v>0</v>
      </c>
      <c r="AJ275" s="874">
        <f t="shared" si="62"/>
        <v>0</v>
      </c>
    </row>
    <row r="276" spans="1:36" s="930" customFormat="1" ht="26.1" customHeight="1">
      <c r="A276" s="972" t="s">
        <v>2182</v>
      </c>
      <c r="B276" s="920" t="s">
        <v>2183</v>
      </c>
      <c r="C276" s="932">
        <v>23596</v>
      </c>
      <c r="D276" s="923" t="s">
        <v>2184</v>
      </c>
      <c r="E276" s="920" t="s">
        <v>2185</v>
      </c>
      <c r="F276" s="923" t="s">
        <v>388</v>
      </c>
      <c r="G276" s="932" t="s">
        <v>314</v>
      </c>
      <c r="H276" s="923"/>
      <c r="I276" s="923"/>
      <c r="J276" s="924">
        <v>0.3</v>
      </c>
      <c r="K276" s="932" t="s">
        <v>562</v>
      </c>
      <c r="L276" s="986">
        <v>0.1</v>
      </c>
      <c r="M276" s="972" t="s">
        <v>314</v>
      </c>
      <c r="N276" s="984"/>
      <c r="O276" s="984"/>
      <c r="P276" s="923" t="s">
        <v>585</v>
      </c>
      <c r="Q276" s="932" t="s">
        <v>2179</v>
      </c>
      <c r="R276" s="940"/>
      <c r="S276" s="940">
        <v>7028</v>
      </c>
      <c r="T276" s="923" t="s">
        <v>2186</v>
      </c>
      <c r="U276" s="1013"/>
      <c r="V276" s="923" t="s">
        <v>2187</v>
      </c>
      <c r="W276" s="932" t="s">
        <v>564</v>
      </c>
      <c r="X276" s="979">
        <v>1</v>
      </c>
      <c r="Y276" s="902">
        <v>179263</v>
      </c>
      <c r="Z276" s="1017"/>
      <c r="AA276" s="1017"/>
      <c r="AB276" s="1017"/>
      <c r="AC276" s="958">
        <v>179263</v>
      </c>
      <c r="AD276" s="1018"/>
      <c r="AE276" s="958">
        <v>179263</v>
      </c>
      <c r="AF276" s="902">
        <v>2</v>
      </c>
      <c r="AG276" s="902">
        <f t="shared" si="60"/>
        <v>0</v>
      </c>
      <c r="AH276" s="902">
        <f t="shared" si="57"/>
        <v>0</v>
      </c>
      <c r="AI276" s="874">
        <f t="shared" si="63"/>
        <v>0</v>
      </c>
      <c r="AJ276" s="874">
        <f t="shared" si="62"/>
        <v>0</v>
      </c>
    </row>
    <row r="277" spans="1:36" s="930" customFormat="1" ht="26.1" customHeight="1">
      <c r="A277" s="972" t="s">
        <v>2188</v>
      </c>
      <c r="B277" s="920" t="s">
        <v>2189</v>
      </c>
      <c r="C277" s="932">
        <v>24636</v>
      </c>
      <c r="D277" s="923" t="s">
        <v>2190</v>
      </c>
      <c r="E277" s="920" t="s">
        <v>2191</v>
      </c>
      <c r="F277" s="923" t="s">
        <v>388</v>
      </c>
      <c r="G277" s="932" t="s">
        <v>183</v>
      </c>
      <c r="H277" s="923">
        <v>0.2</v>
      </c>
      <c r="I277" s="923" t="s">
        <v>2192</v>
      </c>
      <c r="J277" s="924">
        <v>0.3</v>
      </c>
      <c r="K277" s="932" t="s">
        <v>164</v>
      </c>
      <c r="L277" s="986">
        <v>0.1</v>
      </c>
      <c r="M277" s="972" t="s">
        <v>183</v>
      </c>
      <c r="N277" s="984"/>
      <c r="O277" s="984"/>
      <c r="P277" s="923" t="s">
        <v>1014</v>
      </c>
      <c r="Q277" s="932" t="s">
        <v>188</v>
      </c>
      <c r="R277" s="940"/>
      <c r="S277" s="940">
        <v>7054</v>
      </c>
      <c r="T277" s="923" t="s">
        <v>2193</v>
      </c>
      <c r="U277" s="1013"/>
      <c r="V277" s="923" t="s">
        <v>2194</v>
      </c>
      <c r="W277" s="932" t="s">
        <v>564</v>
      </c>
      <c r="X277" s="979">
        <v>1</v>
      </c>
      <c r="Y277" s="902">
        <v>134093</v>
      </c>
      <c r="Z277" s="1017"/>
      <c r="AA277" s="1017"/>
      <c r="AB277" s="1017"/>
      <c r="AC277" s="958">
        <v>134093</v>
      </c>
      <c r="AD277" s="1018"/>
      <c r="AE277" s="958">
        <v>134093</v>
      </c>
      <c r="AF277" s="902">
        <v>2</v>
      </c>
      <c r="AG277" s="902">
        <f t="shared" si="60"/>
        <v>0</v>
      </c>
      <c r="AH277" s="902">
        <f t="shared" si="57"/>
        <v>0</v>
      </c>
      <c r="AI277" s="874">
        <f>((AH277*100%)/82%)-AH277</f>
        <v>0</v>
      </c>
      <c r="AJ277" s="874">
        <f t="shared" si="62"/>
        <v>0</v>
      </c>
    </row>
    <row r="278" spans="1:36" s="930" customFormat="1" ht="26.1" customHeight="1">
      <c r="A278" s="972" t="s">
        <v>2195</v>
      </c>
      <c r="B278" s="920" t="s">
        <v>2196</v>
      </c>
      <c r="C278" s="932">
        <v>23391</v>
      </c>
      <c r="D278" s="923" t="s">
        <v>1168</v>
      </c>
      <c r="E278" s="920" t="s">
        <v>2197</v>
      </c>
      <c r="F278" s="923" t="s">
        <v>440</v>
      </c>
      <c r="G278" s="932" t="s">
        <v>564</v>
      </c>
      <c r="H278" s="923"/>
      <c r="I278" s="923"/>
      <c r="J278" s="924">
        <v>0.3</v>
      </c>
      <c r="K278" s="932" t="s">
        <v>479</v>
      </c>
      <c r="L278" s="986">
        <v>0.09</v>
      </c>
      <c r="M278" s="972" t="s">
        <v>564</v>
      </c>
      <c r="N278" s="984"/>
      <c r="O278" s="984"/>
      <c r="P278" s="923" t="s">
        <v>679</v>
      </c>
      <c r="Q278" s="932" t="s">
        <v>2198</v>
      </c>
      <c r="R278" s="940"/>
      <c r="S278" s="940">
        <v>6957</v>
      </c>
      <c r="T278" s="923" t="s">
        <v>2199</v>
      </c>
      <c r="U278" s="1013"/>
      <c r="V278" s="923" t="s">
        <v>2200</v>
      </c>
      <c r="W278" s="932" t="s">
        <v>176</v>
      </c>
      <c r="X278" s="979">
        <v>1</v>
      </c>
      <c r="Y278" s="902">
        <v>165358</v>
      </c>
      <c r="Z278" s="1017"/>
      <c r="AA278" s="1017"/>
      <c r="AB278" s="1017"/>
      <c r="AC278" s="958">
        <v>165358</v>
      </c>
      <c r="AD278" s="1018"/>
      <c r="AE278" s="958">
        <v>165358</v>
      </c>
      <c r="AF278" s="902">
        <v>0</v>
      </c>
      <c r="AG278" s="902">
        <f t="shared" si="60"/>
        <v>0</v>
      </c>
      <c r="AH278" s="902">
        <f t="shared" si="57"/>
        <v>0</v>
      </c>
      <c r="AI278" s="874">
        <f t="shared" si="63"/>
        <v>0</v>
      </c>
      <c r="AJ278" s="874">
        <f t="shared" si="62"/>
        <v>0</v>
      </c>
    </row>
    <row r="279" spans="1:36" s="930" customFormat="1" ht="26.1" customHeight="1">
      <c r="A279" s="972" t="s">
        <v>2201</v>
      </c>
      <c r="B279" s="920" t="s">
        <v>2202</v>
      </c>
      <c r="C279" s="932">
        <v>24991</v>
      </c>
      <c r="D279" s="923" t="s">
        <v>1168</v>
      </c>
      <c r="E279" s="920" t="s">
        <v>2185</v>
      </c>
      <c r="F279" s="923" t="s">
        <v>388</v>
      </c>
      <c r="G279" s="932" t="s">
        <v>2203</v>
      </c>
      <c r="H279" s="923"/>
      <c r="I279" s="923"/>
      <c r="J279" s="924">
        <v>0.28999999999999998</v>
      </c>
      <c r="K279" s="932" t="s">
        <v>164</v>
      </c>
      <c r="L279" s="986">
        <v>0.1</v>
      </c>
      <c r="M279" s="972" t="s">
        <v>314</v>
      </c>
      <c r="N279" s="984"/>
      <c r="O279" s="984"/>
      <c r="P279" s="923" t="s">
        <v>679</v>
      </c>
      <c r="Q279" s="932" t="s">
        <v>1349</v>
      </c>
      <c r="R279" s="940"/>
      <c r="S279" s="940">
        <v>6857</v>
      </c>
      <c r="T279" s="923" t="s">
        <v>2204</v>
      </c>
      <c r="U279" s="1013"/>
      <c r="V279" s="923" t="s">
        <v>2205</v>
      </c>
      <c r="W279" s="932" t="s">
        <v>252</v>
      </c>
      <c r="X279" s="979">
        <v>1</v>
      </c>
      <c r="Y279" s="902">
        <v>146433</v>
      </c>
      <c r="Z279" s="1017"/>
      <c r="AA279" s="1017"/>
      <c r="AB279" s="1017"/>
      <c r="AC279" s="958">
        <v>146433</v>
      </c>
      <c r="AD279" s="1018"/>
      <c r="AE279" s="958">
        <v>146433</v>
      </c>
      <c r="AF279" s="902">
        <v>5</v>
      </c>
      <c r="AG279" s="902">
        <f t="shared" si="60"/>
        <v>0</v>
      </c>
      <c r="AH279" s="902">
        <f t="shared" si="57"/>
        <v>0</v>
      </c>
      <c r="AI279" s="874">
        <f t="shared" si="63"/>
        <v>0</v>
      </c>
      <c r="AJ279" s="874">
        <f t="shared" si="62"/>
        <v>0</v>
      </c>
    </row>
    <row r="280" spans="1:36" s="930" customFormat="1" ht="26.1" customHeight="1">
      <c r="A280" s="972" t="s">
        <v>2206</v>
      </c>
      <c r="B280" s="920" t="s">
        <v>2207</v>
      </c>
      <c r="C280" s="932">
        <v>23415</v>
      </c>
      <c r="D280" s="923" t="s">
        <v>1168</v>
      </c>
      <c r="E280" s="920" t="s">
        <v>2178</v>
      </c>
      <c r="F280" s="923" t="s">
        <v>2208</v>
      </c>
      <c r="G280" s="932" t="s">
        <v>183</v>
      </c>
      <c r="H280" s="923"/>
      <c r="I280" s="923"/>
      <c r="J280" s="924">
        <v>0.32</v>
      </c>
      <c r="K280" s="932" t="s">
        <v>348</v>
      </c>
      <c r="L280" s="986">
        <v>0.09</v>
      </c>
      <c r="M280" s="972" t="s">
        <v>183</v>
      </c>
      <c r="N280" s="984"/>
      <c r="O280" s="984"/>
      <c r="P280" s="923" t="s">
        <v>702</v>
      </c>
      <c r="Q280" s="932" t="s">
        <v>703</v>
      </c>
      <c r="R280" s="940"/>
      <c r="S280" s="940">
        <v>6945</v>
      </c>
      <c r="T280" s="923" t="s">
        <v>2209</v>
      </c>
      <c r="U280" s="1013"/>
      <c r="V280" s="923" t="s">
        <v>2210</v>
      </c>
      <c r="W280" s="932" t="s">
        <v>252</v>
      </c>
      <c r="X280" s="979">
        <v>1</v>
      </c>
      <c r="Y280" s="902">
        <v>180688</v>
      </c>
      <c r="Z280" s="1017"/>
      <c r="AA280" s="1017"/>
      <c r="AB280" s="1017"/>
      <c r="AC280" s="958">
        <v>180688</v>
      </c>
      <c r="AD280" s="1018"/>
      <c r="AE280" s="958">
        <v>180688</v>
      </c>
      <c r="AF280" s="902">
        <v>5</v>
      </c>
      <c r="AG280" s="902">
        <f t="shared" si="60"/>
        <v>0</v>
      </c>
      <c r="AH280" s="902">
        <f t="shared" si="57"/>
        <v>0</v>
      </c>
      <c r="AI280" s="874">
        <f t="shared" si="63"/>
        <v>0</v>
      </c>
      <c r="AJ280" s="874">
        <f t="shared" si="62"/>
        <v>0</v>
      </c>
    </row>
    <row r="281" spans="1:36" s="930" customFormat="1" ht="26.1" customHeight="1">
      <c r="A281" s="1026" t="s">
        <v>2211</v>
      </c>
      <c r="B281" s="1027" t="s">
        <v>2212</v>
      </c>
      <c r="C281" s="1028">
        <v>23516</v>
      </c>
      <c r="D281" s="1029" t="s">
        <v>2184</v>
      </c>
      <c r="E281" s="1027" t="s">
        <v>2213</v>
      </c>
      <c r="F281" s="1029" t="s">
        <v>169</v>
      </c>
      <c r="G281" s="1028" t="s">
        <v>183</v>
      </c>
      <c r="H281" s="1029"/>
      <c r="I281" s="1029"/>
      <c r="J281" s="1030">
        <v>0.37</v>
      </c>
      <c r="K281" s="1028" t="s">
        <v>170</v>
      </c>
      <c r="L281" s="1031">
        <v>0.11</v>
      </c>
      <c r="M281" s="1026" t="s">
        <v>183</v>
      </c>
      <c r="N281" s="1032"/>
      <c r="O281" s="1032"/>
      <c r="P281" s="1029" t="s">
        <v>2214</v>
      </c>
      <c r="Q281" s="1028" t="s">
        <v>518</v>
      </c>
      <c r="R281" s="1033"/>
      <c r="S281" s="1033">
        <v>7295</v>
      </c>
      <c r="T281" s="1029" t="s">
        <v>2215</v>
      </c>
      <c r="U281" s="1034"/>
      <c r="V281" s="1029" t="s">
        <v>2216</v>
      </c>
      <c r="W281" s="1028" t="s">
        <v>252</v>
      </c>
      <c r="X281" s="1035">
        <v>1</v>
      </c>
      <c r="Y281" s="1036">
        <v>210196</v>
      </c>
      <c r="Z281" s="1037"/>
      <c r="AA281" s="1037"/>
      <c r="AB281" s="1037"/>
      <c r="AC281" s="1038">
        <v>210196</v>
      </c>
      <c r="AD281" s="1039"/>
      <c r="AE281" s="1038">
        <v>210196</v>
      </c>
      <c r="AF281" s="1036">
        <v>5</v>
      </c>
      <c r="AG281" s="1036">
        <f t="shared" si="60"/>
        <v>0</v>
      </c>
      <c r="AH281" s="1036">
        <f t="shared" si="57"/>
        <v>0</v>
      </c>
      <c r="AI281" s="1040">
        <f t="shared" si="63"/>
        <v>0</v>
      </c>
      <c r="AJ281" s="1040">
        <f t="shared" si="62"/>
        <v>0</v>
      </c>
    </row>
    <row r="282" spans="1:36" s="878" customFormat="1" ht="19.5" customHeight="1">
      <c r="A282" s="1041"/>
      <c r="B282" s="1042"/>
      <c r="C282" s="1041"/>
      <c r="D282" s="1041"/>
      <c r="E282" s="1042"/>
      <c r="F282" s="1041"/>
      <c r="G282" s="1041"/>
      <c r="H282" s="1041"/>
      <c r="I282" s="1041"/>
      <c r="J282" s="1041"/>
      <c r="K282" s="1041"/>
      <c r="L282" s="1041"/>
      <c r="M282" s="1041"/>
      <c r="N282" s="1041"/>
      <c r="O282" s="1041"/>
      <c r="P282" s="1041"/>
      <c r="Q282" s="1041"/>
      <c r="R282" s="1041"/>
      <c r="S282" s="1041"/>
      <c r="T282" s="1041"/>
      <c r="U282" s="1041"/>
      <c r="V282" s="1041"/>
      <c r="W282" s="1041"/>
      <c r="X282" s="1041"/>
      <c r="Y282" s="1041"/>
      <c r="Z282" s="1041"/>
      <c r="AA282" s="1041"/>
      <c r="AB282" s="1041"/>
      <c r="AC282" s="1043"/>
      <c r="AD282" s="1043"/>
      <c r="AE282" s="1043"/>
      <c r="AF282" s="1041"/>
      <c r="AG282" s="1041"/>
      <c r="AH282" s="1041" t="s">
        <v>22</v>
      </c>
      <c r="AI282" s="1041"/>
    </row>
    <row r="283" spans="1:36" s="878" customFormat="1" ht="19.5" customHeight="1">
      <c r="A283" s="1041"/>
      <c r="B283" s="1042"/>
      <c r="C283" s="1041"/>
      <c r="D283" s="1041"/>
      <c r="E283" s="1042"/>
      <c r="F283" s="1041"/>
      <c r="G283" s="1041"/>
      <c r="H283" s="1041"/>
      <c r="I283" s="1041"/>
      <c r="J283" s="1041"/>
      <c r="K283" s="1041"/>
      <c r="L283" s="1041"/>
      <c r="M283" s="1041"/>
      <c r="N283" s="1041"/>
      <c r="O283" s="1041"/>
      <c r="P283" s="1041"/>
      <c r="Q283" s="1041"/>
      <c r="R283" s="1041"/>
      <c r="S283" s="1041"/>
      <c r="T283" s="1041"/>
      <c r="U283" s="1041"/>
      <c r="V283" s="1041"/>
      <c r="W283" s="1041"/>
      <c r="X283" s="1041"/>
      <c r="Y283" s="1041"/>
      <c r="Z283" s="1041"/>
      <c r="AA283" s="1041"/>
      <c r="AB283" s="1041"/>
      <c r="AC283" s="1043"/>
      <c r="AD283" s="1043"/>
      <c r="AE283" s="1043"/>
      <c r="AF283" s="1041"/>
      <c r="AG283" s="1816" t="s">
        <v>23</v>
      </c>
      <c r="AH283" s="1816"/>
      <c r="AI283" s="1816"/>
    </row>
    <row r="284" spans="1:36" s="878" customFormat="1" ht="19.5" customHeight="1">
      <c r="A284" s="1041"/>
      <c r="B284" s="1042"/>
      <c r="C284" s="1041"/>
      <c r="D284" s="1041"/>
      <c r="E284" s="1042"/>
      <c r="F284" s="1041"/>
      <c r="G284" s="1041"/>
      <c r="H284" s="1041"/>
      <c r="I284" s="1041"/>
      <c r="J284" s="1041"/>
      <c r="K284" s="1041"/>
      <c r="L284" s="1041"/>
      <c r="M284" s="1041"/>
      <c r="N284" s="1041"/>
      <c r="O284" s="1041"/>
      <c r="P284" s="1041"/>
      <c r="Q284" s="1041"/>
      <c r="R284" s="1041"/>
      <c r="S284" s="1041"/>
      <c r="T284" s="1041"/>
      <c r="U284" s="1041"/>
      <c r="V284" s="1041"/>
      <c r="W284" s="1041"/>
      <c r="X284" s="1041"/>
      <c r="Y284" s="1041"/>
      <c r="Z284" s="1041"/>
      <c r="AA284" s="1041"/>
      <c r="AB284" s="1041"/>
      <c r="AC284" s="1043"/>
      <c r="AD284" s="1043"/>
      <c r="AE284" s="1043"/>
      <c r="AF284" s="1041"/>
      <c r="AG284" s="1041"/>
      <c r="AH284" s="1041"/>
      <c r="AI284" s="1041"/>
    </row>
    <row r="285" spans="1:36" s="878" customFormat="1" ht="19.5" customHeight="1">
      <c r="A285" s="1041"/>
      <c r="B285" s="1042"/>
      <c r="C285" s="1041"/>
      <c r="D285" s="1041"/>
      <c r="E285" s="1042"/>
      <c r="F285" s="1041"/>
      <c r="G285" s="1041"/>
      <c r="H285" s="1041"/>
      <c r="I285" s="1041"/>
      <c r="J285" s="1041"/>
      <c r="K285" s="1041"/>
      <c r="L285" s="1041"/>
      <c r="M285" s="1041"/>
      <c r="N285" s="1041"/>
      <c r="O285" s="1041"/>
      <c r="P285" s="1041"/>
      <c r="Q285" s="1041"/>
      <c r="R285" s="1041"/>
      <c r="S285" s="1041"/>
      <c r="T285" s="1041"/>
      <c r="U285" s="1041"/>
      <c r="V285" s="1041"/>
      <c r="W285" s="1041"/>
      <c r="X285" s="1041"/>
      <c r="Y285" s="1041"/>
      <c r="Z285" s="1041"/>
      <c r="AA285" s="1041"/>
      <c r="AB285" s="1041"/>
      <c r="AC285" s="1043"/>
      <c r="AD285" s="1043"/>
      <c r="AE285" s="1043"/>
      <c r="AF285" s="1041"/>
      <c r="AG285" s="1041"/>
      <c r="AH285" s="1041"/>
      <c r="AI285" s="1041"/>
    </row>
    <row r="286" spans="1:36" s="878" customFormat="1" ht="19.5" customHeight="1">
      <c r="A286" s="1041"/>
      <c r="B286" s="1042"/>
      <c r="C286" s="1041"/>
      <c r="D286" s="1041"/>
      <c r="E286" s="1042"/>
      <c r="F286" s="1041"/>
      <c r="G286" s="1041"/>
      <c r="H286" s="1041"/>
      <c r="I286" s="1041"/>
      <c r="J286" s="1041"/>
      <c r="K286" s="1041"/>
      <c r="L286" s="1041"/>
      <c r="M286" s="1041"/>
      <c r="N286" s="1041"/>
      <c r="O286" s="1041"/>
      <c r="P286" s="1041"/>
      <c r="Q286" s="1041"/>
      <c r="R286" s="1041"/>
      <c r="S286" s="1041"/>
      <c r="T286" s="1041"/>
      <c r="U286" s="1041"/>
      <c r="V286" s="1041"/>
      <c r="W286" s="1041"/>
      <c r="X286" s="1041"/>
      <c r="Y286" s="1041"/>
      <c r="Z286" s="1041"/>
      <c r="AA286" s="1041"/>
      <c r="AB286" s="1041"/>
      <c r="AC286" s="1043"/>
      <c r="AD286" s="1043"/>
      <c r="AE286" s="1043"/>
      <c r="AF286" s="1041"/>
      <c r="AG286" s="1041"/>
      <c r="AH286" s="1041"/>
      <c r="AI286" s="1041"/>
    </row>
    <row r="287" spans="1:36" s="878" customFormat="1" ht="19.5" customHeight="1">
      <c r="A287" s="1041"/>
      <c r="B287" s="1042"/>
      <c r="C287" s="1041"/>
      <c r="D287" s="1041"/>
      <c r="E287" s="1042"/>
      <c r="F287" s="1041"/>
      <c r="G287" s="1041"/>
      <c r="H287" s="1041"/>
      <c r="I287" s="1041"/>
      <c r="J287" s="1041"/>
      <c r="K287" s="1041"/>
      <c r="L287" s="1041"/>
      <c r="M287" s="1041"/>
      <c r="N287" s="1041"/>
      <c r="O287" s="1041"/>
      <c r="P287" s="1041"/>
      <c r="Q287" s="1041"/>
      <c r="R287" s="1041"/>
      <c r="S287" s="1041"/>
      <c r="T287" s="1041"/>
      <c r="U287" s="1041"/>
      <c r="V287" s="1041"/>
      <c r="W287" s="1041"/>
      <c r="X287" s="1041"/>
      <c r="Y287" s="1041"/>
      <c r="Z287" s="1041"/>
      <c r="AA287" s="1041"/>
      <c r="AB287" s="1041"/>
      <c r="AC287" s="1043"/>
      <c r="AD287" s="1043"/>
      <c r="AE287" s="1043"/>
      <c r="AF287" s="1041"/>
      <c r="AG287" s="1041"/>
      <c r="AH287" s="1041"/>
      <c r="AI287" s="1041"/>
    </row>
    <row r="288" spans="1:36" s="878" customFormat="1" ht="19.5" customHeight="1">
      <c r="A288" s="1041"/>
      <c r="B288" s="1042"/>
      <c r="C288" s="1041"/>
      <c r="D288" s="1041"/>
      <c r="E288" s="1042"/>
      <c r="F288" s="1041"/>
      <c r="G288" s="1041"/>
      <c r="H288" s="1041"/>
      <c r="I288" s="1041"/>
      <c r="J288" s="1041"/>
      <c r="K288" s="1041"/>
      <c r="L288" s="1041"/>
      <c r="M288" s="1041"/>
      <c r="N288" s="1041"/>
      <c r="O288" s="1041"/>
      <c r="P288" s="1041"/>
      <c r="Q288" s="1041"/>
      <c r="R288" s="1041"/>
      <c r="S288" s="1041"/>
      <c r="T288" s="1041"/>
      <c r="U288" s="1041"/>
      <c r="V288" s="1041"/>
      <c r="W288" s="1041"/>
      <c r="X288" s="1041"/>
      <c r="Y288" s="1041"/>
      <c r="Z288" s="1041"/>
      <c r="AA288" s="1041"/>
      <c r="AB288" s="1041"/>
      <c r="AC288" s="1043"/>
      <c r="AD288" s="1043"/>
      <c r="AE288" s="1043"/>
      <c r="AF288" s="1041"/>
      <c r="AG288" s="1041"/>
      <c r="AH288" s="1041"/>
      <c r="AI288" s="1041"/>
    </row>
    <row r="289" spans="1:35" s="878" customFormat="1" ht="19.5" customHeight="1">
      <c r="A289" s="1041"/>
      <c r="B289" s="1042"/>
      <c r="C289" s="1041"/>
      <c r="D289" s="1041"/>
      <c r="E289" s="1042"/>
      <c r="F289" s="1041"/>
      <c r="G289" s="1041"/>
      <c r="H289" s="1041"/>
      <c r="I289" s="1041"/>
      <c r="J289" s="1041"/>
      <c r="K289" s="1041"/>
      <c r="L289" s="1041"/>
      <c r="M289" s="1041"/>
      <c r="N289" s="1041"/>
      <c r="O289" s="1041"/>
      <c r="P289" s="1041"/>
      <c r="Q289" s="1041"/>
      <c r="R289" s="1041"/>
      <c r="S289" s="1041"/>
      <c r="T289" s="1041"/>
      <c r="U289" s="1041"/>
      <c r="V289" s="1041"/>
      <c r="W289" s="1041"/>
      <c r="X289" s="1041"/>
      <c r="Y289" s="1041"/>
      <c r="Z289" s="1041"/>
      <c r="AA289" s="1041"/>
      <c r="AB289" s="1041"/>
      <c r="AC289" s="1043"/>
      <c r="AD289" s="1043"/>
      <c r="AE289" s="1043"/>
      <c r="AF289" s="1041"/>
      <c r="AG289" s="1041"/>
      <c r="AH289" s="1041"/>
      <c r="AI289" s="1041"/>
    </row>
    <row r="290" spans="1:35" s="878" customFormat="1" ht="19.5" customHeight="1">
      <c r="A290" s="1041"/>
      <c r="B290" s="1042"/>
      <c r="C290" s="1041"/>
      <c r="D290" s="1041"/>
      <c r="E290" s="1042"/>
      <c r="F290" s="1041"/>
      <c r="G290" s="1041"/>
      <c r="H290" s="1041"/>
      <c r="I290" s="1041"/>
      <c r="J290" s="1041"/>
      <c r="K290" s="1041"/>
      <c r="L290" s="1041"/>
      <c r="M290" s="1041"/>
      <c r="N290" s="1041"/>
      <c r="O290" s="1041"/>
      <c r="P290" s="1041"/>
      <c r="Q290" s="1041"/>
      <c r="R290" s="1041"/>
      <c r="S290" s="1041"/>
      <c r="T290" s="1041"/>
      <c r="U290" s="1041"/>
      <c r="V290" s="1041"/>
      <c r="W290" s="1041"/>
      <c r="X290" s="1041"/>
      <c r="Y290" s="1041"/>
      <c r="Z290" s="1041"/>
      <c r="AA290" s="1041"/>
      <c r="AB290" s="1041"/>
      <c r="AC290" s="1043"/>
      <c r="AD290" s="1043"/>
      <c r="AE290" s="1043"/>
      <c r="AF290" s="1041"/>
      <c r="AG290" s="1041"/>
      <c r="AH290" s="1041"/>
      <c r="AI290" s="1041"/>
    </row>
    <row r="291" spans="1:35" s="878" customFormat="1" ht="19.5" customHeight="1">
      <c r="A291" s="1041"/>
      <c r="B291" s="1042"/>
      <c r="C291" s="1041"/>
      <c r="D291" s="1041"/>
      <c r="E291" s="1042"/>
      <c r="F291" s="1041"/>
      <c r="G291" s="1041"/>
      <c r="H291" s="1041"/>
      <c r="I291" s="1041"/>
      <c r="J291" s="1041"/>
      <c r="K291" s="1041"/>
      <c r="L291" s="1041"/>
      <c r="M291" s="1041"/>
      <c r="N291" s="1041"/>
      <c r="O291" s="1041"/>
      <c r="P291" s="1041"/>
      <c r="Q291" s="1041"/>
      <c r="R291" s="1041"/>
      <c r="S291" s="1041"/>
      <c r="T291" s="1041"/>
      <c r="U291" s="1041"/>
      <c r="V291" s="1041"/>
      <c r="W291" s="1041"/>
      <c r="X291" s="1041"/>
      <c r="Y291" s="1041"/>
      <c r="Z291" s="1041"/>
      <c r="AA291" s="1041"/>
      <c r="AB291" s="1041"/>
      <c r="AC291" s="1043"/>
      <c r="AD291" s="1043"/>
      <c r="AE291" s="1043"/>
      <c r="AF291" s="1041"/>
      <c r="AG291" s="1041"/>
      <c r="AH291" s="1041"/>
      <c r="AI291" s="1041"/>
    </row>
    <row r="292" spans="1:35" s="878" customFormat="1" ht="19.5" customHeight="1">
      <c r="A292" s="1041"/>
      <c r="B292" s="1042"/>
      <c r="C292" s="1041"/>
      <c r="D292" s="1041"/>
      <c r="E292" s="1042"/>
      <c r="F292" s="1041"/>
      <c r="G292" s="1041"/>
      <c r="H292" s="1041"/>
      <c r="I292" s="1041"/>
      <c r="J292" s="1041"/>
      <c r="K292" s="1041"/>
      <c r="L292" s="1041"/>
      <c r="M292" s="1041"/>
      <c r="N292" s="1041"/>
      <c r="O292" s="1041"/>
      <c r="P292" s="1041"/>
      <c r="Q292" s="1041"/>
      <c r="R292" s="1041"/>
      <c r="S292" s="1041"/>
      <c r="T292" s="1041"/>
      <c r="U292" s="1041"/>
      <c r="V292" s="1041"/>
      <c r="W292" s="1041"/>
      <c r="X292" s="1041"/>
      <c r="Y292" s="1041"/>
      <c r="Z292" s="1041"/>
      <c r="AA292" s="1041"/>
      <c r="AB292" s="1041"/>
      <c r="AC292" s="1043"/>
      <c r="AD292" s="1043"/>
      <c r="AE292" s="1043"/>
      <c r="AF292" s="1041"/>
      <c r="AG292" s="1041"/>
      <c r="AH292" s="1041"/>
      <c r="AI292" s="1041"/>
    </row>
    <row r="293" spans="1:35" s="878" customFormat="1" ht="19.5" customHeight="1">
      <c r="A293" s="1041"/>
      <c r="B293" s="1042"/>
      <c r="C293" s="1041"/>
      <c r="D293" s="1041"/>
      <c r="E293" s="1042"/>
      <c r="F293" s="1041"/>
      <c r="G293" s="1041"/>
      <c r="H293" s="1041"/>
      <c r="I293" s="1041"/>
      <c r="J293" s="1041"/>
      <c r="K293" s="1041"/>
      <c r="L293" s="1041"/>
      <c r="M293" s="1041"/>
      <c r="N293" s="1041"/>
      <c r="O293" s="1041"/>
      <c r="P293" s="1041"/>
      <c r="Q293" s="1041"/>
      <c r="R293" s="1041"/>
      <c r="S293" s="1041"/>
      <c r="T293" s="1041"/>
      <c r="U293" s="1041"/>
      <c r="V293" s="1041"/>
      <c r="W293" s="1041"/>
      <c r="X293" s="1041"/>
      <c r="Y293" s="1041"/>
      <c r="Z293" s="1041"/>
      <c r="AA293" s="1041"/>
      <c r="AB293" s="1041"/>
      <c r="AC293" s="1043"/>
      <c r="AD293" s="1043"/>
      <c r="AE293" s="1043"/>
      <c r="AF293" s="1041"/>
      <c r="AG293" s="1041"/>
      <c r="AH293" s="1041"/>
      <c r="AI293" s="1041"/>
    </row>
    <row r="294" spans="1:35" s="878" customFormat="1" ht="19.5" customHeight="1">
      <c r="A294" s="1041"/>
      <c r="B294" s="1042"/>
      <c r="C294" s="1041"/>
      <c r="D294" s="1041"/>
      <c r="E294" s="1042"/>
      <c r="F294" s="1041"/>
      <c r="G294" s="1041"/>
      <c r="H294" s="1041"/>
      <c r="I294" s="1041"/>
      <c r="J294" s="1041"/>
      <c r="K294" s="1041"/>
      <c r="L294" s="1041"/>
      <c r="M294" s="1041"/>
      <c r="N294" s="1041"/>
      <c r="O294" s="1041"/>
      <c r="P294" s="1041"/>
      <c r="Q294" s="1041"/>
      <c r="R294" s="1041"/>
      <c r="S294" s="1041"/>
      <c r="T294" s="1041"/>
      <c r="U294" s="1041"/>
      <c r="V294" s="1041"/>
      <c r="W294" s="1041"/>
      <c r="X294" s="1041"/>
      <c r="Y294" s="1041"/>
      <c r="Z294" s="1041"/>
      <c r="AA294" s="1041"/>
      <c r="AB294" s="1041"/>
      <c r="AC294" s="1043"/>
      <c r="AD294" s="1043"/>
      <c r="AE294" s="1043"/>
      <c r="AF294" s="1041"/>
      <c r="AG294" s="1041"/>
      <c r="AH294" s="1041"/>
      <c r="AI294" s="1041"/>
    </row>
    <row r="295" spans="1:35" s="878" customFormat="1" ht="19.5" customHeight="1">
      <c r="A295" s="1041"/>
      <c r="B295" s="1042"/>
      <c r="C295" s="1041"/>
      <c r="D295" s="1041"/>
      <c r="E295" s="1042"/>
      <c r="F295" s="1041"/>
      <c r="G295" s="1041"/>
      <c r="H295" s="1041"/>
      <c r="I295" s="1041"/>
      <c r="J295" s="1041"/>
      <c r="K295" s="1041"/>
      <c r="L295" s="1041"/>
      <c r="M295" s="1041"/>
      <c r="N295" s="1041"/>
      <c r="O295" s="1041"/>
      <c r="P295" s="1041"/>
      <c r="Q295" s="1041"/>
      <c r="R295" s="1041"/>
      <c r="S295" s="1041"/>
      <c r="T295" s="1041"/>
      <c r="U295" s="1041"/>
      <c r="V295" s="1041"/>
      <c r="W295" s="1041"/>
      <c r="X295" s="1041"/>
      <c r="Y295" s="1041"/>
      <c r="Z295" s="1041"/>
      <c r="AA295" s="1041"/>
      <c r="AB295" s="1041"/>
      <c r="AC295" s="1043"/>
      <c r="AD295" s="1043"/>
      <c r="AE295" s="1043"/>
      <c r="AF295" s="1041"/>
      <c r="AG295" s="1041"/>
      <c r="AH295" s="1041"/>
      <c r="AI295" s="1041"/>
    </row>
    <row r="296" spans="1:35" s="878" customFormat="1" ht="19.5" customHeight="1">
      <c r="A296" s="1041"/>
      <c r="B296" s="1042"/>
      <c r="C296" s="1041"/>
      <c r="D296" s="1041"/>
      <c r="E296" s="1042"/>
      <c r="F296" s="1041"/>
      <c r="G296" s="1041"/>
      <c r="H296" s="1041"/>
      <c r="I296" s="1041"/>
      <c r="J296" s="1041"/>
      <c r="K296" s="1041"/>
      <c r="L296" s="1041"/>
      <c r="M296" s="1041"/>
      <c r="N296" s="1041"/>
      <c r="O296" s="1041"/>
      <c r="P296" s="1041"/>
      <c r="Q296" s="1041"/>
      <c r="R296" s="1041"/>
      <c r="S296" s="1041"/>
      <c r="T296" s="1041"/>
      <c r="U296" s="1041"/>
      <c r="V296" s="1041"/>
      <c r="W296" s="1041"/>
      <c r="X296" s="1041"/>
      <c r="Y296" s="1041"/>
      <c r="Z296" s="1041"/>
      <c r="AA296" s="1041"/>
      <c r="AB296" s="1041"/>
      <c r="AC296" s="1043"/>
      <c r="AD296" s="1043"/>
      <c r="AE296" s="1043"/>
      <c r="AF296" s="1041"/>
      <c r="AG296" s="1041"/>
      <c r="AH296" s="1041"/>
      <c r="AI296" s="1041"/>
    </row>
    <row r="297" spans="1:35" s="878" customFormat="1" ht="19.5" customHeight="1">
      <c r="A297" s="1041"/>
      <c r="B297" s="1042"/>
      <c r="C297" s="1041"/>
      <c r="D297" s="1041"/>
      <c r="E297" s="1042"/>
      <c r="F297" s="1041"/>
      <c r="G297" s="1041"/>
      <c r="H297" s="1041"/>
      <c r="I297" s="1041"/>
      <c r="J297" s="1041"/>
      <c r="K297" s="1041"/>
      <c r="L297" s="1041"/>
      <c r="M297" s="1041"/>
      <c r="N297" s="1041"/>
      <c r="O297" s="1041"/>
      <c r="P297" s="1041"/>
      <c r="Q297" s="1041"/>
      <c r="R297" s="1041"/>
      <c r="S297" s="1041"/>
      <c r="T297" s="1041"/>
      <c r="U297" s="1041"/>
      <c r="V297" s="1041"/>
      <c r="W297" s="1041"/>
      <c r="X297" s="1041"/>
      <c r="Y297" s="1041"/>
      <c r="Z297" s="1041"/>
      <c r="AA297" s="1041"/>
      <c r="AB297" s="1041"/>
      <c r="AC297" s="1043"/>
      <c r="AD297" s="1043"/>
      <c r="AE297" s="1043"/>
      <c r="AF297" s="1041"/>
      <c r="AG297" s="1041"/>
      <c r="AH297" s="1041"/>
      <c r="AI297" s="1041"/>
    </row>
    <row r="298" spans="1:35" s="878" customFormat="1" ht="19.5" customHeight="1">
      <c r="A298" s="1041"/>
      <c r="B298" s="1042"/>
      <c r="C298" s="1041"/>
      <c r="D298" s="1041"/>
      <c r="E298" s="1042"/>
      <c r="F298" s="1041"/>
      <c r="G298" s="1041"/>
      <c r="H298" s="1041"/>
      <c r="I298" s="1041"/>
      <c r="J298" s="1041"/>
      <c r="K298" s="1041"/>
      <c r="L298" s="1041"/>
      <c r="M298" s="1041"/>
      <c r="N298" s="1041"/>
      <c r="O298" s="1041"/>
      <c r="P298" s="1041"/>
      <c r="Q298" s="1041"/>
      <c r="R298" s="1041"/>
      <c r="S298" s="1041"/>
      <c r="T298" s="1041"/>
      <c r="U298" s="1041"/>
      <c r="V298" s="1041"/>
      <c r="W298" s="1041"/>
      <c r="X298" s="1041"/>
      <c r="Y298" s="1041"/>
      <c r="Z298" s="1041"/>
      <c r="AA298" s="1041"/>
      <c r="AB298" s="1041"/>
      <c r="AC298" s="1043"/>
      <c r="AD298" s="1043"/>
      <c r="AE298" s="1043"/>
      <c r="AF298" s="1041"/>
      <c r="AG298" s="1041"/>
      <c r="AH298" s="1041"/>
      <c r="AI298" s="1041"/>
    </row>
    <row r="299" spans="1:35" s="878" customFormat="1" ht="19.5" customHeight="1">
      <c r="A299" s="1041"/>
      <c r="B299" s="1042"/>
      <c r="C299" s="1041"/>
      <c r="D299" s="1041"/>
      <c r="E299" s="1042"/>
      <c r="F299" s="1041"/>
      <c r="G299" s="1041"/>
      <c r="H299" s="1041"/>
      <c r="I299" s="1041"/>
      <c r="J299" s="1041"/>
      <c r="K299" s="1041"/>
      <c r="L299" s="1041"/>
      <c r="M299" s="1041"/>
      <c r="N299" s="1041"/>
      <c r="O299" s="1041"/>
      <c r="P299" s="1041"/>
      <c r="Q299" s="1041"/>
      <c r="R299" s="1041"/>
      <c r="S299" s="1041"/>
      <c r="T299" s="1041"/>
      <c r="U299" s="1041"/>
      <c r="V299" s="1041"/>
      <c r="W299" s="1041"/>
      <c r="X299" s="1041"/>
      <c r="Y299" s="1041"/>
      <c r="Z299" s="1041"/>
      <c r="AA299" s="1041"/>
      <c r="AB299" s="1041"/>
      <c r="AC299" s="1043"/>
      <c r="AD299" s="1043"/>
      <c r="AE299" s="1043"/>
      <c r="AF299" s="1041"/>
      <c r="AG299" s="1041"/>
      <c r="AH299" s="1041"/>
      <c r="AI299" s="1041"/>
    </row>
    <row r="300" spans="1:35" s="878" customFormat="1" ht="19.5" customHeight="1">
      <c r="A300" s="1041"/>
      <c r="B300" s="1042"/>
      <c r="C300" s="1041"/>
      <c r="D300" s="1041"/>
      <c r="E300" s="1042"/>
      <c r="F300" s="1041"/>
      <c r="G300" s="1041"/>
      <c r="H300" s="1041"/>
      <c r="I300" s="1041"/>
      <c r="J300" s="1041"/>
      <c r="K300" s="1041"/>
      <c r="L300" s="1041"/>
      <c r="M300" s="1041"/>
      <c r="N300" s="1041"/>
      <c r="O300" s="1041"/>
      <c r="P300" s="1041"/>
      <c r="Q300" s="1041"/>
      <c r="R300" s="1041"/>
      <c r="S300" s="1041"/>
      <c r="T300" s="1041"/>
      <c r="U300" s="1041"/>
      <c r="V300" s="1041"/>
      <c r="W300" s="1041"/>
      <c r="X300" s="1041"/>
      <c r="Y300" s="1041"/>
      <c r="Z300" s="1041"/>
      <c r="AA300" s="1041"/>
      <c r="AB300" s="1041"/>
      <c r="AC300" s="1043"/>
      <c r="AD300" s="1043"/>
      <c r="AE300" s="1043"/>
      <c r="AF300" s="1041"/>
      <c r="AG300" s="1041"/>
      <c r="AH300" s="1041"/>
      <c r="AI300" s="1041"/>
    </row>
    <row r="301" spans="1:35" s="878" customFormat="1" ht="19.5" customHeight="1">
      <c r="A301" s="1041"/>
      <c r="B301" s="1042"/>
      <c r="C301" s="1041"/>
      <c r="D301" s="1041"/>
      <c r="E301" s="1042"/>
      <c r="F301" s="1041"/>
      <c r="G301" s="1041"/>
      <c r="H301" s="1041"/>
      <c r="I301" s="1041"/>
      <c r="J301" s="1041"/>
      <c r="K301" s="1041"/>
      <c r="L301" s="1041"/>
      <c r="M301" s="1041"/>
      <c r="N301" s="1041"/>
      <c r="O301" s="1041"/>
      <c r="P301" s="1041"/>
      <c r="Q301" s="1041"/>
      <c r="R301" s="1041"/>
      <c r="S301" s="1041"/>
      <c r="T301" s="1041"/>
      <c r="U301" s="1041"/>
      <c r="V301" s="1041"/>
      <c r="W301" s="1041"/>
      <c r="X301" s="1041"/>
      <c r="Y301" s="1041"/>
      <c r="Z301" s="1041"/>
      <c r="AA301" s="1041"/>
      <c r="AB301" s="1041"/>
      <c r="AC301" s="1043"/>
      <c r="AD301" s="1043"/>
      <c r="AE301" s="1043"/>
      <c r="AF301" s="1041"/>
      <c r="AG301" s="1041"/>
      <c r="AH301" s="1041"/>
      <c r="AI301" s="1041"/>
    </row>
    <row r="302" spans="1:35" s="878" customFormat="1" ht="19.5" customHeight="1">
      <c r="A302" s="1041"/>
      <c r="B302" s="1042"/>
      <c r="C302" s="1041"/>
      <c r="D302" s="1041"/>
      <c r="E302" s="1042"/>
      <c r="F302" s="1041"/>
      <c r="G302" s="1041"/>
      <c r="H302" s="1041"/>
      <c r="I302" s="1041"/>
      <c r="J302" s="1041"/>
      <c r="K302" s="1041"/>
      <c r="L302" s="1041"/>
      <c r="M302" s="1041"/>
      <c r="N302" s="1041"/>
      <c r="O302" s="1041"/>
      <c r="P302" s="1041"/>
      <c r="Q302" s="1041"/>
      <c r="R302" s="1041"/>
      <c r="S302" s="1041"/>
      <c r="T302" s="1041"/>
      <c r="U302" s="1041"/>
      <c r="V302" s="1041"/>
      <c r="W302" s="1041"/>
      <c r="X302" s="1041"/>
      <c r="Y302" s="1041"/>
      <c r="Z302" s="1041"/>
      <c r="AA302" s="1041"/>
      <c r="AB302" s="1041"/>
      <c r="AC302" s="1043"/>
      <c r="AD302" s="1043"/>
      <c r="AE302" s="1043"/>
      <c r="AF302" s="1041"/>
      <c r="AG302" s="1041"/>
      <c r="AH302" s="1041"/>
      <c r="AI302" s="1041"/>
    </row>
    <row r="303" spans="1:35" s="878" customFormat="1" ht="19.5" customHeight="1">
      <c r="A303" s="1041"/>
      <c r="B303" s="1042"/>
      <c r="C303" s="1041"/>
      <c r="D303" s="1041"/>
      <c r="E303" s="1042"/>
      <c r="F303" s="1041"/>
      <c r="G303" s="1041"/>
      <c r="H303" s="1041"/>
      <c r="I303" s="1041"/>
      <c r="J303" s="1041"/>
      <c r="K303" s="1041"/>
      <c r="L303" s="1041"/>
      <c r="M303" s="1041"/>
      <c r="N303" s="1041"/>
      <c r="O303" s="1041"/>
      <c r="P303" s="1041"/>
      <c r="Q303" s="1041"/>
      <c r="R303" s="1041"/>
      <c r="S303" s="1041"/>
      <c r="T303" s="1041"/>
      <c r="U303" s="1041"/>
      <c r="V303" s="1041"/>
      <c r="W303" s="1041"/>
      <c r="X303" s="1041"/>
      <c r="Y303" s="1041"/>
      <c r="Z303" s="1041"/>
      <c r="AA303" s="1041"/>
      <c r="AB303" s="1041"/>
      <c r="AC303" s="1043"/>
      <c r="AD303" s="1043"/>
      <c r="AE303" s="1043"/>
      <c r="AF303" s="1041"/>
      <c r="AG303" s="1041"/>
      <c r="AH303" s="1041"/>
      <c r="AI303" s="1041"/>
    </row>
    <row r="304" spans="1:35" s="878" customFormat="1" ht="19.5" customHeight="1">
      <c r="A304" s="1041"/>
      <c r="B304" s="1042"/>
      <c r="C304" s="1041"/>
      <c r="D304" s="1041"/>
      <c r="E304" s="1042"/>
      <c r="F304" s="1041"/>
      <c r="G304" s="1041"/>
      <c r="H304" s="1041"/>
      <c r="I304" s="1041"/>
      <c r="J304" s="1041"/>
      <c r="K304" s="1041"/>
      <c r="L304" s="1041"/>
      <c r="M304" s="1041"/>
      <c r="N304" s="1041"/>
      <c r="O304" s="1041"/>
      <c r="P304" s="1041"/>
      <c r="Q304" s="1041"/>
      <c r="R304" s="1041"/>
      <c r="S304" s="1041"/>
      <c r="T304" s="1041"/>
      <c r="U304" s="1041"/>
      <c r="V304" s="1041"/>
      <c r="W304" s="1041"/>
      <c r="X304" s="1041"/>
      <c r="Y304" s="1041"/>
      <c r="Z304" s="1041"/>
      <c r="AA304" s="1041"/>
      <c r="AB304" s="1041"/>
      <c r="AC304" s="1043"/>
      <c r="AD304" s="1043"/>
      <c r="AE304" s="1043"/>
      <c r="AF304" s="1041"/>
      <c r="AG304" s="1041"/>
      <c r="AH304" s="1041"/>
      <c r="AI304" s="1041"/>
    </row>
    <row r="305" spans="1:35" s="878" customFormat="1" ht="19.5" customHeight="1">
      <c r="A305" s="1041"/>
      <c r="B305" s="1042"/>
      <c r="C305" s="1041"/>
      <c r="D305" s="1041"/>
      <c r="E305" s="1042"/>
      <c r="F305" s="1041"/>
      <c r="G305" s="1041"/>
      <c r="H305" s="1041"/>
      <c r="I305" s="1041"/>
      <c r="J305" s="1041"/>
      <c r="K305" s="1041"/>
      <c r="L305" s="1041"/>
      <c r="M305" s="1041"/>
      <c r="N305" s="1041"/>
      <c r="O305" s="1041"/>
      <c r="P305" s="1041"/>
      <c r="Q305" s="1041"/>
      <c r="R305" s="1041"/>
      <c r="S305" s="1041"/>
      <c r="T305" s="1041"/>
      <c r="U305" s="1041"/>
      <c r="V305" s="1041"/>
      <c r="W305" s="1041"/>
      <c r="X305" s="1041"/>
      <c r="Y305" s="1041"/>
      <c r="Z305" s="1041"/>
      <c r="AA305" s="1041"/>
      <c r="AB305" s="1041"/>
      <c r="AC305" s="1043"/>
      <c r="AD305" s="1043"/>
      <c r="AE305" s="1043"/>
      <c r="AF305" s="1041"/>
      <c r="AG305" s="1041"/>
      <c r="AH305" s="1041"/>
      <c r="AI305" s="1041"/>
    </row>
    <row r="306" spans="1:35" s="878" customFormat="1" ht="19.5" customHeight="1">
      <c r="A306" s="1041"/>
      <c r="B306" s="1042"/>
      <c r="C306" s="1041"/>
      <c r="D306" s="1041"/>
      <c r="E306" s="1042"/>
      <c r="F306" s="1041"/>
      <c r="G306" s="1041"/>
      <c r="H306" s="1041"/>
      <c r="I306" s="1041"/>
      <c r="J306" s="1041"/>
      <c r="K306" s="1041"/>
      <c r="L306" s="1041"/>
      <c r="M306" s="1041"/>
      <c r="N306" s="1041"/>
      <c r="O306" s="1041"/>
      <c r="P306" s="1041"/>
      <c r="Q306" s="1041"/>
      <c r="R306" s="1041"/>
      <c r="S306" s="1041"/>
      <c r="T306" s="1041"/>
      <c r="U306" s="1041"/>
      <c r="V306" s="1041"/>
      <c r="W306" s="1041"/>
      <c r="X306" s="1041"/>
      <c r="Y306" s="1041"/>
      <c r="Z306" s="1041"/>
      <c r="AA306" s="1041"/>
      <c r="AB306" s="1041"/>
      <c r="AC306" s="1043"/>
      <c r="AD306" s="1043"/>
      <c r="AE306" s="1043"/>
      <c r="AF306" s="1041"/>
      <c r="AG306" s="1041"/>
      <c r="AH306" s="1041"/>
      <c r="AI306" s="1041"/>
    </row>
    <row r="307" spans="1:35" s="878" customFormat="1" ht="19.5" customHeight="1">
      <c r="A307" s="1041"/>
      <c r="B307" s="1042"/>
      <c r="C307" s="1041"/>
      <c r="D307" s="1041"/>
      <c r="E307" s="1042"/>
      <c r="F307" s="1041"/>
      <c r="G307" s="1041"/>
      <c r="H307" s="1041"/>
      <c r="I307" s="1041"/>
      <c r="J307" s="1041"/>
      <c r="K307" s="1041"/>
      <c r="L307" s="1041"/>
      <c r="M307" s="1041"/>
      <c r="N307" s="1041"/>
      <c r="O307" s="1041"/>
      <c r="P307" s="1041"/>
      <c r="Q307" s="1041"/>
      <c r="R307" s="1041"/>
      <c r="S307" s="1041"/>
      <c r="T307" s="1041"/>
      <c r="U307" s="1041"/>
      <c r="V307" s="1041"/>
      <c r="W307" s="1041"/>
      <c r="X307" s="1041"/>
      <c r="Y307" s="1041"/>
      <c r="Z307" s="1041"/>
      <c r="AA307" s="1041"/>
      <c r="AB307" s="1041"/>
      <c r="AC307" s="1043"/>
      <c r="AD307" s="1043"/>
      <c r="AE307" s="1043"/>
      <c r="AF307" s="1041"/>
      <c r="AG307" s="1041"/>
      <c r="AH307" s="1041"/>
      <c r="AI307" s="1041"/>
    </row>
    <row r="308" spans="1:35" s="878" customFormat="1" ht="19.5" customHeight="1">
      <c r="A308" s="1041"/>
      <c r="B308" s="1042"/>
      <c r="C308" s="1041"/>
      <c r="D308" s="1041"/>
      <c r="E308" s="1042"/>
      <c r="F308" s="1041"/>
      <c r="G308" s="1041"/>
      <c r="H308" s="1041"/>
      <c r="I308" s="1041"/>
      <c r="J308" s="1041"/>
      <c r="K308" s="1041"/>
      <c r="L308" s="1041"/>
      <c r="M308" s="1041"/>
      <c r="N308" s="1041"/>
      <c r="O308" s="1041"/>
      <c r="P308" s="1041"/>
      <c r="Q308" s="1041"/>
      <c r="R308" s="1041"/>
      <c r="S308" s="1041"/>
      <c r="T308" s="1041"/>
      <c r="U308" s="1041"/>
      <c r="V308" s="1041"/>
      <c r="W308" s="1041"/>
      <c r="X308" s="1041"/>
      <c r="Y308" s="1041"/>
      <c r="Z308" s="1041"/>
      <c r="AA308" s="1041"/>
      <c r="AB308" s="1041"/>
      <c r="AC308" s="1043"/>
      <c r="AD308" s="1043"/>
      <c r="AE308" s="1043"/>
      <c r="AF308" s="1041"/>
      <c r="AG308" s="1041"/>
      <c r="AH308" s="1041"/>
      <c r="AI308" s="1041"/>
    </row>
    <row r="309" spans="1:35" s="878" customFormat="1" ht="19.5" customHeight="1">
      <c r="A309" s="1041"/>
      <c r="B309" s="1042"/>
      <c r="C309" s="1041"/>
      <c r="D309" s="1041"/>
      <c r="E309" s="1042"/>
      <c r="F309" s="1041"/>
      <c r="G309" s="1041"/>
      <c r="H309" s="1041"/>
      <c r="I309" s="1041"/>
      <c r="J309" s="1041"/>
      <c r="K309" s="1041"/>
      <c r="L309" s="1041"/>
      <c r="M309" s="1041"/>
      <c r="N309" s="1041"/>
      <c r="O309" s="1041"/>
      <c r="P309" s="1041"/>
      <c r="Q309" s="1041"/>
      <c r="R309" s="1041"/>
      <c r="S309" s="1041"/>
      <c r="T309" s="1041"/>
      <c r="U309" s="1041"/>
      <c r="V309" s="1041"/>
      <c r="W309" s="1041"/>
      <c r="X309" s="1041"/>
      <c r="Y309" s="1041"/>
      <c r="Z309" s="1041"/>
      <c r="AA309" s="1041"/>
      <c r="AB309" s="1041"/>
      <c r="AC309" s="1043"/>
      <c r="AD309" s="1043"/>
      <c r="AE309" s="1043"/>
      <c r="AF309" s="1041"/>
      <c r="AG309" s="1041"/>
      <c r="AH309" s="1041"/>
      <c r="AI309" s="1041"/>
    </row>
    <row r="310" spans="1:35" s="878" customFormat="1" ht="19.5" customHeight="1">
      <c r="A310" s="1041"/>
      <c r="B310" s="1042"/>
      <c r="C310" s="1041"/>
      <c r="D310" s="1041"/>
      <c r="E310" s="1042"/>
      <c r="F310" s="1041"/>
      <c r="G310" s="1041"/>
      <c r="H310" s="1041"/>
      <c r="I310" s="1041"/>
      <c r="J310" s="1041"/>
      <c r="K310" s="1041"/>
      <c r="L310" s="1041"/>
      <c r="M310" s="1041"/>
      <c r="N310" s="1041"/>
      <c r="O310" s="1041"/>
      <c r="P310" s="1041"/>
      <c r="Q310" s="1041"/>
      <c r="R310" s="1041"/>
      <c r="S310" s="1041"/>
      <c r="T310" s="1041"/>
      <c r="U310" s="1041"/>
      <c r="V310" s="1041"/>
      <c r="W310" s="1041"/>
      <c r="X310" s="1041"/>
      <c r="Y310" s="1041"/>
      <c r="Z310" s="1041"/>
      <c r="AA310" s="1041"/>
      <c r="AB310" s="1041"/>
      <c r="AC310" s="1043"/>
      <c r="AD310" s="1043"/>
      <c r="AE310" s="1043"/>
      <c r="AF310" s="1041"/>
      <c r="AG310" s="1041"/>
      <c r="AH310" s="1041"/>
      <c r="AI310" s="1041"/>
    </row>
    <row r="311" spans="1:35" s="878" customFormat="1" ht="19.5" customHeight="1">
      <c r="A311" s="1041"/>
      <c r="B311" s="1042"/>
      <c r="C311" s="1041"/>
      <c r="D311" s="1041"/>
      <c r="E311" s="1042"/>
      <c r="F311" s="1041"/>
      <c r="G311" s="1041"/>
      <c r="H311" s="1041"/>
      <c r="I311" s="1041"/>
      <c r="J311" s="1041"/>
      <c r="K311" s="1041"/>
      <c r="L311" s="1041"/>
      <c r="M311" s="1041"/>
      <c r="N311" s="1041"/>
      <c r="O311" s="1041"/>
      <c r="P311" s="1041"/>
      <c r="Q311" s="1041"/>
      <c r="R311" s="1041"/>
      <c r="S311" s="1041"/>
      <c r="T311" s="1041"/>
      <c r="U311" s="1041"/>
      <c r="V311" s="1041"/>
      <c r="W311" s="1041"/>
      <c r="X311" s="1041"/>
      <c r="Y311" s="1041"/>
      <c r="Z311" s="1041"/>
      <c r="AA311" s="1041"/>
      <c r="AB311" s="1041"/>
      <c r="AC311" s="1043"/>
      <c r="AD311" s="1043"/>
      <c r="AE311" s="1043"/>
      <c r="AF311" s="1041"/>
      <c r="AG311" s="1041"/>
      <c r="AH311" s="1041"/>
      <c r="AI311" s="1041"/>
    </row>
    <row r="312" spans="1:35" s="878" customFormat="1" ht="19.5" customHeight="1">
      <c r="A312" s="1041"/>
      <c r="B312" s="1042"/>
      <c r="C312" s="1041"/>
      <c r="D312" s="1041"/>
      <c r="E312" s="1042"/>
      <c r="F312" s="1041"/>
      <c r="G312" s="1041"/>
      <c r="H312" s="1041"/>
      <c r="I312" s="1041"/>
      <c r="J312" s="1041"/>
      <c r="K312" s="1041"/>
      <c r="L312" s="1041"/>
      <c r="M312" s="1041"/>
      <c r="N312" s="1041"/>
      <c r="O312" s="1041"/>
      <c r="P312" s="1041"/>
      <c r="Q312" s="1041"/>
      <c r="R312" s="1041"/>
      <c r="S312" s="1041"/>
      <c r="T312" s="1041"/>
      <c r="U312" s="1041"/>
      <c r="V312" s="1041"/>
      <c r="W312" s="1041"/>
      <c r="X312" s="1041"/>
      <c r="Y312" s="1041"/>
      <c r="Z312" s="1041"/>
      <c r="AA312" s="1041"/>
      <c r="AB312" s="1041"/>
      <c r="AC312" s="1043"/>
      <c r="AD312" s="1043"/>
      <c r="AE312" s="1043"/>
      <c r="AF312" s="1041"/>
      <c r="AG312" s="1041"/>
      <c r="AH312" s="1041"/>
      <c r="AI312" s="1041"/>
    </row>
    <row r="313" spans="1:35" s="878" customFormat="1" ht="19.5" customHeight="1">
      <c r="A313" s="1041"/>
      <c r="B313" s="1042"/>
      <c r="C313" s="1041"/>
      <c r="D313" s="1041"/>
      <c r="E313" s="1042"/>
      <c r="F313" s="1041"/>
      <c r="G313" s="1041"/>
      <c r="H313" s="1041"/>
      <c r="I313" s="1041"/>
      <c r="J313" s="1041"/>
      <c r="K313" s="1041"/>
      <c r="L313" s="1041"/>
      <c r="M313" s="1041"/>
      <c r="N313" s="1041"/>
      <c r="O313" s="1041"/>
      <c r="P313" s="1041"/>
      <c r="Q313" s="1041"/>
      <c r="R313" s="1041"/>
      <c r="S313" s="1041"/>
      <c r="T313" s="1041"/>
      <c r="U313" s="1041"/>
      <c r="V313" s="1041"/>
      <c r="W313" s="1041"/>
      <c r="X313" s="1041"/>
      <c r="Y313" s="1041"/>
      <c r="Z313" s="1041"/>
      <c r="AA313" s="1041"/>
      <c r="AB313" s="1041"/>
      <c r="AC313" s="1043"/>
      <c r="AD313" s="1043"/>
      <c r="AE313" s="1043"/>
      <c r="AF313" s="1041"/>
      <c r="AG313" s="1041"/>
      <c r="AH313" s="1041"/>
      <c r="AI313" s="1041"/>
    </row>
    <row r="314" spans="1:35" s="878" customFormat="1" ht="19.5" customHeight="1">
      <c r="A314" s="1041"/>
      <c r="B314" s="1042"/>
      <c r="C314" s="1041"/>
      <c r="D314" s="1041"/>
      <c r="E314" s="1042"/>
      <c r="F314" s="1041"/>
      <c r="G314" s="1041"/>
      <c r="H314" s="1041"/>
      <c r="I314" s="1041"/>
      <c r="J314" s="1041"/>
      <c r="K314" s="1041"/>
      <c r="L314" s="1041"/>
      <c r="M314" s="1041"/>
      <c r="N314" s="1041"/>
      <c r="O314" s="1041"/>
      <c r="P314" s="1041"/>
      <c r="Q314" s="1041"/>
      <c r="R314" s="1041"/>
      <c r="S314" s="1041"/>
      <c r="T314" s="1041"/>
      <c r="U314" s="1041"/>
      <c r="V314" s="1041"/>
      <c r="W314" s="1041"/>
      <c r="X314" s="1041"/>
      <c r="Y314" s="1041"/>
      <c r="Z314" s="1041"/>
      <c r="AA314" s="1041"/>
      <c r="AB314" s="1041"/>
      <c r="AC314" s="1043"/>
      <c r="AD314" s="1043"/>
      <c r="AE314" s="1043"/>
      <c r="AF314" s="1041"/>
      <c r="AG314" s="1041"/>
      <c r="AH314" s="1041"/>
      <c r="AI314" s="1041"/>
    </row>
    <row r="315" spans="1:35" s="878" customFormat="1" ht="19.5" customHeight="1">
      <c r="A315" s="1041"/>
      <c r="B315" s="1042"/>
      <c r="C315" s="1041"/>
      <c r="D315" s="1041"/>
      <c r="E315" s="1042"/>
      <c r="F315" s="1041"/>
      <c r="G315" s="1041"/>
      <c r="H315" s="1041"/>
      <c r="I315" s="1041"/>
      <c r="J315" s="1041"/>
      <c r="K315" s="1041"/>
      <c r="L315" s="1041"/>
      <c r="M315" s="1041"/>
      <c r="N315" s="1041"/>
      <c r="O315" s="1041"/>
      <c r="P315" s="1041"/>
      <c r="Q315" s="1041"/>
      <c r="R315" s="1041"/>
      <c r="S315" s="1041"/>
      <c r="T315" s="1041"/>
      <c r="U315" s="1041"/>
      <c r="V315" s="1041"/>
      <c r="W315" s="1041"/>
      <c r="X315" s="1041"/>
      <c r="Y315" s="1041"/>
      <c r="Z315" s="1041"/>
      <c r="AA315" s="1041"/>
      <c r="AB315" s="1041"/>
      <c r="AC315" s="1043"/>
      <c r="AD315" s="1043"/>
      <c r="AE315" s="1043"/>
      <c r="AF315" s="1041"/>
      <c r="AG315" s="1041"/>
      <c r="AH315" s="1041"/>
      <c r="AI315" s="1041"/>
    </row>
    <row r="316" spans="1:35" s="878" customFormat="1" ht="19.5" customHeight="1">
      <c r="A316" s="1041"/>
      <c r="B316" s="1042"/>
      <c r="C316" s="1041"/>
      <c r="D316" s="1041"/>
      <c r="E316" s="1042"/>
      <c r="F316" s="1041"/>
      <c r="G316" s="1041"/>
      <c r="H316" s="1041"/>
      <c r="I316" s="1041"/>
      <c r="J316" s="1041"/>
      <c r="K316" s="1041"/>
      <c r="L316" s="1041"/>
      <c r="M316" s="1041"/>
      <c r="N316" s="1041"/>
      <c r="O316" s="1041"/>
      <c r="P316" s="1041"/>
      <c r="Q316" s="1041"/>
      <c r="R316" s="1041"/>
      <c r="S316" s="1041"/>
      <c r="T316" s="1041"/>
      <c r="U316" s="1041"/>
      <c r="V316" s="1041"/>
      <c r="W316" s="1041"/>
      <c r="X316" s="1041"/>
      <c r="Y316" s="1041"/>
      <c r="Z316" s="1041"/>
      <c r="AA316" s="1041"/>
      <c r="AB316" s="1041"/>
      <c r="AC316" s="1043"/>
      <c r="AD316" s="1043"/>
      <c r="AE316" s="1043"/>
      <c r="AF316" s="1041"/>
      <c r="AG316" s="1041"/>
      <c r="AH316" s="1041"/>
      <c r="AI316" s="1041"/>
    </row>
    <row r="317" spans="1:35" s="878" customFormat="1" ht="19.5" customHeight="1">
      <c r="A317" s="1041"/>
      <c r="B317" s="1042"/>
      <c r="C317" s="1041"/>
      <c r="D317" s="1041"/>
      <c r="E317" s="1042"/>
      <c r="F317" s="1041"/>
      <c r="G317" s="1041"/>
      <c r="H317" s="1041"/>
      <c r="I317" s="1041"/>
      <c r="J317" s="1041"/>
      <c r="K317" s="1041"/>
      <c r="L317" s="1041"/>
      <c r="M317" s="1041"/>
      <c r="N317" s="1041"/>
      <c r="O317" s="1041"/>
      <c r="P317" s="1041"/>
      <c r="Q317" s="1041"/>
      <c r="R317" s="1041"/>
      <c r="S317" s="1041"/>
      <c r="T317" s="1041"/>
      <c r="U317" s="1041"/>
      <c r="V317" s="1041"/>
      <c r="W317" s="1041"/>
      <c r="X317" s="1041"/>
      <c r="Y317" s="1041"/>
      <c r="Z317" s="1041"/>
      <c r="AA317" s="1041"/>
      <c r="AB317" s="1041"/>
      <c r="AC317" s="1043"/>
      <c r="AD317" s="1043"/>
      <c r="AE317" s="1043"/>
      <c r="AF317" s="1041"/>
      <c r="AG317" s="1041"/>
      <c r="AH317" s="1041"/>
      <c r="AI317" s="1041"/>
    </row>
    <row r="318" spans="1:35" s="878" customFormat="1" ht="19.5" customHeight="1">
      <c r="A318" s="1041"/>
      <c r="B318" s="1042"/>
      <c r="C318" s="1041"/>
      <c r="D318" s="1041"/>
      <c r="E318" s="1042"/>
      <c r="F318" s="1041"/>
      <c r="G318" s="1041"/>
      <c r="H318" s="1041"/>
      <c r="I318" s="1041"/>
      <c r="J318" s="1041"/>
      <c r="K318" s="1041"/>
      <c r="L318" s="1041"/>
      <c r="M318" s="1041"/>
      <c r="N318" s="1041"/>
      <c r="O318" s="1041"/>
      <c r="P318" s="1041"/>
      <c r="Q318" s="1041"/>
      <c r="R318" s="1041"/>
      <c r="S318" s="1041"/>
      <c r="T318" s="1041"/>
      <c r="U318" s="1041"/>
      <c r="V318" s="1041"/>
      <c r="W318" s="1041"/>
      <c r="X318" s="1041"/>
      <c r="Y318" s="1041"/>
      <c r="Z318" s="1041"/>
      <c r="AA318" s="1041"/>
      <c r="AB318" s="1041"/>
      <c r="AC318" s="1043"/>
      <c r="AD318" s="1043"/>
      <c r="AE318" s="1043"/>
      <c r="AF318" s="1041"/>
      <c r="AG318" s="1041"/>
      <c r="AH318" s="1041"/>
      <c r="AI318" s="1041"/>
    </row>
    <row r="319" spans="1:35" s="878" customFormat="1" ht="19.5" customHeight="1">
      <c r="A319" s="1041"/>
      <c r="B319" s="1042"/>
      <c r="C319" s="1041"/>
      <c r="D319" s="1041"/>
      <c r="E319" s="1042"/>
      <c r="F319" s="1041"/>
      <c r="G319" s="1041"/>
      <c r="H319" s="1041"/>
      <c r="I319" s="1041"/>
      <c r="J319" s="1041"/>
      <c r="K319" s="1041"/>
      <c r="L319" s="1041"/>
      <c r="M319" s="1041"/>
      <c r="N319" s="1041"/>
      <c r="O319" s="1041"/>
      <c r="P319" s="1041"/>
      <c r="Q319" s="1041"/>
      <c r="R319" s="1041"/>
      <c r="S319" s="1041"/>
      <c r="T319" s="1041"/>
      <c r="U319" s="1041"/>
      <c r="V319" s="1041"/>
      <c r="W319" s="1041"/>
      <c r="X319" s="1041"/>
      <c r="Y319" s="1041"/>
      <c r="Z319" s="1041"/>
      <c r="AA319" s="1041"/>
      <c r="AB319" s="1041"/>
      <c r="AC319" s="1043"/>
      <c r="AD319" s="1043"/>
      <c r="AE319" s="1043"/>
      <c r="AF319" s="1041"/>
      <c r="AG319" s="1041"/>
      <c r="AH319" s="1041"/>
      <c r="AI319" s="1041"/>
    </row>
    <row r="320" spans="1:35" s="878" customFormat="1" ht="19.5" customHeight="1">
      <c r="A320" s="1041"/>
      <c r="B320" s="1042"/>
      <c r="C320" s="1041"/>
      <c r="D320" s="1041"/>
      <c r="E320" s="1042"/>
      <c r="F320" s="1041"/>
      <c r="G320" s="1041"/>
      <c r="H320" s="1041"/>
      <c r="I320" s="1041"/>
      <c r="J320" s="1041"/>
      <c r="K320" s="1041"/>
      <c r="L320" s="1041"/>
      <c r="M320" s="1041"/>
      <c r="N320" s="1041"/>
      <c r="O320" s="1041"/>
      <c r="P320" s="1041"/>
      <c r="Q320" s="1041"/>
      <c r="R320" s="1041"/>
      <c r="S320" s="1041"/>
      <c r="T320" s="1041"/>
      <c r="U320" s="1041"/>
      <c r="V320" s="1041"/>
      <c r="W320" s="1041"/>
      <c r="X320" s="1041"/>
      <c r="Y320" s="1041"/>
      <c r="Z320" s="1041"/>
      <c r="AA320" s="1041"/>
      <c r="AB320" s="1041"/>
      <c r="AC320" s="1043"/>
      <c r="AD320" s="1043"/>
      <c r="AE320" s="1043"/>
      <c r="AF320" s="1041"/>
      <c r="AG320" s="1041"/>
      <c r="AH320" s="1041"/>
      <c r="AI320" s="1041"/>
    </row>
    <row r="321" spans="1:35" s="878" customFormat="1" ht="19.5" customHeight="1">
      <c r="A321" s="1041"/>
      <c r="B321" s="1042"/>
      <c r="C321" s="1041"/>
      <c r="D321" s="1041"/>
      <c r="E321" s="1042"/>
      <c r="F321" s="1041"/>
      <c r="G321" s="1041"/>
      <c r="H321" s="1041"/>
      <c r="I321" s="1041"/>
      <c r="J321" s="1041"/>
      <c r="K321" s="1041"/>
      <c r="L321" s="1041"/>
      <c r="M321" s="1041"/>
      <c r="N321" s="1041"/>
      <c r="O321" s="1041"/>
      <c r="P321" s="1041"/>
      <c r="Q321" s="1041"/>
      <c r="R321" s="1041"/>
      <c r="S321" s="1041"/>
      <c r="T321" s="1041"/>
      <c r="U321" s="1041"/>
      <c r="V321" s="1041"/>
      <c r="W321" s="1041"/>
      <c r="X321" s="1041"/>
      <c r="Y321" s="1041"/>
      <c r="Z321" s="1041"/>
      <c r="AA321" s="1041"/>
      <c r="AB321" s="1041"/>
      <c r="AC321" s="1043"/>
      <c r="AD321" s="1043"/>
      <c r="AE321" s="1043"/>
      <c r="AF321" s="1041"/>
      <c r="AG321" s="1041"/>
      <c r="AH321" s="1041"/>
      <c r="AI321" s="1041"/>
    </row>
    <row r="322" spans="1:35" s="878" customFormat="1" ht="19.5" customHeight="1">
      <c r="A322" s="1041"/>
      <c r="B322" s="1042"/>
      <c r="C322" s="1041"/>
      <c r="D322" s="1041"/>
      <c r="E322" s="1042"/>
      <c r="F322" s="1041"/>
      <c r="G322" s="1041"/>
      <c r="H322" s="1041"/>
      <c r="I322" s="1041"/>
      <c r="J322" s="1041"/>
      <c r="K322" s="1041"/>
      <c r="L322" s="1041"/>
      <c r="M322" s="1041"/>
      <c r="N322" s="1041"/>
      <c r="O322" s="1041"/>
      <c r="P322" s="1041"/>
      <c r="Q322" s="1041"/>
      <c r="R322" s="1041"/>
      <c r="S322" s="1041"/>
      <c r="T322" s="1041"/>
      <c r="U322" s="1041"/>
      <c r="V322" s="1041"/>
      <c r="W322" s="1041"/>
      <c r="X322" s="1041"/>
      <c r="Y322" s="1041"/>
      <c r="Z322" s="1041"/>
      <c r="AA322" s="1041"/>
      <c r="AB322" s="1041"/>
      <c r="AC322" s="1043"/>
      <c r="AD322" s="1043"/>
      <c r="AE322" s="1043"/>
      <c r="AF322" s="1041"/>
      <c r="AG322" s="1041"/>
      <c r="AH322" s="1041"/>
      <c r="AI322" s="1041"/>
    </row>
    <row r="323" spans="1:35" s="878" customFormat="1" ht="19.5" customHeight="1">
      <c r="A323" s="1041"/>
      <c r="B323" s="1042"/>
      <c r="C323" s="1041"/>
      <c r="D323" s="1041"/>
      <c r="E323" s="1042"/>
      <c r="F323" s="1041"/>
      <c r="G323" s="1041"/>
      <c r="H323" s="1041"/>
      <c r="I323" s="1041"/>
      <c r="J323" s="1041"/>
      <c r="K323" s="1041"/>
      <c r="L323" s="1041"/>
      <c r="M323" s="1041"/>
      <c r="N323" s="1041"/>
      <c r="O323" s="1041"/>
      <c r="P323" s="1041"/>
      <c r="Q323" s="1041"/>
      <c r="R323" s="1041"/>
      <c r="S323" s="1041"/>
      <c r="T323" s="1041"/>
      <c r="U323" s="1041"/>
      <c r="V323" s="1041"/>
      <c r="W323" s="1041"/>
      <c r="X323" s="1041"/>
      <c r="Y323" s="1041"/>
      <c r="Z323" s="1041"/>
      <c r="AA323" s="1041"/>
      <c r="AB323" s="1041"/>
      <c r="AC323" s="1043"/>
      <c r="AD323" s="1043"/>
      <c r="AE323" s="1043"/>
      <c r="AF323" s="1041"/>
      <c r="AG323" s="1041"/>
      <c r="AH323" s="1041"/>
      <c r="AI323" s="1041"/>
    </row>
    <row r="324" spans="1:35" s="878" customFormat="1" ht="19.5" customHeight="1">
      <c r="A324" s="1041"/>
      <c r="B324" s="1042"/>
      <c r="C324" s="1041"/>
      <c r="D324" s="1041"/>
      <c r="E324" s="1042"/>
      <c r="F324" s="1041"/>
      <c r="G324" s="1041"/>
      <c r="H324" s="1041"/>
      <c r="I324" s="1041"/>
      <c r="J324" s="1041"/>
      <c r="K324" s="1041"/>
      <c r="L324" s="1041"/>
      <c r="M324" s="1041"/>
      <c r="N324" s="1041"/>
      <c r="O324" s="1041"/>
      <c r="P324" s="1041"/>
      <c r="Q324" s="1041"/>
      <c r="R324" s="1041"/>
      <c r="S324" s="1041"/>
      <c r="T324" s="1041"/>
      <c r="U324" s="1041"/>
      <c r="V324" s="1041"/>
      <c r="W324" s="1041"/>
      <c r="X324" s="1041"/>
      <c r="Y324" s="1041"/>
      <c r="Z324" s="1041"/>
      <c r="AA324" s="1041"/>
      <c r="AB324" s="1041"/>
      <c r="AC324" s="1043"/>
      <c r="AD324" s="1043"/>
      <c r="AE324" s="1043"/>
      <c r="AF324" s="1041"/>
      <c r="AG324" s="1041"/>
      <c r="AH324" s="1041"/>
      <c r="AI324" s="1041"/>
    </row>
    <row r="325" spans="1:35" s="878" customFormat="1" ht="19.5" customHeight="1">
      <c r="A325" s="1041"/>
      <c r="B325" s="1042"/>
      <c r="C325" s="1041"/>
      <c r="D325" s="1041"/>
      <c r="E325" s="1042"/>
      <c r="F325" s="1041"/>
      <c r="G325" s="1041"/>
      <c r="H325" s="1041"/>
      <c r="I325" s="1041"/>
      <c r="J325" s="1041"/>
      <c r="K325" s="1041"/>
      <c r="L325" s="1041"/>
      <c r="M325" s="1041"/>
      <c r="N325" s="1041"/>
      <c r="O325" s="1041"/>
      <c r="P325" s="1041"/>
      <c r="Q325" s="1041"/>
      <c r="R325" s="1041"/>
      <c r="S325" s="1041"/>
      <c r="T325" s="1041"/>
      <c r="U325" s="1041"/>
      <c r="V325" s="1041"/>
      <c r="W325" s="1041"/>
      <c r="X325" s="1041"/>
      <c r="Y325" s="1041"/>
      <c r="Z325" s="1041"/>
      <c r="AA325" s="1041"/>
      <c r="AB325" s="1041"/>
      <c r="AC325" s="1043"/>
      <c r="AD325" s="1043"/>
      <c r="AE325" s="1043"/>
      <c r="AF325" s="1041"/>
      <c r="AG325" s="1041"/>
      <c r="AH325" s="1041"/>
      <c r="AI325" s="1041"/>
    </row>
    <row r="326" spans="1:35" s="878" customFormat="1" ht="19.5" customHeight="1">
      <c r="A326" s="1041"/>
      <c r="B326" s="1042"/>
      <c r="C326" s="1041"/>
      <c r="D326" s="1041"/>
      <c r="E326" s="1042"/>
      <c r="F326" s="1041"/>
      <c r="G326" s="1041"/>
      <c r="H326" s="1041"/>
      <c r="I326" s="1041"/>
      <c r="J326" s="1041"/>
      <c r="K326" s="1041"/>
      <c r="L326" s="1041"/>
      <c r="M326" s="1041"/>
      <c r="N326" s="1041"/>
      <c r="O326" s="1041"/>
      <c r="P326" s="1041"/>
      <c r="Q326" s="1041"/>
      <c r="R326" s="1041"/>
      <c r="S326" s="1041"/>
      <c r="T326" s="1041"/>
      <c r="U326" s="1041"/>
      <c r="V326" s="1041"/>
      <c r="W326" s="1041"/>
      <c r="X326" s="1041"/>
      <c r="Y326" s="1041"/>
      <c r="Z326" s="1041"/>
      <c r="AA326" s="1041"/>
      <c r="AB326" s="1041"/>
      <c r="AC326" s="1043"/>
      <c r="AD326" s="1043"/>
      <c r="AE326" s="1043"/>
      <c r="AF326" s="1041"/>
      <c r="AG326" s="1041"/>
      <c r="AH326" s="1041"/>
      <c r="AI326" s="1041"/>
    </row>
    <row r="327" spans="1:35" s="878" customFormat="1" ht="19.5" customHeight="1">
      <c r="A327" s="1041"/>
      <c r="B327" s="1042"/>
      <c r="C327" s="1041"/>
      <c r="D327" s="1041"/>
      <c r="E327" s="1042"/>
      <c r="F327" s="1041"/>
      <c r="G327" s="1041"/>
      <c r="H327" s="1041"/>
      <c r="I327" s="1041"/>
      <c r="J327" s="1041"/>
      <c r="K327" s="1041"/>
      <c r="L327" s="1041"/>
      <c r="M327" s="1041"/>
      <c r="N327" s="1041"/>
      <c r="O327" s="1041"/>
      <c r="P327" s="1041"/>
      <c r="Q327" s="1041"/>
      <c r="R327" s="1041"/>
      <c r="S327" s="1041"/>
      <c r="T327" s="1041"/>
      <c r="U327" s="1041"/>
      <c r="V327" s="1041"/>
      <c r="W327" s="1041"/>
      <c r="X327" s="1041"/>
      <c r="Y327" s="1041"/>
      <c r="Z327" s="1041"/>
      <c r="AA327" s="1041"/>
      <c r="AB327" s="1041"/>
      <c r="AC327" s="1043"/>
      <c r="AD327" s="1043"/>
      <c r="AE327" s="1043"/>
      <c r="AF327" s="1041"/>
      <c r="AG327" s="1041"/>
      <c r="AH327" s="1041"/>
      <c r="AI327" s="1041"/>
    </row>
    <row r="328" spans="1:35" s="878" customFormat="1" ht="19.5" customHeight="1">
      <c r="A328" s="1041"/>
      <c r="B328" s="1042"/>
      <c r="C328" s="1041"/>
      <c r="D328" s="1041"/>
      <c r="E328" s="1042"/>
      <c r="F328" s="1041"/>
      <c r="G328" s="1041"/>
      <c r="H328" s="1041"/>
      <c r="I328" s="1041"/>
      <c r="J328" s="1041"/>
      <c r="K328" s="1041"/>
      <c r="L328" s="1041"/>
      <c r="M328" s="1041"/>
      <c r="N328" s="1041"/>
      <c r="O328" s="1041"/>
      <c r="P328" s="1041"/>
      <c r="Q328" s="1041"/>
      <c r="R328" s="1041"/>
      <c r="S328" s="1041"/>
      <c r="T328" s="1041"/>
      <c r="U328" s="1041"/>
      <c r="V328" s="1041"/>
      <c r="W328" s="1041"/>
      <c r="X328" s="1041"/>
      <c r="Y328" s="1041"/>
      <c r="Z328" s="1041"/>
      <c r="AA328" s="1041"/>
      <c r="AB328" s="1041"/>
      <c r="AC328" s="1043"/>
      <c r="AD328" s="1043"/>
      <c r="AE328" s="1043"/>
      <c r="AF328" s="1041"/>
      <c r="AG328" s="1041"/>
      <c r="AH328" s="1041"/>
      <c r="AI328" s="1041"/>
    </row>
    <row r="329" spans="1:35" s="878" customFormat="1" ht="19.5" customHeight="1">
      <c r="A329" s="1041"/>
      <c r="B329" s="1042"/>
      <c r="C329" s="1041"/>
      <c r="D329" s="1041"/>
      <c r="E329" s="1042"/>
      <c r="F329" s="1041"/>
      <c r="G329" s="1041"/>
      <c r="H329" s="1041"/>
      <c r="I329" s="1041"/>
      <c r="J329" s="1041"/>
      <c r="K329" s="1041"/>
      <c r="L329" s="1041"/>
      <c r="M329" s="1041"/>
      <c r="N329" s="1041"/>
      <c r="O329" s="1041"/>
      <c r="P329" s="1041"/>
      <c r="Q329" s="1041"/>
      <c r="R329" s="1041"/>
      <c r="S329" s="1041"/>
      <c r="T329" s="1041"/>
      <c r="U329" s="1041"/>
      <c r="V329" s="1041"/>
      <c r="W329" s="1041"/>
      <c r="X329" s="1041"/>
      <c r="Y329" s="1041"/>
      <c r="Z329" s="1041"/>
      <c r="AA329" s="1041"/>
      <c r="AB329" s="1041"/>
      <c r="AC329" s="1043"/>
      <c r="AD329" s="1043"/>
      <c r="AE329" s="1043"/>
      <c r="AF329" s="1041"/>
      <c r="AG329" s="1041"/>
      <c r="AH329" s="1041"/>
      <c r="AI329" s="1041"/>
    </row>
    <row r="330" spans="1:35" s="878" customFormat="1" ht="19.5" customHeight="1">
      <c r="A330" s="1041"/>
      <c r="B330" s="1042"/>
      <c r="C330" s="1041"/>
      <c r="D330" s="1041"/>
      <c r="E330" s="1042"/>
      <c r="F330" s="1041"/>
      <c r="G330" s="1041"/>
      <c r="H330" s="1041"/>
      <c r="I330" s="1041"/>
      <c r="J330" s="1041"/>
      <c r="K330" s="1041"/>
      <c r="L330" s="1041"/>
      <c r="M330" s="1041"/>
      <c r="N330" s="1041"/>
      <c r="O330" s="1041"/>
      <c r="P330" s="1041"/>
      <c r="Q330" s="1041"/>
      <c r="R330" s="1041"/>
      <c r="S330" s="1041"/>
      <c r="T330" s="1041"/>
      <c r="U330" s="1041"/>
      <c r="V330" s="1041"/>
      <c r="W330" s="1041"/>
      <c r="X330" s="1041"/>
      <c r="Y330" s="1041"/>
      <c r="Z330" s="1041"/>
      <c r="AA330" s="1041"/>
      <c r="AB330" s="1041"/>
      <c r="AC330" s="1043"/>
      <c r="AD330" s="1043"/>
      <c r="AE330" s="1043"/>
      <c r="AF330" s="1041"/>
      <c r="AG330" s="1041"/>
      <c r="AH330" s="1041"/>
      <c r="AI330" s="1041"/>
    </row>
    <row r="331" spans="1:35" s="878" customFormat="1" ht="19.5" customHeight="1">
      <c r="A331" s="1041"/>
      <c r="B331" s="1042"/>
      <c r="C331" s="1041"/>
      <c r="D331" s="1041"/>
      <c r="E331" s="1042"/>
      <c r="F331" s="1041"/>
      <c r="G331" s="1041"/>
      <c r="H331" s="1041"/>
      <c r="I331" s="1041"/>
      <c r="J331" s="1041"/>
      <c r="K331" s="1041"/>
      <c r="L331" s="1041"/>
      <c r="M331" s="1041"/>
      <c r="N331" s="1041"/>
      <c r="O331" s="1041"/>
      <c r="P331" s="1041"/>
      <c r="Q331" s="1041"/>
      <c r="R331" s="1041"/>
      <c r="S331" s="1041"/>
      <c r="T331" s="1041"/>
      <c r="U331" s="1041"/>
      <c r="V331" s="1041"/>
      <c r="W331" s="1041"/>
      <c r="X331" s="1041"/>
      <c r="Y331" s="1041"/>
      <c r="Z331" s="1041"/>
      <c r="AA331" s="1041"/>
      <c r="AB331" s="1041"/>
      <c r="AC331" s="1043"/>
      <c r="AD331" s="1043"/>
      <c r="AE331" s="1043"/>
      <c r="AF331" s="1041"/>
      <c r="AG331" s="1041"/>
      <c r="AH331" s="1041"/>
      <c r="AI331" s="1041"/>
    </row>
    <row r="332" spans="1:35" s="878" customFormat="1" ht="19.5" customHeight="1">
      <c r="A332" s="1041"/>
      <c r="B332" s="1042"/>
      <c r="C332" s="1041"/>
      <c r="D332" s="1041"/>
      <c r="E332" s="1042"/>
      <c r="F332" s="1041"/>
      <c r="G332" s="1041"/>
      <c r="H332" s="1041"/>
      <c r="I332" s="1041"/>
      <c r="J332" s="1041"/>
      <c r="K332" s="1041"/>
      <c r="L332" s="1041"/>
      <c r="M332" s="1041"/>
      <c r="N332" s="1041"/>
      <c r="O332" s="1041"/>
      <c r="P332" s="1041"/>
      <c r="Q332" s="1041"/>
      <c r="R332" s="1041"/>
      <c r="S332" s="1041"/>
      <c r="T332" s="1041"/>
      <c r="U332" s="1041"/>
      <c r="V332" s="1041"/>
      <c r="W332" s="1041"/>
      <c r="X332" s="1041"/>
      <c r="Y332" s="1041"/>
      <c r="Z332" s="1041"/>
      <c r="AA332" s="1041"/>
      <c r="AB332" s="1041"/>
      <c r="AC332" s="1043"/>
      <c r="AD332" s="1043"/>
      <c r="AE332" s="1043"/>
      <c r="AF332" s="1041"/>
      <c r="AG332" s="1041"/>
      <c r="AH332" s="1041"/>
      <c r="AI332" s="1041"/>
    </row>
    <row r="333" spans="1:35" s="878" customFormat="1" ht="19.5" customHeight="1">
      <c r="A333" s="1041"/>
      <c r="B333" s="1042"/>
      <c r="C333" s="1041"/>
      <c r="D333" s="1041"/>
      <c r="E333" s="1042"/>
      <c r="F333" s="1041"/>
      <c r="G333" s="1041"/>
      <c r="H333" s="1041"/>
      <c r="I333" s="1041"/>
      <c r="J333" s="1041"/>
      <c r="K333" s="1041"/>
      <c r="L333" s="1041"/>
      <c r="M333" s="1041"/>
      <c r="N333" s="1041"/>
      <c r="O333" s="1041"/>
      <c r="P333" s="1041"/>
      <c r="Q333" s="1041"/>
      <c r="R333" s="1041"/>
      <c r="S333" s="1041"/>
      <c r="T333" s="1041"/>
      <c r="U333" s="1041"/>
      <c r="V333" s="1041"/>
      <c r="W333" s="1041"/>
      <c r="X333" s="1041"/>
      <c r="Y333" s="1041"/>
      <c r="Z333" s="1041"/>
      <c r="AA333" s="1041"/>
      <c r="AB333" s="1041"/>
      <c r="AC333" s="1043"/>
      <c r="AD333" s="1043"/>
      <c r="AE333" s="1043"/>
      <c r="AF333" s="1041"/>
      <c r="AG333" s="1041"/>
      <c r="AH333" s="1041"/>
      <c r="AI333" s="1041"/>
    </row>
    <row r="334" spans="1:35" s="878" customFormat="1" ht="19.5" customHeight="1">
      <c r="A334" s="1041"/>
      <c r="B334" s="1042"/>
      <c r="C334" s="1041"/>
      <c r="D334" s="1041"/>
      <c r="E334" s="1042"/>
      <c r="F334" s="1041"/>
      <c r="G334" s="1041"/>
      <c r="H334" s="1041"/>
      <c r="I334" s="1041"/>
      <c r="J334" s="1041"/>
      <c r="K334" s="1041"/>
      <c r="L334" s="1041"/>
      <c r="M334" s="1041"/>
      <c r="N334" s="1041"/>
      <c r="O334" s="1041"/>
      <c r="P334" s="1041"/>
      <c r="Q334" s="1041"/>
      <c r="R334" s="1041"/>
      <c r="S334" s="1041"/>
      <c r="T334" s="1041"/>
      <c r="U334" s="1041"/>
      <c r="V334" s="1041"/>
      <c r="W334" s="1041"/>
      <c r="X334" s="1041"/>
      <c r="Y334" s="1041"/>
      <c r="Z334" s="1041"/>
      <c r="AA334" s="1041"/>
      <c r="AB334" s="1041"/>
      <c r="AC334" s="1043"/>
      <c r="AD334" s="1043"/>
      <c r="AE334" s="1043"/>
      <c r="AF334" s="1041"/>
      <c r="AG334" s="1041"/>
      <c r="AH334" s="1041"/>
      <c r="AI334" s="1041"/>
    </row>
    <row r="335" spans="1:35" s="878" customFormat="1" ht="19.5" customHeight="1">
      <c r="A335" s="1041"/>
      <c r="B335" s="1042"/>
      <c r="C335" s="1041"/>
      <c r="D335" s="1041"/>
      <c r="E335" s="1042"/>
      <c r="F335" s="1041"/>
      <c r="G335" s="1041"/>
      <c r="H335" s="1041"/>
      <c r="I335" s="1041"/>
      <c r="J335" s="1041"/>
      <c r="K335" s="1041"/>
      <c r="L335" s="1041"/>
      <c r="M335" s="1041"/>
      <c r="N335" s="1041"/>
      <c r="O335" s="1041"/>
      <c r="P335" s="1041"/>
      <c r="Q335" s="1041"/>
      <c r="R335" s="1041"/>
      <c r="S335" s="1041"/>
      <c r="T335" s="1041"/>
      <c r="U335" s="1041"/>
      <c r="V335" s="1041"/>
      <c r="W335" s="1041"/>
      <c r="X335" s="1041"/>
      <c r="Y335" s="1041"/>
      <c r="Z335" s="1041"/>
      <c r="AA335" s="1041"/>
      <c r="AB335" s="1041"/>
      <c r="AC335" s="1043"/>
      <c r="AD335" s="1043"/>
      <c r="AE335" s="1043"/>
      <c r="AF335" s="1041"/>
      <c r="AG335" s="1041"/>
      <c r="AH335" s="1041"/>
      <c r="AI335" s="1041"/>
    </row>
    <row r="336" spans="1:35" s="878" customFormat="1" ht="19.5" customHeight="1">
      <c r="A336" s="1041"/>
      <c r="B336" s="1042"/>
      <c r="C336" s="1041"/>
      <c r="D336" s="1041"/>
      <c r="E336" s="1042"/>
      <c r="F336" s="1041"/>
      <c r="G336" s="1041"/>
      <c r="H336" s="1041"/>
      <c r="I336" s="1041"/>
      <c r="J336" s="1041"/>
      <c r="K336" s="1041"/>
      <c r="L336" s="1041"/>
      <c r="M336" s="1041"/>
      <c r="N336" s="1041"/>
      <c r="O336" s="1041"/>
      <c r="P336" s="1041"/>
      <c r="Q336" s="1041"/>
      <c r="R336" s="1041"/>
      <c r="S336" s="1041"/>
      <c r="T336" s="1041"/>
      <c r="U336" s="1041"/>
      <c r="V336" s="1041"/>
      <c r="W336" s="1041"/>
      <c r="X336" s="1041"/>
      <c r="Y336" s="1041"/>
      <c r="Z336" s="1041"/>
      <c r="AA336" s="1041"/>
      <c r="AB336" s="1041"/>
      <c r="AC336" s="1043"/>
      <c r="AD336" s="1043"/>
      <c r="AE336" s="1043"/>
      <c r="AF336" s="1041"/>
      <c r="AG336" s="1041"/>
      <c r="AH336" s="1041"/>
      <c r="AI336" s="1041"/>
    </row>
    <row r="337" spans="1:35" s="878" customFormat="1" ht="19.5" customHeight="1">
      <c r="A337" s="1041"/>
      <c r="B337" s="1042"/>
      <c r="C337" s="1041"/>
      <c r="D337" s="1041"/>
      <c r="E337" s="1042"/>
      <c r="F337" s="1041"/>
      <c r="G337" s="1041"/>
      <c r="H337" s="1041"/>
      <c r="I337" s="1041"/>
      <c r="J337" s="1041"/>
      <c r="K337" s="1041"/>
      <c r="L337" s="1041"/>
      <c r="M337" s="1041"/>
      <c r="N337" s="1041"/>
      <c r="O337" s="1041"/>
      <c r="P337" s="1041"/>
      <c r="Q337" s="1041"/>
      <c r="R337" s="1041"/>
      <c r="S337" s="1041"/>
      <c r="T337" s="1041"/>
      <c r="U337" s="1041"/>
      <c r="V337" s="1041"/>
      <c r="W337" s="1041"/>
      <c r="X337" s="1041"/>
      <c r="Y337" s="1041"/>
      <c r="Z337" s="1041"/>
      <c r="AA337" s="1041"/>
      <c r="AB337" s="1041"/>
      <c r="AC337" s="1043"/>
      <c r="AD337" s="1043"/>
      <c r="AE337" s="1043"/>
      <c r="AF337" s="1041"/>
      <c r="AG337" s="1041"/>
      <c r="AH337" s="1041"/>
      <c r="AI337" s="1041"/>
    </row>
    <row r="338" spans="1:35" s="878" customFormat="1" ht="19.5" customHeight="1">
      <c r="A338" s="1041"/>
      <c r="B338" s="1042"/>
      <c r="C338" s="1041"/>
      <c r="D338" s="1041"/>
      <c r="E338" s="1042"/>
      <c r="F338" s="1041"/>
      <c r="G338" s="1041"/>
      <c r="H338" s="1041"/>
      <c r="I338" s="1041"/>
      <c r="J338" s="1041"/>
      <c r="K338" s="1041"/>
      <c r="L338" s="1041"/>
      <c r="M338" s="1041"/>
      <c r="N338" s="1041"/>
      <c r="O338" s="1041"/>
      <c r="P338" s="1041"/>
      <c r="Q338" s="1041"/>
      <c r="R338" s="1041"/>
      <c r="S338" s="1041"/>
      <c r="T338" s="1041"/>
      <c r="U338" s="1041"/>
      <c r="V338" s="1041"/>
      <c r="W338" s="1041"/>
      <c r="X338" s="1041"/>
      <c r="Y338" s="1041"/>
      <c r="Z338" s="1041"/>
      <c r="AA338" s="1041"/>
      <c r="AB338" s="1041"/>
      <c r="AC338" s="1043"/>
      <c r="AD338" s="1043"/>
      <c r="AE338" s="1043"/>
      <c r="AF338" s="1041"/>
      <c r="AG338" s="1041"/>
      <c r="AH338" s="1041"/>
      <c r="AI338" s="1041"/>
    </row>
    <row r="339" spans="1:35" s="878" customFormat="1" ht="19.5" customHeight="1">
      <c r="A339" s="1041"/>
      <c r="B339" s="1042"/>
      <c r="C339" s="1041"/>
      <c r="D339" s="1041"/>
      <c r="E339" s="1042"/>
      <c r="F339" s="1041"/>
      <c r="G339" s="1041"/>
      <c r="H339" s="1041"/>
      <c r="I339" s="1041"/>
      <c r="J339" s="1041"/>
      <c r="K339" s="1041"/>
      <c r="L339" s="1041"/>
      <c r="M339" s="1041"/>
      <c r="N339" s="1041"/>
      <c r="O339" s="1041"/>
      <c r="P339" s="1041"/>
      <c r="Q339" s="1041"/>
      <c r="R339" s="1041"/>
      <c r="S339" s="1041"/>
      <c r="T339" s="1041"/>
      <c r="U339" s="1041"/>
      <c r="V339" s="1041"/>
      <c r="W339" s="1041"/>
      <c r="X339" s="1041"/>
      <c r="Y339" s="1041"/>
      <c r="Z339" s="1041"/>
      <c r="AA339" s="1041"/>
      <c r="AB339" s="1041"/>
      <c r="AC339" s="1043"/>
      <c r="AD339" s="1043"/>
      <c r="AE339" s="1043"/>
      <c r="AF339" s="1041"/>
      <c r="AG339" s="1041"/>
      <c r="AH339" s="1041"/>
      <c r="AI339" s="1041"/>
    </row>
    <row r="340" spans="1:35" s="878" customFormat="1" ht="19.5" customHeight="1">
      <c r="A340" s="1041"/>
      <c r="B340" s="1042"/>
      <c r="C340" s="1041"/>
      <c r="D340" s="1041"/>
      <c r="E340" s="1042"/>
      <c r="F340" s="1041"/>
      <c r="G340" s="1041"/>
      <c r="H340" s="1041"/>
      <c r="I340" s="1041"/>
      <c r="J340" s="1041"/>
      <c r="K340" s="1041"/>
      <c r="L340" s="1041"/>
      <c r="M340" s="1041"/>
      <c r="N340" s="1041"/>
      <c r="O340" s="1041"/>
      <c r="P340" s="1041"/>
      <c r="Q340" s="1041"/>
      <c r="R340" s="1041"/>
      <c r="S340" s="1041"/>
      <c r="T340" s="1041"/>
      <c r="U340" s="1041"/>
      <c r="V340" s="1041"/>
      <c r="W340" s="1041"/>
      <c r="X340" s="1041"/>
      <c r="Y340" s="1041"/>
      <c r="Z340" s="1041"/>
      <c r="AA340" s="1041"/>
      <c r="AB340" s="1041"/>
      <c r="AC340" s="1043"/>
      <c r="AD340" s="1043"/>
      <c r="AE340" s="1043"/>
      <c r="AF340" s="1041"/>
      <c r="AG340" s="1041"/>
      <c r="AH340" s="1041"/>
      <c r="AI340" s="1041"/>
    </row>
    <row r="341" spans="1:35" s="878" customFormat="1" ht="19.5" customHeight="1">
      <c r="A341" s="1041"/>
      <c r="B341" s="1042"/>
      <c r="C341" s="1041"/>
      <c r="D341" s="1041"/>
      <c r="E341" s="1042"/>
      <c r="F341" s="1041"/>
      <c r="G341" s="1041"/>
      <c r="H341" s="1041"/>
      <c r="I341" s="1041"/>
      <c r="J341" s="1041"/>
      <c r="K341" s="1041"/>
      <c r="L341" s="1041"/>
      <c r="M341" s="1041"/>
      <c r="N341" s="1041"/>
      <c r="O341" s="1041"/>
      <c r="P341" s="1041"/>
      <c r="Q341" s="1041"/>
      <c r="R341" s="1041"/>
      <c r="S341" s="1041"/>
      <c r="T341" s="1041"/>
      <c r="U341" s="1041"/>
      <c r="V341" s="1041"/>
      <c r="W341" s="1041"/>
      <c r="X341" s="1041"/>
      <c r="Y341" s="1041"/>
      <c r="Z341" s="1041"/>
      <c r="AA341" s="1041"/>
      <c r="AB341" s="1041"/>
      <c r="AC341" s="1043"/>
      <c r="AD341" s="1043"/>
      <c r="AE341" s="1043"/>
      <c r="AF341" s="1041"/>
      <c r="AG341" s="1041"/>
      <c r="AH341" s="1041"/>
      <c r="AI341" s="1041"/>
    </row>
    <row r="342" spans="1:35" s="878" customFormat="1" ht="19.5" customHeight="1">
      <c r="A342" s="1041"/>
      <c r="B342" s="1042"/>
      <c r="C342" s="1041"/>
      <c r="D342" s="1041"/>
      <c r="E342" s="1042"/>
      <c r="F342" s="1041"/>
      <c r="G342" s="1041"/>
      <c r="H342" s="1041"/>
      <c r="I342" s="1041"/>
      <c r="J342" s="1041"/>
      <c r="K342" s="1041"/>
      <c r="L342" s="1041"/>
      <c r="M342" s="1041"/>
      <c r="N342" s="1041"/>
      <c r="O342" s="1041"/>
      <c r="P342" s="1041"/>
      <c r="Q342" s="1041"/>
      <c r="R342" s="1041"/>
      <c r="S342" s="1041"/>
      <c r="T342" s="1041"/>
      <c r="U342" s="1041"/>
      <c r="V342" s="1041"/>
      <c r="W342" s="1041"/>
      <c r="X342" s="1041"/>
      <c r="Y342" s="1041"/>
      <c r="Z342" s="1041"/>
      <c r="AA342" s="1041"/>
      <c r="AB342" s="1041"/>
      <c r="AC342" s="1043"/>
      <c r="AD342" s="1043"/>
      <c r="AE342" s="1043"/>
      <c r="AF342" s="1041"/>
      <c r="AG342" s="1041"/>
      <c r="AH342" s="1041"/>
      <c r="AI342" s="1041"/>
    </row>
    <row r="343" spans="1:35" s="878" customFormat="1" ht="19.5" customHeight="1">
      <c r="A343" s="1041"/>
      <c r="B343" s="1042"/>
      <c r="C343" s="1041"/>
      <c r="D343" s="1041"/>
      <c r="E343" s="1042"/>
      <c r="F343" s="1041"/>
      <c r="G343" s="1041"/>
      <c r="H343" s="1041"/>
      <c r="I343" s="1041"/>
      <c r="J343" s="1041"/>
      <c r="K343" s="1041"/>
      <c r="L343" s="1041"/>
      <c r="M343" s="1041"/>
      <c r="N343" s="1041"/>
      <c r="O343" s="1041"/>
      <c r="P343" s="1041"/>
      <c r="Q343" s="1041"/>
      <c r="R343" s="1041"/>
      <c r="S343" s="1041"/>
      <c r="T343" s="1041"/>
      <c r="U343" s="1041"/>
      <c r="V343" s="1041"/>
      <c r="W343" s="1041"/>
      <c r="X343" s="1041"/>
      <c r="Y343" s="1041"/>
      <c r="Z343" s="1041"/>
      <c r="AA343" s="1041"/>
      <c r="AB343" s="1041"/>
      <c r="AC343" s="1043"/>
      <c r="AD343" s="1043"/>
      <c r="AE343" s="1043"/>
      <c r="AF343" s="1041"/>
      <c r="AG343" s="1041"/>
      <c r="AH343" s="1041"/>
      <c r="AI343" s="1041"/>
    </row>
    <row r="344" spans="1:35" s="878" customFormat="1" ht="19.5" customHeight="1">
      <c r="A344" s="1041"/>
      <c r="B344" s="1042"/>
      <c r="C344" s="1041"/>
      <c r="D344" s="1041"/>
      <c r="E344" s="1042"/>
      <c r="F344" s="1041"/>
      <c r="G344" s="1041"/>
      <c r="H344" s="1041"/>
      <c r="I344" s="1041"/>
      <c r="J344" s="1041"/>
      <c r="K344" s="1041"/>
      <c r="L344" s="1041"/>
      <c r="M344" s="1041"/>
      <c r="N344" s="1041"/>
      <c r="O344" s="1041"/>
      <c r="P344" s="1041"/>
      <c r="Q344" s="1041"/>
      <c r="R344" s="1041"/>
      <c r="S344" s="1041"/>
      <c r="T344" s="1041"/>
      <c r="U344" s="1041"/>
      <c r="V344" s="1041"/>
      <c r="W344" s="1041"/>
      <c r="X344" s="1041"/>
      <c r="Y344" s="1041"/>
      <c r="Z344" s="1041"/>
      <c r="AA344" s="1041"/>
      <c r="AB344" s="1041"/>
      <c r="AC344" s="1043"/>
      <c r="AD344" s="1043"/>
      <c r="AE344" s="1043"/>
      <c r="AF344" s="1041"/>
      <c r="AG344" s="1041"/>
      <c r="AH344" s="1041"/>
      <c r="AI344" s="1041"/>
    </row>
    <row r="345" spans="1:35" s="878" customFormat="1" ht="19.5" customHeight="1">
      <c r="A345" s="1041"/>
      <c r="B345" s="1042"/>
      <c r="C345" s="1041"/>
      <c r="D345" s="1041"/>
      <c r="E345" s="1042"/>
      <c r="F345" s="1041"/>
      <c r="G345" s="1041"/>
      <c r="H345" s="1041"/>
      <c r="I345" s="1041"/>
      <c r="J345" s="1041"/>
      <c r="K345" s="1041"/>
      <c r="L345" s="1041"/>
      <c r="M345" s="1041"/>
      <c r="N345" s="1041"/>
      <c r="O345" s="1041"/>
      <c r="P345" s="1041"/>
      <c r="Q345" s="1041"/>
      <c r="R345" s="1041"/>
      <c r="S345" s="1041"/>
      <c r="T345" s="1041"/>
      <c r="U345" s="1041"/>
      <c r="V345" s="1041"/>
      <c r="W345" s="1041"/>
      <c r="X345" s="1041"/>
      <c r="Y345" s="1041"/>
      <c r="Z345" s="1041"/>
      <c r="AA345" s="1041"/>
      <c r="AB345" s="1041"/>
      <c r="AC345" s="1043"/>
      <c r="AD345" s="1043"/>
      <c r="AE345" s="1043"/>
      <c r="AF345" s="1041"/>
      <c r="AG345" s="1041"/>
      <c r="AH345" s="1041"/>
      <c r="AI345" s="1041"/>
    </row>
    <row r="346" spans="1:35" s="878" customFormat="1" ht="19.5" customHeight="1">
      <c r="A346" s="1041"/>
      <c r="B346" s="1042"/>
      <c r="C346" s="1041"/>
      <c r="D346" s="1041"/>
      <c r="E346" s="1042"/>
      <c r="F346" s="1041"/>
      <c r="G346" s="1041"/>
      <c r="H346" s="1041"/>
      <c r="I346" s="1041"/>
      <c r="J346" s="1041"/>
      <c r="K346" s="1041"/>
      <c r="L346" s="1041"/>
      <c r="M346" s="1041"/>
      <c r="N346" s="1041"/>
      <c r="O346" s="1041"/>
      <c r="P346" s="1041"/>
      <c r="Q346" s="1041"/>
      <c r="R346" s="1041"/>
      <c r="S346" s="1041"/>
      <c r="T346" s="1041"/>
      <c r="U346" s="1041"/>
      <c r="V346" s="1041"/>
      <c r="W346" s="1041"/>
      <c r="X346" s="1041"/>
      <c r="Y346" s="1041"/>
      <c r="Z346" s="1041"/>
      <c r="AA346" s="1041"/>
      <c r="AB346" s="1041"/>
      <c r="AC346" s="1043"/>
      <c r="AD346" s="1043"/>
      <c r="AE346" s="1043"/>
      <c r="AF346" s="1041"/>
      <c r="AG346" s="1041"/>
      <c r="AH346" s="1041"/>
      <c r="AI346" s="1041"/>
    </row>
    <row r="347" spans="1:35" s="878" customFormat="1" ht="19.5" customHeight="1">
      <c r="A347" s="1041"/>
      <c r="B347" s="1042"/>
      <c r="C347" s="1041"/>
      <c r="D347" s="1041"/>
      <c r="E347" s="1042"/>
      <c r="F347" s="1041"/>
      <c r="G347" s="1041"/>
      <c r="H347" s="1041"/>
      <c r="I347" s="1041"/>
      <c r="J347" s="1041"/>
      <c r="K347" s="1041"/>
      <c r="L347" s="1041"/>
      <c r="M347" s="1041"/>
      <c r="N347" s="1041"/>
      <c r="O347" s="1041"/>
      <c r="P347" s="1041"/>
      <c r="Q347" s="1041"/>
      <c r="R347" s="1041"/>
      <c r="S347" s="1041"/>
      <c r="T347" s="1041"/>
      <c r="U347" s="1041"/>
      <c r="V347" s="1041"/>
      <c r="W347" s="1041"/>
      <c r="X347" s="1041"/>
      <c r="Y347" s="1041"/>
      <c r="Z347" s="1041"/>
      <c r="AA347" s="1041"/>
      <c r="AB347" s="1041"/>
      <c r="AC347" s="1043"/>
      <c r="AD347" s="1043"/>
      <c r="AE347" s="1043"/>
      <c r="AF347" s="1041"/>
      <c r="AG347" s="1041"/>
      <c r="AH347" s="1041"/>
      <c r="AI347" s="1041"/>
    </row>
    <row r="348" spans="1:35" s="878" customFormat="1" ht="19.5" customHeight="1">
      <c r="A348" s="1041"/>
      <c r="B348" s="1042"/>
      <c r="C348" s="1041"/>
      <c r="D348" s="1041"/>
      <c r="E348" s="1042"/>
      <c r="F348" s="1041"/>
      <c r="G348" s="1041"/>
      <c r="H348" s="1041"/>
      <c r="I348" s="1041"/>
      <c r="J348" s="1041"/>
      <c r="K348" s="1041"/>
      <c r="L348" s="1041"/>
      <c r="M348" s="1041"/>
      <c r="N348" s="1041"/>
      <c r="O348" s="1041"/>
      <c r="P348" s="1041"/>
      <c r="Q348" s="1041"/>
      <c r="R348" s="1041"/>
      <c r="S348" s="1041"/>
      <c r="T348" s="1041"/>
      <c r="U348" s="1041"/>
      <c r="V348" s="1041"/>
      <c r="W348" s="1041"/>
      <c r="X348" s="1041"/>
      <c r="Y348" s="1041"/>
      <c r="Z348" s="1041"/>
      <c r="AA348" s="1041"/>
      <c r="AB348" s="1041"/>
      <c r="AC348" s="1043"/>
      <c r="AD348" s="1043"/>
      <c r="AE348" s="1043"/>
      <c r="AF348" s="1041"/>
      <c r="AG348" s="1041"/>
      <c r="AH348" s="1041"/>
      <c r="AI348" s="1041"/>
    </row>
    <row r="349" spans="1:35" s="878" customFormat="1" ht="19.5" customHeight="1">
      <c r="A349" s="1041"/>
      <c r="B349" s="1042"/>
      <c r="C349" s="1041"/>
      <c r="D349" s="1041"/>
      <c r="E349" s="1042"/>
      <c r="F349" s="1041"/>
      <c r="G349" s="1041"/>
      <c r="H349" s="1041"/>
      <c r="I349" s="1041"/>
      <c r="J349" s="1041"/>
      <c r="K349" s="1041"/>
      <c r="L349" s="1041"/>
      <c r="M349" s="1041"/>
      <c r="N349" s="1041"/>
      <c r="O349" s="1041"/>
      <c r="P349" s="1041"/>
      <c r="Q349" s="1041"/>
      <c r="R349" s="1041"/>
      <c r="S349" s="1041"/>
      <c r="T349" s="1041"/>
      <c r="U349" s="1041"/>
      <c r="V349" s="1041"/>
      <c r="W349" s="1041"/>
      <c r="X349" s="1041"/>
      <c r="Y349" s="1041"/>
      <c r="Z349" s="1041"/>
      <c r="AA349" s="1041"/>
      <c r="AB349" s="1041"/>
      <c r="AC349" s="1043"/>
      <c r="AD349" s="1043"/>
      <c r="AE349" s="1043"/>
      <c r="AF349" s="1041"/>
      <c r="AG349" s="1041"/>
      <c r="AH349" s="1041"/>
      <c r="AI349" s="1041"/>
    </row>
    <row r="350" spans="1:35" s="878" customFormat="1" ht="19.5" customHeight="1">
      <c r="A350" s="1041"/>
      <c r="B350" s="1042"/>
      <c r="C350" s="1041"/>
      <c r="D350" s="1041"/>
      <c r="E350" s="1042"/>
      <c r="F350" s="1041"/>
      <c r="G350" s="1041"/>
      <c r="H350" s="1041"/>
      <c r="I350" s="1041"/>
      <c r="J350" s="1041"/>
      <c r="K350" s="1041"/>
      <c r="L350" s="1041"/>
      <c r="M350" s="1041"/>
      <c r="N350" s="1041"/>
      <c r="O350" s="1041"/>
      <c r="P350" s="1041"/>
      <c r="Q350" s="1041"/>
      <c r="R350" s="1041"/>
      <c r="S350" s="1041"/>
      <c r="T350" s="1041"/>
      <c r="U350" s="1041"/>
      <c r="V350" s="1041"/>
      <c r="W350" s="1041"/>
      <c r="X350" s="1041"/>
      <c r="Y350" s="1041"/>
      <c r="Z350" s="1041"/>
      <c r="AA350" s="1041"/>
      <c r="AB350" s="1041"/>
      <c r="AC350" s="1043"/>
      <c r="AD350" s="1043"/>
      <c r="AE350" s="1043"/>
      <c r="AF350" s="1041"/>
      <c r="AG350" s="1041"/>
      <c r="AH350" s="1041"/>
      <c r="AI350" s="1041"/>
    </row>
    <row r="351" spans="1:35" s="878" customFormat="1" ht="19.5" customHeight="1">
      <c r="A351" s="1041"/>
      <c r="B351" s="1042"/>
      <c r="C351" s="1041"/>
      <c r="D351" s="1041"/>
      <c r="E351" s="1042"/>
      <c r="F351" s="1041"/>
      <c r="G351" s="1041"/>
      <c r="H351" s="1041"/>
      <c r="I351" s="1041"/>
      <c r="J351" s="1041"/>
      <c r="K351" s="1041"/>
      <c r="L351" s="1041"/>
      <c r="M351" s="1041"/>
      <c r="N351" s="1041"/>
      <c r="O351" s="1041"/>
      <c r="P351" s="1041"/>
      <c r="Q351" s="1041"/>
      <c r="R351" s="1041"/>
      <c r="S351" s="1041"/>
      <c r="T351" s="1041"/>
      <c r="U351" s="1041"/>
      <c r="V351" s="1041"/>
      <c r="W351" s="1041"/>
      <c r="X351" s="1041"/>
      <c r="Y351" s="1041"/>
      <c r="Z351" s="1041"/>
      <c r="AA351" s="1041"/>
      <c r="AB351" s="1041"/>
      <c r="AC351" s="1043"/>
      <c r="AD351" s="1043"/>
      <c r="AE351" s="1043"/>
      <c r="AF351" s="1041"/>
      <c r="AG351" s="1041"/>
      <c r="AH351" s="1041"/>
      <c r="AI351" s="1041"/>
    </row>
    <row r="352" spans="1:35" s="878" customFormat="1" ht="19.5" customHeight="1">
      <c r="A352" s="1041"/>
      <c r="B352" s="1042"/>
      <c r="C352" s="1041"/>
      <c r="D352" s="1041"/>
      <c r="E352" s="1042"/>
      <c r="F352" s="1041"/>
      <c r="G352" s="1041"/>
      <c r="H352" s="1041"/>
      <c r="I352" s="1041"/>
      <c r="J352" s="1041"/>
      <c r="K352" s="1041"/>
      <c r="L352" s="1041"/>
      <c r="M352" s="1041"/>
      <c r="N352" s="1041"/>
      <c r="O352" s="1041"/>
      <c r="P352" s="1041"/>
      <c r="Q352" s="1041"/>
      <c r="R352" s="1041"/>
      <c r="S352" s="1041"/>
      <c r="T352" s="1041"/>
      <c r="U352" s="1041"/>
      <c r="V352" s="1041"/>
      <c r="W352" s="1041"/>
      <c r="X352" s="1041"/>
      <c r="Y352" s="1041"/>
      <c r="Z352" s="1041"/>
      <c r="AA352" s="1041"/>
      <c r="AB352" s="1041"/>
      <c r="AC352" s="1043"/>
      <c r="AD352" s="1043"/>
      <c r="AE352" s="1043"/>
      <c r="AF352" s="1041"/>
      <c r="AG352" s="1041"/>
      <c r="AH352" s="1041"/>
      <c r="AI352" s="1041"/>
    </row>
    <row r="353" spans="1:35" s="878" customFormat="1" ht="19.5" customHeight="1">
      <c r="A353" s="1041"/>
      <c r="B353" s="1042"/>
      <c r="C353" s="1041"/>
      <c r="D353" s="1041"/>
      <c r="E353" s="1042"/>
      <c r="F353" s="1041"/>
      <c r="G353" s="1041"/>
      <c r="H353" s="1041"/>
      <c r="I353" s="1041"/>
      <c r="J353" s="1041"/>
      <c r="K353" s="1041"/>
      <c r="L353" s="1041"/>
      <c r="M353" s="1041"/>
      <c r="N353" s="1041"/>
      <c r="O353" s="1041"/>
      <c r="P353" s="1041"/>
      <c r="Q353" s="1041"/>
      <c r="R353" s="1041"/>
      <c r="S353" s="1041"/>
      <c r="T353" s="1041"/>
      <c r="U353" s="1041"/>
      <c r="V353" s="1041"/>
      <c r="W353" s="1041"/>
      <c r="X353" s="1041"/>
      <c r="Y353" s="1041"/>
      <c r="Z353" s="1041"/>
      <c r="AA353" s="1041"/>
      <c r="AB353" s="1041"/>
      <c r="AC353" s="1043"/>
      <c r="AD353" s="1043"/>
      <c r="AE353" s="1043"/>
      <c r="AF353" s="1041"/>
      <c r="AG353" s="1041"/>
      <c r="AH353" s="1041"/>
      <c r="AI353" s="1041"/>
    </row>
    <row r="354" spans="1:35" s="878" customFormat="1" ht="19.5" customHeight="1">
      <c r="A354" s="1041"/>
      <c r="B354" s="1042"/>
      <c r="C354" s="1041"/>
      <c r="D354" s="1041"/>
      <c r="E354" s="1042"/>
      <c r="F354" s="1041"/>
      <c r="G354" s="1041"/>
      <c r="H354" s="1041"/>
      <c r="I354" s="1041"/>
      <c r="J354" s="1041"/>
      <c r="K354" s="1041"/>
      <c r="L354" s="1041"/>
      <c r="M354" s="1041"/>
      <c r="N354" s="1041"/>
      <c r="O354" s="1041"/>
      <c r="P354" s="1041"/>
      <c r="Q354" s="1041"/>
      <c r="R354" s="1041"/>
      <c r="S354" s="1041"/>
      <c r="T354" s="1041"/>
      <c r="U354" s="1041"/>
      <c r="V354" s="1041"/>
      <c r="W354" s="1041"/>
      <c r="X354" s="1041"/>
      <c r="Y354" s="1041"/>
      <c r="Z354" s="1041"/>
      <c r="AA354" s="1041"/>
      <c r="AB354" s="1041"/>
      <c r="AC354" s="1043"/>
      <c r="AD354" s="1043"/>
      <c r="AE354" s="1043"/>
      <c r="AF354" s="1041"/>
      <c r="AG354" s="1041"/>
      <c r="AH354" s="1041"/>
      <c r="AI354" s="1041"/>
    </row>
    <row r="355" spans="1:35" s="878" customFormat="1" ht="19.5" customHeight="1">
      <c r="A355" s="1041"/>
      <c r="B355" s="1042"/>
      <c r="C355" s="1041"/>
      <c r="D355" s="1041"/>
      <c r="E355" s="1042"/>
      <c r="F355" s="1041"/>
      <c r="G355" s="1041"/>
      <c r="H355" s="1041"/>
      <c r="I355" s="1041"/>
      <c r="J355" s="1041"/>
      <c r="K355" s="1041"/>
      <c r="L355" s="1041"/>
      <c r="M355" s="1041"/>
      <c r="N355" s="1041"/>
      <c r="O355" s="1041"/>
      <c r="P355" s="1041"/>
      <c r="Q355" s="1041"/>
      <c r="R355" s="1041"/>
      <c r="S355" s="1041"/>
      <c r="T355" s="1041"/>
      <c r="U355" s="1041"/>
      <c r="V355" s="1041"/>
      <c r="W355" s="1041"/>
      <c r="X355" s="1041"/>
      <c r="Y355" s="1041"/>
      <c r="Z355" s="1041"/>
      <c r="AA355" s="1041"/>
      <c r="AB355" s="1041"/>
      <c r="AC355" s="1043"/>
      <c r="AD355" s="1043"/>
      <c r="AE355" s="1043"/>
      <c r="AF355" s="1041"/>
      <c r="AG355" s="1041"/>
      <c r="AH355" s="1041"/>
      <c r="AI355" s="1041"/>
    </row>
    <row r="356" spans="1:35" s="878" customFormat="1" ht="19.5" customHeight="1">
      <c r="A356" s="1041"/>
      <c r="B356" s="1042"/>
      <c r="C356" s="1041"/>
      <c r="D356" s="1041"/>
      <c r="E356" s="1042"/>
      <c r="F356" s="1041"/>
      <c r="G356" s="1041"/>
      <c r="H356" s="1041"/>
      <c r="I356" s="1041"/>
      <c r="J356" s="1041"/>
      <c r="K356" s="1041"/>
      <c r="L356" s="1041"/>
      <c r="M356" s="1041"/>
      <c r="N356" s="1041"/>
      <c r="O356" s="1041"/>
      <c r="P356" s="1041"/>
      <c r="Q356" s="1041"/>
      <c r="R356" s="1041"/>
      <c r="S356" s="1041"/>
      <c r="T356" s="1041"/>
      <c r="U356" s="1041"/>
      <c r="V356" s="1041"/>
      <c r="W356" s="1041"/>
      <c r="X356" s="1041"/>
      <c r="Y356" s="1041"/>
      <c r="Z356" s="1041"/>
      <c r="AA356" s="1041"/>
      <c r="AB356" s="1041"/>
      <c r="AC356" s="1043"/>
      <c r="AD356" s="1043"/>
      <c r="AE356" s="1043"/>
      <c r="AF356" s="1041"/>
      <c r="AG356" s="1041"/>
      <c r="AH356" s="1041"/>
      <c r="AI356" s="1041"/>
    </row>
    <row r="357" spans="1:35" s="878" customFormat="1" ht="19.5" customHeight="1">
      <c r="A357" s="1041"/>
      <c r="B357" s="1042"/>
      <c r="C357" s="1041"/>
      <c r="D357" s="1041"/>
      <c r="E357" s="1042"/>
      <c r="F357" s="1041"/>
      <c r="G357" s="1041"/>
      <c r="H357" s="1041"/>
      <c r="I357" s="1041"/>
      <c r="J357" s="1041"/>
      <c r="K357" s="1041"/>
      <c r="L357" s="1041"/>
      <c r="M357" s="1041"/>
      <c r="N357" s="1041"/>
      <c r="O357" s="1041"/>
      <c r="P357" s="1041"/>
      <c r="Q357" s="1041"/>
      <c r="R357" s="1041"/>
      <c r="S357" s="1041"/>
      <c r="T357" s="1041"/>
      <c r="U357" s="1041"/>
      <c r="V357" s="1041"/>
      <c r="W357" s="1041"/>
      <c r="X357" s="1041"/>
      <c r="Y357" s="1041"/>
      <c r="Z357" s="1041"/>
      <c r="AA357" s="1041"/>
      <c r="AB357" s="1041"/>
      <c r="AC357" s="1043"/>
      <c r="AD357" s="1043"/>
      <c r="AE357" s="1043"/>
      <c r="AF357" s="1041"/>
      <c r="AG357" s="1041"/>
      <c r="AH357" s="1041"/>
      <c r="AI357" s="1041"/>
    </row>
    <row r="358" spans="1:35" s="878" customFormat="1" ht="19.5" customHeight="1">
      <c r="A358" s="1041"/>
      <c r="B358" s="1042"/>
      <c r="C358" s="1041"/>
      <c r="D358" s="1041"/>
      <c r="E358" s="1042"/>
      <c r="F358" s="1041"/>
      <c r="G358" s="1041"/>
      <c r="H358" s="1041"/>
      <c r="I358" s="1041"/>
      <c r="J358" s="1041"/>
      <c r="K358" s="1041"/>
      <c r="L358" s="1041"/>
      <c r="M358" s="1041"/>
      <c r="N358" s="1041"/>
      <c r="O358" s="1041"/>
      <c r="P358" s="1041"/>
      <c r="Q358" s="1041"/>
      <c r="R358" s="1041"/>
      <c r="S358" s="1041"/>
      <c r="T358" s="1041"/>
      <c r="U358" s="1041"/>
      <c r="V358" s="1041"/>
      <c r="W358" s="1041"/>
      <c r="X358" s="1041"/>
      <c r="Y358" s="1041"/>
      <c r="Z358" s="1041"/>
      <c r="AA358" s="1041"/>
      <c r="AB358" s="1041"/>
      <c r="AC358" s="1043"/>
      <c r="AD358" s="1043"/>
      <c r="AE358" s="1043"/>
      <c r="AF358" s="1041"/>
      <c r="AG358" s="1041"/>
      <c r="AH358" s="1041"/>
      <c r="AI358" s="1041"/>
    </row>
    <row r="359" spans="1:35" s="878" customFormat="1" ht="19.5" customHeight="1">
      <c r="A359" s="1041"/>
      <c r="B359" s="1042"/>
      <c r="C359" s="1041"/>
      <c r="D359" s="1041"/>
      <c r="E359" s="1042"/>
      <c r="F359" s="1041"/>
      <c r="G359" s="1041"/>
      <c r="H359" s="1041"/>
      <c r="I359" s="1041"/>
      <c r="J359" s="1041"/>
      <c r="K359" s="1041"/>
      <c r="L359" s="1041"/>
      <c r="M359" s="1041"/>
      <c r="N359" s="1041"/>
      <c r="O359" s="1041"/>
      <c r="P359" s="1041"/>
      <c r="Q359" s="1041"/>
      <c r="R359" s="1041"/>
      <c r="S359" s="1041"/>
      <c r="T359" s="1041"/>
      <c r="U359" s="1041"/>
      <c r="V359" s="1041"/>
      <c r="W359" s="1041"/>
      <c r="X359" s="1041"/>
      <c r="Y359" s="1041"/>
      <c r="Z359" s="1041"/>
      <c r="AA359" s="1041"/>
      <c r="AB359" s="1041"/>
      <c r="AC359" s="1043"/>
      <c r="AD359" s="1043"/>
      <c r="AE359" s="1043"/>
      <c r="AF359" s="1041"/>
      <c r="AG359" s="1041"/>
      <c r="AH359" s="1041"/>
      <c r="AI359" s="1041"/>
    </row>
    <row r="360" spans="1:35" s="878" customFormat="1" ht="19.5" customHeight="1">
      <c r="A360" s="1041"/>
      <c r="B360" s="1042"/>
      <c r="C360" s="1041"/>
      <c r="D360" s="1041"/>
      <c r="E360" s="1042"/>
      <c r="F360" s="1041"/>
      <c r="G360" s="1041"/>
      <c r="H360" s="1041"/>
      <c r="I360" s="1041"/>
      <c r="J360" s="1041"/>
      <c r="K360" s="1041"/>
      <c r="L360" s="1041"/>
      <c r="M360" s="1041"/>
      <c r="N360" s="1041"/>
      <c r="O360" s="1041"/>
      <c r="P360" s="1041"/>
      <c r="Q360" s="1041"/>
      <c r="R360" s="1041"/>
      <c r="S360" s="1041"/>
      <c r="T360" s="1041"/>
      <c r="U360" s="1041"/>
      <c r="V360" s="1041"/>
      <c r="W360" s="1041"/>
      <c r="X360" s="1041"/>
      <c r="Y360" s="1041"/>
      <c r="Z360" s="1041"/>
      <c r="AA360" s="1041"/>
      <c r="AB360" s="1041"/>
      <c r="AC360" s="1043"/>
      <c r="AD360" s="1043"/>
      <c r="AE360" s="1043"/>
      <c r="AF360" s="1041"/>
      <c r="AG360" s="1041"/>
      <c r="AH360" s="1041"/>
      <c r="AI360" s="1041"/>
    </row>
    <row r="361" spans="1:35" s="878" customFormat="1" ht="19.5" customHeight="1">
      <c r="A361" s="1041"/>
      <c r="B361" s="1042"/>
      <c r="C361" s="1041"/>
      <c r="D361" s="1041"/>
      <c r="E361" s="1042"/>
      <c r="F361" s="1041"/>
      <c r="G361" s="1041"/>
      <c r="H361" s="1041"/>
      <c r="I361" s="1041"/>
      <c r="J361" s="1041"/>
      <c r="K361" s="1041"/>
      <c r="L361" s="1041"/>
      <c r="M361" s="1041"/>
      <c r="N361" s="1041"/>
      <c r="O361" s="1041"/>
      <c r="P361" s="1041"/>
      <c r="Q361" s="1041"/>
      <c r="R361" s="1041"/>
      <c r="S361" s="1041"/>
      <c r="T361" s="1041"/>
      <c r="U361" s="1041"/>
      <c r="V361" s="1041"/>
      <c r="W361" s="1041"/>
      <c r="X361" s="1041"/>
      <c r="Y361" s="1041"/>
      <c r="Z361" s="1041"/>
      <c r="AA361" s="1041"/>
      <c r="AB361" s="1041"/>
      <c r="AC361" s="1043"/>
      <c r="AD361" s="1043"/>
      <c r="AE361" s="1043"/>
      <c r="AF361" s="1041"/>
      <c r="AG361" s="1041"/>
      <c r="AH361" s="1041"/>
      <c r="AI361" s="1041"/>
    </row>
    <row r="362" spans="1:35" s="878" customFormat="1" ht="19.5" customHeight="1">
      <c r="A362" s="1041"/>
      <c r="B362" s="1042"/>
      <c r="C362" s="1041"/>
      <c r="D362" s="1041"/>
      <c r="E362" s="1042"/>
      <c r="F362" s="1041"/>
      <c r="G362" s="1041"/>
      <c r="H362" s="1041"/>
      <c r="I362" s="1041"/>
      <c r="J362" s="1041"/>
      <c r="K362" s="1041"/>
      <c r="L362" s="1041"/>
      <c r="M362" s="1041"/>
      <c r="N362" s="1041"/>
      <c r="O362" s="1041"/>
      <c r="P362" s="1041"/>
      <c r="Q362" s="1041"/>
      <c r="R362" s="1041"/>
      <c r="S362" s="1041"/>
      <c r="T362" s="1041"/>
      <c r="U362" s="1041"/>
      <c r="V362" s="1041"/>
      <c r="W362" s="1041"/>
      <c r="X362" s="1041"/>
      <c r="Y362" s="1041"/>
      <c r="Z362" s="1041"/>
      <c r="AA362" s="1041"/>
      <c r="AB362" s="1041"/>
      <c r="AC362" s="1043"/>
      <c r="AD362" s="1043"/>
      <c r="AE362" s="1043"/>
      <c r="AF362" s="1041"/>
      <c r="AG362" s="1041"/>
      <c r="AH362" s="1041"/>
      <c r="AI362" s="1041"/>
    </row>
    <row r="363" spans="1:35" s="878" customFormat="1" ht="19.5" customHeight="1">
      <c r="A363" s="1041"/>
      <c r="B363" s="1042"/>
      <c r="C363" s="1041"/>
      <c r="D363" s="1041"/>
      <c r="E363" s="1042"/>
      <c r="F363" s="1041"/>
      <c r="G363" s="1041"/>
      <c r="H363" s="1041"/>
      <c r="I363" s="1041"/>
      <c r="J363" s="1041"/>
      <c r="K363" s="1041"/>
      <c r="L363" s="1041"/>
      <c r="M363" s="1041"/>
      <c r="N363" s="1041"/>
      <c r="O363" s="1041"/>
      <c r="P363" s="1041"/>
      <c r="Q363" s="1041"/>
      <c r="R363" s="1041"/>
      <c r="S363" s="1041"/>
      <c r="T363" s="1041"/>
      <c r="U363" s="1041"/>
      <c r="V363" s="1041"/>
      <c r="W363" s="1041"/>
      <c r="X363" s="1041"/>
      <c r="Y363" s="1041"/>
      <c r="Z363" s="1041"/>
      <c r="AA363" s="1041"/>
      <c r="AB363" s="1041"/>
      <c r="AC363" s="1043"/>
      <c r="AD363" s="1043"/>
      <c r="AE363" s="1043"/>
      <c r="AF363" s="1041"/>
      <c r="AG363" s="1041"/>
      <c r="AH363" s="1041"/>
      <c r="AI363" s="1041"/>
    </row>
    <row r="364" spans="1:35" s="878" customFormat="1" ht="19.5" customHeight="1">
      <c r="A364" s="1041"/>
      <c r="B364" s="1042"/>
      <c r="C364" s="1041"/>
      <c r="D364" s="1041"/>
      <c r="E364" s="1042"/>
      <c r="F364" s="1041"/>
      <c r="G364" s="1041"/>
      <c r="H364" s="1041"/>
      <c r="I364" s="1041"/>
      <c r="J364" s="1041"/>
      <c r="K364" s="1041"/>
      <c r="L364" s="1041"/>
      <c r="M364" s="1041"/>
      <c r="N364" s="1041"/>
      <c r="O364" s="1041"/>
      <c r="P364" s="1041"/>
      <c r="Q364" s="1041"/>
      <c r="R364" s="1041"/>
      <c r="S364" s="1041"/>
      <c r="T364" s="1041"/>
      <c r="U364" s="1041"/>
      <c r="V364" s="1041"/>
      <c r="W364" s="1041"/>
      <c r="X364" s="1041"/>
      <c r="Y364" s="1041"/>
      <c r="Z364" s="1041"/>
      <c r="AA364" s="1041"/>
      <c r="AB364" s="1041"/>
      <c r="AC364" s="1043"/>
      <c r="AD364" s="1043"/>
      <c r="AE364" s="1043"/>
      <c r="AF364" s="1041"/>
      <c r="AG364" s="1041"/>
      <c r="AH364" s="1041"/>
      <c r="AI364" s="1041"/>
    </row>
    <row r="365" spans="1:35" s="878" customFormat="1" ht="19.5" customHeight="1">
      <c r="A365" s="1041"/>
      <c r="B365" s="1042"/>
      <c r="C365" s="1041"/>
      <c r="D365" s="1041"/>
      <c r="E365" s="1042"/>
      <c r="F365" s="1041"/>
      <c r="G365" s="1041"/>
      <c r="H365" s="1041"/>
      <c r="I365" s="1041"/>
      <c r="J365" s="1041"/>
      <c r="K365" s="1041"/>
      <c r="L365" s="1041"/>
      <c r="M365" s="1041"/>
      <c r="N365" s="1041"/>
      <c r="O365" s="1041"/>
      <c r="P365" s="1041"/>
      <c r="Q365" s="1041"/>
      <c r="R365" s="1041"/>
      <c r="S365" s="1041"/>
      <c r="T365" s="1041"/>
      <c r="U365" s="1041"/>
      <c r="V365" s="1041"/>
      <c r="W365" s="1041"/>
      <c r="X365" s="1041"/>
      <c r="Y365" s="1041"/>
      <c r="Z365" s="1041"/>
      <c r="AA365" s="1041"/>
      <c r="AB365" s="1041"/>
      <c r="AC365" s="1043"/>
      <c r="AD365" s="1043"/>
      <c r="AE365" s="1043"/>
      <c r="AF365" s="1041"/>
      <c r="AG365" s="1041"/>
      <c r="AH365" s="1041"/>
      <c r="AI365" s="1041"/>
    </row>
    <row r="366" spans="1:35" s="878" customFormat="1" ht="19.5" customHeight="1">
      <c r="A366" s="1041"/>
      <c r="B366" s="1042"/>
      <c r="C366" s="1041"/>
      <c r="D366" s="1041"/>
      <c r="E366" s="1042"/>
      <c r="F366" s="1041"/>
      <c r="G366" s="1041"/>
      <c r="H366" s="1041"/>
      <c r="I366" s="1041"/>
      <c r="J366" s="1041"/>
      <c r="K366" s="1041"/>
      <c r="L366" s="1041"/>
      <c r="M366" s="1041"/>
      <c r="N366" s="1041"/>
      <c r="O366" s="1041"/>
      <c r="P366" s="1041"/>
      <c r="Q366" s="1041"/>
      <c r="R366" s="1041"/>
      <c r="S366" s="1041"/>
      <c r="T366" s="1041"/>
      <c r="U366" s="1041"/>
      <c r="V366" s="1041"/>
      <c r="W366" s="1041"/>
      <c r="X366" s="1041"/>
      <c r="Y366" s="1041"/>
      <c r="Z366" s="1041"/>
      <c r="AA366" s="1041"/>
      <c r="AB366" s="1041"/>
      <c r="AC366" s="1043"/>
      <c r="AD366" s="1043"/>
      <c r="AE366" s="1043"/>
      <c r="AF366" s="1041"/>
      <c r="AG366" s="1041"/>
      <c r="AH366" s="1041"/>
      <c r="AI366" s="1041"/>
    </row>
    <row r="367" spans="1:35" s="878" customFormat="1" ht="19.5" customHeight="1">
      <c r="A367" s="1041"/>
      <c r="B367" s="1042"/>
      <c r="C367" s="1041"/>
      <c r="D367" s="1041"/>
      <c r="E367" s="1042"/>
      <c r="F367" s="1041"/>
      <c r="G367" s="1041"/>
      <c r="H367" s="1041"/>
      <c r="I367" s="1041"/>
      <c r="J367" s="1041"/>
      <c r="K367" s="1041"/>
      <c r="L367" s="1041"/>
      <c r="M367" s="1041"/>
      <c r="N367" s="1041"/>
      <c r="O367" s="1041"/>
      <c r="P367" s="1041"/>
      <c r="Q367" s="1041"/>
      <c r="R367" s="1041"/>
      <c r="S367" s="1041"/>
      <c r="T367" s="1041"/>
      <c r="U367" s="1041"/>
      <c r="V367" s="1041"/>
      <c r="W367" s="1041"/>
      <c r="X367" s="1041"/>
      <c r="Y367" s="1041"/>
      <c r="Z367" s="1041"/>
      <c r="AA367" s="1041"/>
      <c r="AB367" s="1041"/>
      <c r="AC367" s="1043"/>
      <c r="AD367" s="1043"/>
      <c r="AE367" s="1043"/>
      <c r="AF367" s="1041"/>
      <c r="AG367" s="1041"/>
      <c r="AH367" s="1041"/>
      <c r="AI367" s="1041"/>
    </row>
    <row r="368" spans="1:35" s="878" customFormat="1" ht="19.5" customHeight="1">
      <c r="A368" s="1041"/>
      <c r="B368" s="1042"/>
      <c r="C368" s="1041"/>
      <c r="D368" s="1041"/>
      <c r="E368" s="1042"/>
      <c r="F368" s="1041"/>
      <c r="G368" s="1041"/>
      <c r="H368" s="1041"/>
      <c r="I368" s="1041"/>
      <c r="J368" s="1041"/>
      <c r="K368" s="1041"/>
      <c r="L368" s="1041"/>
      <c r="M368" s="1041"/>
      <c r="N368" s="1041"/>
      <c r="O368" s="1041"/>
      <c r="P368" s="1041"/>
      <c r="Q368" s="1041"/>
      <c r="R368" s="1041"/>
      <c r="S368" s="1041"/>
      <c r="T368" s="1041"/>
      <c r="U368" s="1041"/>
      <c r="V368" s="1041"/>
      <c r="W368" s="1041"/>
      <c r="X368" s="1041"/>
      <c r="Y368" s="1041"/>
      <c r="Z368" s="1041"/>
      <c r="AA368" s="1041"/>
      <c r="AB368" s="1041"/>
      <c r="AC368" s="1043"/>
      <c r="AD368" s="1043"/>
      <c r="AE368" s="1043"/>
      <c r="AF368" s="1041"/>
      <c r="AG368" s="1041"/>
      <c r="AH368" s="1041"/>
      <c r="AI368" s="1041"/>
    </row>
    <row r="369" spans="1:35" s="878" customFormat="1" ht="19.5" customHeight="1">
      <c r="A369" s="1041"/>
      <c r="B369" s="1042"/>
      <c r="C369" s="1041"/>
      <c r="D369" s="1041"/>
      <c r="E369" s="1042"/>
      <c r="F369" s="1041"/>
      <c r="G369" s="1041"/>
      <c r="H369" s="1041"/>
      <c r="I369" s="1041"/>
      <c r="J369" s="1041"/>
      <c r="K369" s="1041"/>
      <c r="L369" s="1041"/>
      <c r="M369" s="1041"/>
      <c r="N369" s="1041"/>
      <c r="O369" s="1041"/>
      <c r="P369" s="1041"/>
      <c r="Q369" s="1041"/>
      <c r="R369" s="1041"/>
      <c r="S369" s="1041"/>
      <c r="T369" s="1041"/>
      <c r="U369" s="1041"/>
      <c r="V369" s="1041"/>
      <c r="W369" s="1041"/>
      <c r="X369" s="1041"/>
      <c r="Y369" s="1041"/>
      <c r="Z369" s="1041"/>
      <c r="AA369" s="1041"/>
      <c r="AB369" s="1041"/>
      <c r="AC369" s="1043"/>
      <c r="AD369" s="1043"/>
      <c r="AE369" s="1043"/>
      <c r="AF369" s="1041"/>
      <c r="AG369" s="1041"/>
      <c r="AH369" s="1041"/>
      <c r="AI369" s="1041"/>
    </row>
    <row r="370" spans="1:35" s="878" customFormat="1" ht="19.5" customHeight="1">
      <c r="A370" s="1041"/>
      <c r="B370" s="1042"/>
      <c r="C370" s="1041"/>
      <c r="D370" s="1041"/>
      <c r="E370" s="1042"/>
      <c r="F370" s="1041"/>
      <c r="G370" s="1041"/>
      <c r="H370" s="1041"/>
      <c r="I370" s="1041"/>
      <c r="J370" s="1041"/>
      <c r="K370" s="1041"/>
      <c r="L370" s="1041"/>
      <c r="M370" s="1041"/>
      <c r="N370" s="1041"/>
      <c r="O370" s="1041"/>
      <c r="P370" s="1041"/>
      <c r="Q370" s="1041"/>
      <c r="R370" s="1041"/>
      <c r="S370" s="1041"/>
      <c r="T370" s="1041"/>
      <c r="U370" s="1041"/>
      <c r="V370" s="1041"/>
      <c r="W370" s="1041"/>
      <c r="X370" s="1041"/>
      <c r="Y370" s="1041"/>
      <c r="Z370" s="1041"/>
      <c r="AA370" s="1041"/>
      <c r="AB370" s="1041"/>
      <c r="AC370" s="1043"/>
      <c r="AD370" s="1043"/>
      <c r="AE370" s="1043"/>
      <c r="AF370" s="1041"/>
      <c r="AG370" s="1041"/>
      <c r="AH370" s="1041"/>
      <c r="AI370" s="1041"/>
    </row>
    <row r="371" spans="1:35" s="878" customFormat="1" ht="19.5" customHeight="1">
      <c r="A371" s="1041"/>
      <c r="B371" s="1042"/>
      <c r="C371" s="1041"/>
      <c r="D371" s="1041"/>
      <c r="E371" s="1042"/>
      <c r="F371" s="1041"/>
      <c r="G371" s="1041"/>
      <c r="H371" s="1041"/>
      <c r="I371" s="1041"/>
      <c r="J371" s="1041"/>
      <c r="K371" s="1041"/>
      <c r="L371" s="1041"/>
      <c r="M371" s="1041"/>
      <c r="N371" s="1041"/>
      <c r="O371" s="1041"/>
      <c r="P371" s="1041"/>
      <c r="Q371" s="1041"/>
      <c r="R371" s="1041"/>
      <c r="S371" s="1041"/>
      <c r="T371" s="1041"/>
      <c r="U371" s="1041"/>
      <c r="V371" s="1041"/>
      <c r="W371" s="1041"/>
      <c r="X371" s="1041"/>
      <c r="Y371" s="1041"/>
      <c r="Z371" s="1041"/>
      <c r="AA371" s="1041"/>
      <c r="AB371" s="1041"/>
      <c r="AC371" s="1043"/>
      <c r="AD371" s="1043"/>
      <c r="AE371" s="1043"/>
      <c r="AF371" s="1041"/>
      <c r="AG371" s="1041"/>
      <c r="AH371" s="1041"/>
      <c r="AI371" s="1041"/>
    </row>
    <row r="372" spans="1:35" s="878" customFormat="1" ht="19.5" customHeight="1">
      <c r="A372" s="1041"/>
      <c r="B372" s="1042"/>
      <c r="C372" s="1041"/>
      <c r="D372" s="1041"/>
      <c r="E372" s="1042"/>
      <c r="F372" s="1041"/>
      <c r="G372" s="1041"/>
      <c r="H372" s="1041"/>
      <c r="I372" s="1041"/>
      <c r="J372" s="1041"/>
      <c r="K372" s="1041"/>
      <c r="L372" s="1041"/>
      <c r="M372" s="1041"/>
      <c r="N372" s="1041"/>
      <c r="O372" s="1041"/>
      <c r="P372" s="1041"/>
      <c r="Q372" s="1041"/>
      <c r="R372" s="1041"/>
      <c r="S372" s="1041"/>
      <c r="T372" s="1041"/>
      <c r="U372" s="1041"/>
      <c r="V372" s="1041"/>
      <c r="W372" s="1041"/>
      <c r="X372" s="1041"/>
      <c r="Y372" s="1041"/>
      <c r="Z372" s="1041"/>
      <c r="AA372" s="1041"/>
      <c r="AB372" s="1041"/>
      <c r="AC372" s="1043"/>
      <c r="AD372" s="1043"/>
      <c r="AE372" s="1043"/>
      <c r="AF372" s="1041"/>
      <c r="AG372" s="1041"/>
      <c r="AH372" s="1041"/>
      <c r="AI372" s="1041"/>
    </row>
    <row r="373" spans="1:35" s="878" customFormat="1" ht="19.5" customHeight="1">
      <c r="A373" s="1041"/>
      <c r="B373" s="1042"/>
      <c r="C373" s="1041"/>
      <c r="D373" s="1041"/>
      <c r="E373" s="1042"/>
      <c r="F373" s="1041"/>
      <c r="G373" s="1041"/>
      <c r="H373" s="1041"/>
      <c r="I373" s="1041"/>
      <c r="J373" s="1041"/>
      <c r="K373" s="1041"/>
      <c r="L373" s="1041"/>
      <c r="M373" s="1041"/>
      <c r="N373" s="1041"/>
      <c r="O373" s="1041"/>
      <c r="P373" s="1041"/>
      <c r="Q373" s="1041"/>
      <c r="R373" s="1041"/>
      <c r="S373" s="1041"/>
      <c r="T373" s="1041"/>
      <c r="U373" s="1041"/>
      <c r="V373" s="1041"/>
      <c r="W373" s="1041"/>
      <c r="X373" s="1041"/>
      <c r="Y373" s="1041"/>
      <c r="Z373" s="1041"/>
      <c r="AA373" s="1041"/>
      <c r="AB373" s="1041"/>
      <c r="AC373" s="1043"/>
      <c r="AD373" s="1043"/>
      <c r="AE373" s="1043"/>
      <c r="AF373" s="1041"/>
      <c r="AG373" s="1041"/>
      <c r="AH373" s="1041"/>
      <c r="AI373" s="1041"/>
    </row>
    <row r="374" spans="1:35" s="878" customFormat="1" ht="19.5" customHeight="1">
      <c r="A374" s="1041"/>
      <c r="B374" s="1042"/>
      <c r="C374" s="1041"/>
      <c r="D374" s="1041"/>
      <c r="E374" s="1042"/>
      <c r="F374" s="1041"/>
      <c r="G374" s="1041"/>
      <c r="H374" s="1041"/>
      <c r="I374" s="1041"/>
      <c r="J374" s="1041"/>
      <c r="K374" s="1041"/>
      <c r="L374" s="1041"/>
      <c r="M374" s="1041"/>
      <c r="N374" s="1041"/>
      <c r="O374" s="1041"/>
      <c r="P374" s="1041"/>
      <c r="Q374" s="1041"/>
      <c r="R374" s="1041"/>
      <c r="S374" s="1041"/>
      <c r="T374" s="1041"/>
      <c r="U374" s="1041"/>
      <c r="V374" s="1041"/>
      <c r="W374" s="1041"/>
      <c r="X374" s="1041"/>
      <c r="Y374" s="1041"/>
      <c r="Z374" s="1041"/>
      <c r="AA374" s="1041"/>
      <c r="AB374" s="1041"/>
      <c r="AC374" s="1043"/>
      <c r="AD374" s="1043"/>
      <c r="AE374" s="1043"/>
      <c r="AF374" s="1041"/>
      <c r="AG374" s="1041"/>
      <c r="AH374" s="1041"/>
      <c r="AI374" s="1041"/>
    </row>
    <row r="375" spans="1:35" s="878" customFormat="1" ht="19.5" customHeight="1">
      <c r="A375" s="1041"/>
      <c r="B375" s="1042"/>
      <c r="C375" s="1041"/>
      <c r="D375" s="1041"/>
      <c r="E375" s="1042"/>
      <c r="F375" s="1041"/>
      <c r="G375" s="1041"/>
      <c r="H375" s="1041"/>
      <c r="I375" s="1041"/>
      <c r="J375" s="1041"/>
      <c r="K375" s="1041"/>
      <c r="L375" s="1041"/>
      <c r="M375" s="1041"/>
      <c r="N375" s="1041"/>
      <c r="O375" s="1041"/>
      <c r="P375" s="1041"/>
      <c r="Q375" s="1041"/>
      <c r="R375" s="1041"/>
      <c r="S375" s="1041"/>
      <c r="T375" s="1041"/>
      <c r="U375" s="1041"/>
      <c r="V375" s="1041"/>
      <c r="W375" s="1041"/>
      <c r="X375" s="1041"/>
      <c r="Y375" s="1041"/>
      <c r="Z375" s="1041"/>
      <c r="AA375" s="1041"/>
      <c r="AB375" s="1041"/>
      <c r="AC375" s="1043"/>
      <c r="AD375" s="1043"/>
      <c r="AE375" s="1043"/>
      <c r="AF375" s="1041"/>
      <c r="AG375" s="1041"/>
      <c r="AH375" s="1041"/>
      <c r="AI375" s="1041"/>
    </row>
    <row r="376" spans="1:35" s="878" customFormat="1" ht="19.5" customHeight="1">
      <c r="A376" s="1041"/>
      <c r="B376" s="1042"/>
      <c r="C376" s="1041"/>
      <c r="D376" s="1041"/>
      <c r="E376" s="1042"/>
      <c r="F376" s="1041"/>
      <c r="G376" s="1041"/>
      <c r="H376" s="1041"/>
      <c r="I376" s="1041"/>
      <c r="J376" s="1041"/>
      <c r="K376" s="1041"/>
      <c r="L376" s="1041"/>
      <c r="M376" s="1041"/>
      <c r="N376" s="1041"/>
      <c r="O376" s="1041"/>
      <c r="P376" s="1041"/>
      <c r="Q376" s="1041"/>
      <c r="R376" s="1041"/>
      <c r="S376" s="1041"/>
      <c r="T376" s="1041"/>
      <c r="U376" s="1041"/>
      <c r="V376" s="1041"/>
      <c r="W376" s="1041"/>
      <c r="X376" s="1041"/>
      <c r="Y376" s="1041"/>
      <c r="Z376" s="1041"/>
      <c r="AA376" s="1041"/>
      <c r="AB376" s="1041"/>
      <c r="AC376" s="1043"/>
      <c r="AD376" s="1043"/>
      <c r="AE376" s="1043"/>
      <c r="AF376" s="1041"/>
      <c r="AG376" s="1041"/>
      <c r="AH376" s="1041"/>
      <c r="AI376" s="1041"/>
    </row>
    <row r="377" spans="1:35" s="878" customFormat="1" ht="19.5" customHeight="1">
      <c r="A377" s="1041"/>
      <c r="B377" s="1042"/>
      <c r="C377" s="1041"/>
      <c r="D377" s="1041"/>
      <c r="E377" s="1042"/>
      <c r="F377" s="1041"/>
      <c r="G377" s="1041"/>
      <c r="H377" s="1041"/>
      <c r="I377" s="1041"/>
      <c r="J377" s="1041"/>
      <c r="K377" s="1041"/>
      <c r="L377" s="1041"/>
      <c r="M377" s="1041"/>
      <c r="N377" s="1041"/>
      <c r="O377" s="1041"/>
      <c r="P377" s="1041"/>
      <c r="Q377" s="1041"/>
      <c r="R377" s="1041"/>
      <c r="S377" s="1041"/>
      <c r="T377" s="1041"/>
      <c r="U377" s="1041"/>
      <c r="V377" s="1041"/>
      <c r="W377" s="1041"/>
      <c r="X377" s="1041"/>
      <c r="Y377" s="1041"/>
      <c r="Z377" s="1041"/>
      <c r="AA377" s="1041"/>
      <c r="AB377" s="1041"/>
      <c r="AC377" s="1043"/>
      <c r="AD377" s="1043"/>
      <c r="AE377" s="1043"/>
      <c r="AF377" s="1041"/>
      <c r="AG377" s="1041"/>
      <c r="AH377" s="1041"/>
      <c r="AI377" s="1041"/>
    </row>
    <row r="378" spans="1:35" s="878" customFormat="1" ht="19.5" customHeight="1">
      <c r="A378" s="1041"/>
      <c r="B378" s="1042"/>
      <c r="C378" s="1041"/>
      <c r="D378" s="1041"/>
      <c r="E378" s="1042"/>
      <c r="F378" s="1041"/>
      <c r="G378" s="1041"/>
      <c r="H378" s="1041"/>
      <c r="I378" s="1041"/>
      <c r="J378" s="1041"/>
      <c r="K378" s="1041"/>
      <c r="L378" s="1041"/>
      <c r="M378" s="1041"/>
      <c r="N378" s="1041"/>
      <c r="O378" s="1041"/>
      <c r="P378" s="1041"/>
      <c r="Q378" s="1041"/>
      <c r="R378" s="1041"/>
      <c r="S378" s="1041"/>
      <c r="T378" s="1041"/>
      <c r="U378" s="1041"/>
      <c r="V378" s="1041"/>
      <c r="W378" s="1041"/>
      <c r="X378" s="1041"/>
      <c r="Y378" s="1041"/>
      <c r="Z378" s="1041"/>
      <c r="AA378" s="1041"/>
      <c r="AB378" s="1041"/>
      <c r="AC378" s="1043"/>
      <c r="AD378" s="1043"/>
      <c r="AE378" s="1043"/>
      <c r="AF378" s="1041"/>
      <c r="AG378" s="1041"/>
      <c r="AH378" s="1041"/>
      <c r="AI378" s="1041"/>
    </row>
    <row r="379" spans="1:35" s="878" customFormat="1" ht="19.5" customHeight="1">
      <c r="A379" s="1041"/>
      <c r="B379" s="1042"/>
      <c r="C379" s="1041"/>
      <c r="D379" s="1041"/>
      <c r="E379" s="1042"/>
      <c r="F379" s="1041"/>
      <c r="G379" s="1041"/>
      <c r="H379" s="1041"/>
      <c r="I379" s="1041"/>
      <c r="J379" s="1041"/>
      <c r="K379" s="1041"/>
      <c r="L379" s="1041"/>
      <c r="M379" s="1041"/>
      <c r="N379" s="1041"/>
      <c r="O379" s="1041"/>
      <c r="P379" s="1041"/>
      <c r="Q379" s="1041"/>
      <c r="R379" s="1041"/>
      <c r="S379" s="1041"/>
      <c r="T379" s="1041"/>
      <c r="U379" s="1041"/>
      <c r="V379" s="1041"/>
      <c r="W379" s="1041"/>
      <c r="X379" s="1041"/>
      <c r="Y379" s="1041"/>
      <c r="Z379" s="1041"/>
      <c r="AA379" s="1041"/>
      <c r="AB379" s="1041"/>
      <c r="AC379" s="1043"/>
      <c r="AD379" s="1043"/>
      <c r="AE379" s="1043"/>
      <c r="AF379" s="1041"/>
      <c r="AG379" s="1041"/>
      <c r="AH379" s="1041"/>
      <c r="AI379" s="1041"/>
    </row>
    <row r="380" spans="1:35" s="878" customFormat="1" ht="19.5" customHeight="1">
      <c r="A380" s="1041"/>
      <c r="B380" s="1042"/>
      <c r="C380" s="1041"/>
      <c r="D380" s="1041"/>
      <c r="E380" s="1042"/>
      <c r="F380" s="1041"/>
      <c r="G380" s="1041"/>
      <c r="H380" s="1041"/>
      <c r="I380" s="1041"/>
      <c r="J380" s="1041"/>
      <c r="K380" s="1041"/>
      <c r="L380" s="1041"/>
      <c r="M380" s="1041"/>
      <c r="N380" s="1041"/>
      <c r="O380" s="1041"/>
      <c r="P380" s="1041"/>
      <c r="Q380" s="1041"/>
      <c r="R380" s="1041"/>
      <c r="S380" s="1041"/>
      <c r="T380" s="1041"/>
      <c r="U380" s="1041"/>
      <c r="V380" s="1041"/>
      <c r="W380" s="1041"/>
      <c r="X380" s="1041"/>
      <c r="Y380" s="1041"/>
      <c r="Z380" s="1041"/>
      <c r="AA380" s="1041"/>
      <c r="AB380" s="1041"/>
      <c r="AC380" s="1043"/>
      <c r="AD380" s="1043"/>
      <c r="AE380" s="1043"/>
      <c r="AF380" s="1041"/>
      <c r="AG380" s="1041"/>
      <c r="AH380" s="1041"/>
      <c r="AI380" s="1041"/>
    </row>
    <row r="381" spans="1:35" s="878" customFormat="1" ht="19.5" customHeight="1">
      <c r="A381" s="1041"/>
      <c r="B381" s="1042"/>
      <c r="C381" s="1041"/>
      <c r="D381" s="1041"/>
      <c r="E381" s="1042"/>
      <c r="F381" s="1041"/>
      <c r="G381" s="1041"/>
      <c r="H381" s="1041"/>
      <c r="I381" s="1041"/>
      <c r="J381" s="1041"/>
      <c r="K381" s="1041"/>
      <c r="L381" s="1041"/>
      <c r="M381" s="1041"/>
      <c r="N381" s="1041"/>
      <c r="O381" s="1041"/>
      <c r="P381" s="1041"/>
      <c r="Q381" s="1041"/>
      <c r="R381" s="1041"/>
      <c r="S381" s="1041"/>
      <c r="T381" s="1041"/>
      <c r="U381" s="1041"/>
      <c r="V381" s="1041"/>
      <c r="W381" s="1041"/>
      <c r="X381" s="1041"/>
      <c r="Y381" s="1041"/>
      <c r="Z381" s="1041"/>
      <c r="AA381" s="1041"/>
      <c r="AB381" s="1041"/>
      <c r="AC381" s="1043"/>
      <c r="AD381" s="1043"/>
      <c r="AE381" s="1043"/>
      <c r="AF381" s="1041"/>
      <c r="AG381" s="1041"/>
      <c r="AH381" s="1041"/>
      <c r="AI381" s="1041"/>
    </row>
    <row r="382" spans="1:35" s="878" customFormat="1" ht="19.5" customHeight="1">
      <c r="A382" s="1041"/>
      <c r="B382" s="1042"/>
      <c r="C382" s="1041"/>
      <c r="D382" s="1041"/>
      <c r="E382" s="1042"/>
      <c r="F382" s="1041"/>
      <c r="G382" s="1041"/>
      <c r="H382" s="1041"/>
      <c r="I382" s="1041"/>
      <c r="J382" s="1041"/>
      <c r="K382" s="1041"/>
      <c r="L382" s="1041"/>
      <c r="M382" s="1041"/>
      <c r="N382" s="1041"/>
      <c r="O382" s="1041"/>
      <c r="P382" s="1041"/>
      <c r="Q382" s="1041"/>
      <c r="R382" s="1041"/>
      <c r="S382" s="1041"/>
      <c r="T382" s="1041"/>
      <c r="U382" s="1041"/>
      <c r="V382" s="1041"/>
      <c r="W382" s="1041"/>
      <c r="X382" s="1041"/>
      <c r="Y382" s="1041"/>
      <c r="Z382" s="1041"/>
      <c r="AA382" s="1041"/>
      <c r="AB382" s="1041"/>
      <c r="AC382" s="1043"/>
      <c r="AD382" s="1043"/>
      <c r="AE382" s="1043"/>
      <c r="AF382" s="1041"/>
      <c r="AG382" s="1041"/>
      <c r="AH382" s="1041"/>
      <c r="AI382" s="1041"/>
    </row>
    <row r="383" spans="1:35" s="878" customFormat="1" ht="19.5" customHeight="1">
      <c r="A383" s="1041"/>
      <c r="B383" s="1042"/>
      <c r="C383" s="1041"/>
      <c r="D383" s="1041"/>
      <c r="E383" s="1042"/>
      <c r="F383" s="1041"/>
      <c r="G383" s="1041"/>
      <c r="H383" s="1041"/>
      <c r="I383" s="1041"/>
      <c r="J383" s="1041"/>
      <c r="K383" s="1041"/>
      <c r="L383" s="1041"/>
      <c r="M383" s="1041"/>
      <c r="N383" s="1041"/>
      <c r="O383" s="1041"/>
      <c r="P383" s="1041"/>
      <c r="Q383" s="1041"/>
      <c r="R383" s="1041"/>
      <c r="S383" s="1041"/>
      <c r="T383" s="1041"/>
      <c r="U383" s="1041"/>
      <c r="V383" s="1041"/>
      <c r="W383" s="1041"/>
      <c r="X383" s="1041"/>
      <c r="Y383" s="1041"/>
      <c r="Z383" s="1041"/>
      <c r="AA383" s="1041"/>
      <c r="AB383" s="1041"/>
      <c r="AC383" s="1043"/>
      <c r="AD383" s="1043"/>
      <c r="AE383" s="1043"/>
      <c r="AF383" s="1041"/>
      <c r="AG383" s="1041"/>
      <c r="AH383" s="1041"/>
      <c r="AI383" s="1041"/>
    </row>
    <row r="384" spans="1:35" s="878" customFormat="1" ht="19.5" customHeight="1">
      <c r="A384" s="1041"/>
      <c r="B384" s="1042"/>
      <c r="C384" s="1041"/>
      <c r="D384" s="1041"/>
      <c r="E384" s="1042"/>
      <c r="F384" s="1041"/>
      <c r="G384" s="1041"/>
      <c r="H384" s="1041"/>
      <c r="I384" s="1041"/>
      <c r="J384" s="1041"/>
      <c r="K384" s="1041"/>
      <c r="L384" s="1041"/>
      <c r="M384" s="1041"/>
      <c r="N384" s="1041"/>
      <c r="O384" s="1041"/>
      <c r="P384" s="1041"/>
      <c r="Q384" s="1041"/>
      <c r="R384" s="1041"/>
      <c r="S384" s="1041"/>
      <c r="T384" s="1041"/>
      <c r="U384" s="1041"/>
      <c r="V384" s="1041"/>
      <c r="W384" s="1041"/>
      <c r="X384" s="1041"/>
      <c r="Y384" s="1041"/>
      <c r="Z384" s="1041"/>
      <c r="AA384" s="1041"/>
      <c r="AB384" s="1041"/>
      <c r="AC384" s="1043"/>
      <c r="AD384" s="1043"/>
      <c r="AE384" s="1043"/>
      <c r="AF384" s="1041"/>
      <c r="AG384" s="1041"/>
      <c r="AH384" s="1041"/>
      <c r="AI384" s="1041"/>
    </row>
    <row r="385" spans="1:35" s="878" customFormat="1" ht="19.5" customHeight="1">
      <c r="A385" s="1041"/>
      <c r="B385" s="1042"/>
      <c r="C385" s="1041"/>
      <c r="D385" s="1041"/>
      <c r="E385" s="1042"/>
      <c r="F385" s="1041"/>
      <c r="G385" s="1041"/>
      <c r="H385" s="1041"/>
      <c r="I385" s="1041"/>
      <c r="J385" s="1041"/>
      <c r="K385" s="1041"/>
      <c r="L385" s="1041"/>
      <c r="M385" s="1041"/>
      <c r="N385" s="1041"/>
      <c r="O385" s="1041"/>
      <c r="P385" s="1041"/>
      <c r="Q385" s="1041"/>
      <c r="R385" s="1041"/>
      <c r="S385" s="1041"/>
      <c r="T385" s="1041"/>
      <c r="U385" s="1041"/>
      <c r="V385" s="1041"/>
      <c r="W385" s="1041"/>
      <c r="X385" s="1041"/>
      <c r="Y385" s="1041"/>
      <c r="Z385" s="1041"/>
      <c r="AA385" s="1041"/>
      <c r="AB385" s="1041"/>
      <c r="AC385" s="1043"/>
      <c r="AD385" s="1043"/>
      <c r="AE385" s="1043"/>
      <c r="AF385" s="1041"/>
      <c r="AG385" s="1041"/>
      <c r="AH385" s="1041"/>
      <c r="AI385" s="1041"/>
    </row>
    <row r="386" spans="1:35" s="878" customFormat="1" ht="19.5" customHeight="1">
      <c r="A386" s="1041"/>
      <c r="B386" s="1042"/>
      <c r="C386" s="1041"/>
      <c r="D386" s="1041"/>
      <c r="E386" s="1042"/>
      <c r="F386" s="1041"/>
      <c r="G386" s="1041"/>
      <c r="H386" s="1041"/>
      <c r="I386" s="1041"/>
      <c r="J386" s="1041"/>
      <c r="K386" s="1041"/>
      <c r="L386" s="1041"/>
      <c r="M386" s="1041"/>
      <c r="N386" s="1041"/>
      <c r="O386" s="1041"/>
      <c r="P386" s="1041"/>
      <c r="Q386" s="1041"/>
      <c r="R386" s="1041"/>
      <c r="S386" s="1041"/>
      <c r="T386" s="1041"/>
      <c r="U386" s="1041"/>
      <c r="V386" s="1041"/>
      <c r="W386" s="1041"/>
      <c r="X386" s="1041"/>
      <c r="Y386" s="1041"/>
      <c r="Z386" s="1041"/>
      <c r="AA386" s="1041"/>
      <c r="AB386" s="1041"/>
      <c r="AC386" s="1043"/>
      <c r="AD386" s="1043"/>
      <c r="AE386" s="1043"/>
      <c r="AF386" s="1041"/>
      <c r="AG386" s="1041"/>
      <c r="AH386" s="1041"/>
      <c r="AI386" s="1041"/>
    </row>
    <row r="387" spans="1:35" s="878" customFormat="1" ht="19.5" customHeight="1">
      <c r="A387" s="1041"/>
      <c r="B387" s="1042"/>
      <c r="C387" s="1041"/>
      <c r="D387" s="1041"/>
      <c r="E387" s="1042"/>
      <c r="F387" s="1041"/>
      <c r="G387" s="1041"/>
      <c r="H387" s="1041"/>
      <c r="I387" s="1041"/>
      <c r="J387" s="1041"/>
      <c r="K387" s="1041"/>
      <c r="L387" s="1041"/>
      <c r="M387" s="1041"/>
      <c r="N387" s="1041"/>
      <c r="O387" s="1041"/>
      <c r="P387" s="1041"/>
      <c r="Q387" s="1041"/>
      <c r="R387" s="1041"/>
      <c r="S387" s="1041"/>
      <c r="T387" s="1041"/>
      <c r="U387" s="1041"/>
      <c r="V387" s="1041"/>
      <c r="W387" s="1041"/>
      <c r="X387" s="1041"/>
      <c r="Y387" s="1041"/>
      <c r="Z387" s="1041"/>
      <c r="AA387" s="1041"/>
      <c r="AB387" s="1041"/>
      <c r="AC387" s="1043"/>
      <c r="AD387" s="1043"/>
      <c r="AE387" s="1043"/>
      <c r="AF387" s="1041"/>
      <c r="AG387" s="1041"/>
      <c r="AH387" s="1041"/>
      <c r="AI387" s="1041"/>
    </row>
    <row r="388" spans="1:35" s="878" customFormat="1" ht="19.5" customHeight="1">
      <c r="A388" s="1041"/>
      <c r="B388" s="1042"/>
      <c r="C388" s="1041"/>
      <c r="D388" s="1041"/>
      <c r="E388" s="1042"/>
      <c r="F388" s="1041"/>
      <c r="G388" s="1041"/>
      <c r="H388" s="1041"/>
      <c r="I388" s="1041"/>
      <c r="J388" s="1041"/>
      <c r="K388" s="1041"/>
      <c r="L388" s="1041"/>
      <c r="M388" s="1041"/>
      <c r="N388" s="1041"/>
      <c r="O388" s="1041"/>
      <c r="P388" s="1041"/>
      <c r="Q388" s="1041"/>
      <c r="R388" s="1041"/>
      <c r="S388" s="1041"/>
      <c r="T388" s="1041"/>
      <c r="U388" s="1041"/>
      <c r="V388" s="1041"/>
      <c r="W388" s="1041"/>
      <c r="X388" s="1041"/>
      <c r="Y388" s="1041"/>
      <c r="Z388" s="1041"/>
      <c r="AA388" s="1041"/>
      <c r="AB388" s="1041"/>
      <c r="AC388" s="1043"/>
      <c r="AD388" s="1043"/>
      <c r="AE388" s="1043"/>
      <c r="AF388" s="1041"/>
      <c r="AG388" s="1041"/>
      <c r="AH388" s="1041"/>
      <c r="AI388" s="1041"/>
    </row>
    <row r="389" spans="1:35" s="878" customFormat="1" ht="19.5" customHeight="1">
      <c r="A389" s="1041"/>
      <c r="B389" s="1042"/>
      <c r="C389" s="1041"/>
      <c r="D389" s="1041"/>
      <c r="E389" s="1042"/>
      <c r="F389" s="1041"/>
      <c r="G389" s="1041"/>
      <c r="H389" s="1041"/>
      <c r="I389" s="1041"/>
      <c r="J389" s="1041"/>
      <c r="K389" s="1041"/>
      <c r="L389" s="1041"/>
      <c r="M389" s="1041"/>
      <c r="N389" s="1041"/>
      <c r="O389" s="1041"/>
      <c r="P389" s="1041"/>
      <c r="Q389" s="1041"/>
      <c r="R389" s="1041"/>
      <c r="S389" s="1041"/>
      <c r="T389" s="1041"/>
      <c r="U389" s="1041"/>
      <c r="V389" s="1041"/>
      <c r="W389" s="1041"/>
      <c r="X389" s="1041"/>
      <c r="Y389" s="1041"/>
      <c r="Z389" s="1041"/>
      <c r="AA389" s="1041"/>
      <c r="AB389" s="1041"/>
      <c r="AC389" s="1043"/>
      <c r="AD389" s="1043"/>
      <c r="AE389" s="1043"/>
      <c r="AF389" s="1041"/>
      <c r="AG389" s="1041"/>
      <c r="AH389" s="1041"/>
      <c r="AI389" s="1041"/>
    </row>
    <row r="390" spans="1:35" s="878" customFormat="1" ht="19.5" customHeight="1">
      <c r="A390" s="1041"/>
      <c r="B390" s="1042"/>
      <c r="C390" s="1041"/>
      <c r="D390" s="1041"/>
      <c r="E390" s="1042"/>
      <c r="F390" s="1041"/>
      <c r="G390" s="1041"/>
      <c r="H390" s="1041"/>
      <c r="I390" s="1041"/>
      <c r="J390" s="1041"/>
      <c r="K390" s="1041"/>
      <c r="L390" s="1041"/>
      <c r="M390" s="1041"/>
      <c r="N390" s="1041"/>
      <c r="O390" s="1041"/>
      <c r="P390" s="1041"/>
      <c r="Q390" s="1041"/>
      <c r="R390" s="1041"/>
      <c r="S390" s="1041"/>
      <c r="T390" s="1041"/>
      <c r="U390" s="1041"/>
      <c r="V390" s="1041"/>
      <c r="W390" s="1041"/>
      <c r="X390" s="1041"/>
      <c r="Y390" s="1041"/>
      <c r="Z390" s="1041"/>
      <c r="AA390" s="1041"/>
      <c r="AB390" s="1041"/>
      <c r="AC390" s="1043"/>
      <c r="AD390" s="1043"/>
      <c r="AE390" s="1043"/>
      <c r="AF390" s="1041"/>
      <c r="AG390" s="1041"/>
      <c r="AH390" s="1041"/>
      <c r="AI390" s="1041"/>
    </row>
    <row r="391" spans="1:35" s="878" customFormat="1" ht="19.5" customHeight="1">
      <c r="A391" s="1041"/>
      <c r="B391" s="1042"/>
      <c r="C391" s="1041"/>
      <c r="D391" s="1041"/>
      <c r="E391" s="1042"/>
      <c r="F391" s="1041"/>
      <c r="G391" s="1041"/>
      <c r="H391" s="1041"/>
      <c r="I391" s="1041"/>
      <c r="J391" s="1041"/>
      <c r="K391" s="1041"/>
      <c r="L391" s="1041"/>
      <c r="M391" s="1041"/>
      <c r="N391" s="1041"/>
      <c r="O391" s="1041"/>
      <c r="P391" s="1041"/>
      <c r="Q391" s="1041"/>
      <c r="R391" s="1041"/>
      <c r="S391" s="1041"/>
      <c r="T391" s="1041"/>
      <c r="U391" s="1041"/>
      <c r="V391" s="1041"/>
      <c r="W391" s="1041"/>
      <c r="X391" s="1041"/>
      <c r="Y391" s="1041"/>
      <c r="Z391" s="1041"/>
      <c r="AA391" s="1041"/>
      <c r="AB391" s="1041"/>
      <c r="AC391" s="1043"/>
      <c r="AD391" s="1043"/>
      <c r="AE391" s="1043"/>
      <c r="AF391" s="1041"/>
      <c r="AG391" s="1041"/>
      <c r="AH391" s="1041"/>
      <c r="AI391" s="1041"/>
    </row>
    <row r="392" spans="1:35" s="878" customFormat="1" ht="19.5" customHeight="1">
      <c r="A392" s="1041"/>
      <c r="B392" s="1042"/>
      <c r="C392" s="1041"/>
      <c r="D392" s="1041"/>
      <c r="E392" s="1042"/>
      <c r="F392" s="1041"/>
      <c r="G392" s="1041"/>
      <c r="H392" s="1041"/>
      <c r="I392" s="1041"/>
      <c r="J392" s="1041"/>
      <c r="K392" s="1041"/>
      <c r="L392" s="1041"/>
      <c r="M392" s="1041"/>
      <c r="N392" s="1041"/>
      <c r="O392" s="1041"/>
      <c r="P392" s="1041"/>
      <c r="Q392" s="1041"/>
      <c r="R392" s="1041"/>
      <c r="S392" s="1041"/>
      <c r="T392" s="1041"/>
      <c r="U392" s="1041"/>
      <c r="V392" s="1041"/>
      <c r="W392" s="1041"/>
      <c r="X392" s="1041"/>
      <c r="Y392" s="1041"/>
      <c r="Z392" s="1041"/>
      <c r="AA392" s="1041"/>
      <c r="AB392" s="1041"/>
      <c r="AC392" s="1043"/>
      <c r="AD392" s="1043"/>
      <c r="AE392" s="1043"/>
      <c r="AF392" s="1041"/>
      <c r="AG392" s="1041"/>
      <c r="AH392" s="1041"/>
      <c r="AI392" s="1041"/>
    </row>
    <row r="393" spans="1:35" s="878" customFormat="1" ht="19.5" customHeight="1">
      <c r="A393" s="1041"/>
      <c r="B393" s="1042"/>
      <c r="C393" s="1041"/>
      <c r="D393" s="1041"/>
      <c r="E393" s="1042"/>
      <c r="F393" s="1041"/>
      <c r="G393" s="1041"/>
      <c r="H393" s="1041"/>
      <c r="I393" s="1041"/>
      <c r="J393" s="1041"/>
      <c r="K393" s="1041"/>
      <c r="L393" s="1041"/>
      <c r="M393" s="1041"/>
      <c r="N393" s="1041"/>
      <c r="O393" s="1041"/>
      <c r="P393" s="1041"/>
      <c r="Q393" s="1041"/>
      <c r="R393" s="1041"/>
      <c r="S393" s="1041"/>
      <c r="T393" s="1041"/>
      <c r="U393" s="1041"/>
      <c r="V393" s="1041"/>
      <c r="W393" s="1041"/>
      <c r="X393" s="1041"/>
      <c r="Y393" s="1041"/>
      <c r="Z393" s="1041"/>
      <c r="AA393" s="1041"/>
      <c r="AB393" s="1041"/>
      <c r="AC393" s="1043"/>
      <c r="AD393" s="1043"/>
      <c r="AE393" s="1043"/>
      <c r="AF393" s="1041"/>
      <c r="AG393" s="1041"/>
      <c r="AH393" s="1041"/>
      <c r="AI393" s="1041"/>
    </row>
    <row r="394" spans="1:35" s="878" customFormat="1" ht="19.5" customHeight="1">
      <c r="A394" s="1041"/>
      <c r="B394" s="1042"/>
      <c r="C394" s="1041"/>
      <c r="D394" s="1041"/>
      <c r="E394" s="1042"/>
      <c r="F394" s="1041"/>
      <c r="G394" s="1041"/>
      <c r="H394" s="1041"/>
      <c r="I394" s="1041"/>
      <c r="J394" s="1041"/>
      <c r="K394" s="1041"/>
      <c r="L394" s="1041"/>
      <c r="M394" s="1041"/>
      <c r="N394" s="1041"/>
      <c r="O394" s="1041"/>
      <c r="P394" s="1041"/>
      <c r="Q394" s="1041"/>
      <c r="R394" s="1041"/>
      <c r="S394" s="1041"/>
      <c r="T394" s="1041"/>
      <c r="U394" s="1041"/>
      <c r="V394" s="1041"/>
      <c r="W394" s="1041"/>
      <c r="X394" s="1041"/>
      <c r="Y394" s="1041"/>
      <c r="Z394" s="1041"/>
      <c r="AA394" s="1041"/>
      <c r="AB394" s="1041"/>
      <c r="AC394" s="1043"/>
      <c r="AD394" s="1043"/>
      <c r="AE394" s="1043"/>
      <c r="AF394" s="1041"/>
      <c r="AG394" s="1041"/>
      <c r="AH394" s="1041"/>
      <c r="AI394" s="1041"/>
    </row>
    <row r="395" spans="1:35" s="878" customFormat="1" ht="19.5" customHeight="1">
      <c r="A395" s="1041"/>
      <c r="B395" s="1042"/>
      <c r="C395" s="1041"/>
      <c r="D395" s="1041"/>
      <c r="E395" s="1042"/>
      <c r="F395" s="1041"/>
      <c r="G395" s="1041"/>
      <c r="H395" s="1041"/>
      <c r="I395" s="1041"/>
      <c r="J395" s="1041"/>
      <c r="K395" s="1041"/>
      <c r="L395" s="1041"/>
      <c r="M395" s="1041"/>
      <c r="N395" s="1041"/>
      <c r="O395" s="1041"/>
      <c r="P395" s="1041"/>
      <c r="Q395" s="1041"/>
      <c r="R395" s="1041"/>
      <c r="S395" s="1041"/>
      <c r="T395" s="1041"/>
      <c r="U395" s="1041"/>
      <c r="V395" s="1041"/>
      <c r="W395" s="1041"/>
      <c r="X395" s="1041"/>
      <c r="Y395" s="1041"/>
      <c r="Z395" s="1041"/>
      <c r="AA395" s="1041"/>
      <c r="AB395" s="1041"/>
      <c r="AC395" s="1043"/>
      <c r="AD395" s="1043"/>
      <c r="AE395" s="1043"/>
      <c r="AF395" s="1041"/>
      <c r="AG395" s="1041"/>
      <c r="AH395" s="1041"/>
      <c r="AI395" s="1041"/>
    </row>
    <row r="396" spans="1:35" s="878" customFormat="1" ht="19.5" customHeight="1">
      <c r="A396" s="1041"/>
      <c r="B396" s="1042"/>
      <c r="C396" s="1041"/>
      <c r="D396" s="1041"/>
      <c r="E396" s="1042"/>
      <c r="F396" s="1041"/>
      <c r="G396" s="1041"/>
      <c r="H396" s="1041"/>
      <c r="I396" s="1041"/>
      <c r="J396" s="1041"/>
      <c r="K396" s="1041"/>
      <c r="L396" s="1041"/>
      <c r="M396" s="1041"/>
      <c r="N396" s="1041"/>
      <c r="O396" s="1041"/>
      <c r="P396" s="1041"/>
      <c r="Q396" s="1041"/>
      <c r="R396" s="1041"/>
      <c r="S396" s="1041"/>
      <c r="T396" s="1041"/>
      <c r="U396" s="1041"/>
      <c r="V396" s="1041"/>
      <c r="W396" s="1041"/>
      <c r="X396" s="1041"/>
      <c r="Y396" s="1041"/>
      <c r="Z396" s="1041"/>
      <c r="AA396" s="1041"/>
      <c r="AB396" s="1041"/>
      <c r="AC396" s="1043"/>
      <c r="AD396" s="1043"/>
      <c r="AE396" s="1043"/>
      <c r="AF396" s="1041"/>
      <c r="AG396" s="1041"/>
      <c r="AH396" s="1041"/>
      <c r="AI396" s="1041"/>
    </row>
    <row r="397" spans="1:35" s="878" customFormat="1" ht="19.5" customHeight="1">
      <c r="A397" s="1041"/>
      <c r="B397" s="1042"/>
      <c r="C397" s="1041"/>
      <c r="D397" s="1041"/>
      <c r="E397" s="1042"/>
      <c r="F397" s="1041"/>
      <c r="G397" s="1041"/>
      <c r="H397" s="1041"/>
      <c r="I397" s="1041"/>
      <c r="J397" s="1041"/>
      <c r="K397" s="1041"/>
      <c r="L397" s="1041"/>
      <c r="M397" s="1041"/>
      <c r="N397" s="1041"/>
      <c r="O397" s="1041"/>
      <c r="P397" s="1041"/>
      <c r="Q397" s="1041"/>
      <c r="R397" s="1041"/>
      <c r="S397" s="1041"/>
      <c r="T397" s="1041"/>
      <c r="U397" s="1041"/>
      <c r="V397" s="1041"/>
      <c r="W397" s="1041"/>
      <c r="X397" s="1041"/>
      <c r="Y397" s="1041"/>
      <c r="Z397" s="1041"/>
      <c r="AA397" s="1041"/>
      <c r="AB397" s="1041"/>
      <c r="AC397" s="1043"/>
      <c r="AD397" s="1043"/>
      <c r="AE397" s="1043"/>
      <c r="AF397" s="1041"/>
      <c r="AG397" s="1041"/>
      <c r="AH397" s="1041"/>
      <c r="AI397" s="1041"/>
    </row>
    <row r="398" spans="1:35" s="878" customFormat="1" ht="19.5" customHeight="1">
      <c r="A398" s="1041"/>
      <c r="B398" s="1042"/>
      <c r="C398" s="1041"/>
      <c r="D398" s="1041"/>
      <c r="E398" s="1042"/>
      <c r="F398" s="1041"/>
      <c r="G398" s="1041"/>
      <c r="H398" s="1041"/>
      <c r="I398" s="1041"/>
      <c r="J398" s="1041"/>
      <c r="K398" s="1041"/>
      <c r="L398" s="1041"/>
      <c r="M398" s="1041"/>
      <c r="N398" s="1041"/>
      <c r="O398" s="1041"/>
      <c r="P398" s="1041"/>
      <c r="Q398" s="1041"/>
      <c r="R398" s="1041"/>
      <c r="S398" s="1041"/>
      <c r="T398" s="1041"/>
      <c r="U398" s="1041"/>
      <c r="V398" s="1041"/>
      <c r="W398" s="1041"/>
      <c r="X398" s="1041"/>
      <c r="Y398" s="1041"/>
      <c r="Z398" s="1041"/>
      <c r="AA398" s="1041"/>
      <c r="AB398" s="1041"/>
      <c r="AC398" s="1043"/>
      <c r="AD398" s="1043"/>
      <c r="AE398" s="1043"/>
      <c r="AF398" s="1041"/>
      <c r="AG398" s="1041"/>
      <c r="AH398" s="1041"/>
      <c r="AI398" s="1041"/>
    </row>
    <row r="399" spans="1:35" s="878" customFormat="1" ht="19.5" customHeight="1">
      <c r="A399" s="1041"/>
      <c r="B399" s="1042"/>
      <c r="C399" s="1041"/>
      <c r="D399" s="1041"/>
      <c r="E399" s="1042"/>
      <c r="F399" s="1041"/>
      <c r="G399" s="1041"/>
      <c r="H399" s="1041"/>
      <c r="I399" s="1041"/>
      <c r="J399" s="1041"/>
      <c r="K399" s="1041"/>
      <c r="L399" s="1041"/>
      <c r="M399" s="1041"/>
      <c r="N399" s="1041"/>
      <c r="O399" s="1041"/>
      <c r="P399" s="1041"/>
      <c r="Q399" s="1041"/>
      <c r="R399" s="1041"/>
      <c r="S399" s="1041"/>
      <c r="T399" s="1041"/>
      <c r="U399" s="1041"/>
      <c r="V399" s="1041"/>
      <c r="W399" s="1041"/>
      <c r="X399" s="1041"/>
      <c r="Y399" s="1041"/>
      <c r="Z399" s="1041"/>
      <c r="AA399" s="1041"/>
      <c r="AB399" s="1041"/>
      <c r="AC399" s="1043"/>
      <c r="AD399" s="1043"/>
      <c r="AE399" s="1043"/>
      <c r="AF399" s="1041"/>
      <c r="AG399" s="1041"/>
      <c r="AH399" s="1041"/>
      <c r="AI399" s="1041"/>
    </row>
    <row r="400" spans="1:35" s="878" customFormat="1" ht="19.5" customHeight="1">
      <c r="A400" s="1041"/>
      <c r="B400" s="1042"/>
      <c r="C400" s="1041"/>
      <c r="D400" s="1041"/>
      <c r="E400" s="1042"/>
      <c r="F400" s="1041"/>
      <c r="G400" s="1041"/>
      <c r="H400" s="1041"/>
      <c r="I400" s="1041"/>
      <c r="J400" s="1041"/>
      <c r="K400" s="1041"/>
      <c r="L400" s="1041"/>
      <c r="M400" s="1041"/>
      <c r="N400" s="1041"/>
      <c r="O400" s="1041"/>
      <c r="P400" s="1041"/>
      <c r="Q400" s="1041"/>
      <c r="R400" s="1041"/>
      <c r="S400" s="1041"/>
      <c r="T400" s="1041"/>
      <c r="U400" s="1041"/>
      <c r="V400" s="1041"/>
      <c r="W400" s="1041"/>
      <c r="X400" s="1041"/>
      <c r="Y400" s="1041"/>
      <c r="Z400" s="1041"/>
      <c r="AA400" s="1041"/>
      <c r="AB400" s="1041"/>
      <c r="AC400" s="1043"/>
      <c r="AD400" s="1043"/>
      <c r="AE400" s="1043"/>
      <c r="AF400" s="1041"/>
      <c r="AG400" s="1041"/>
      <c r="AH400" s="1041"/>
      <c r="AI400" s="1041"/>
    </row>
    <row r="401" spans="1:35" s="878" customFormat="1" ht="19.5" customHeight="1">
      <c r="A401" s="1041"/>
      <c r="B401" s="1042"/>
      <c r="C401" s="1041"/>
      <c r="D401" s="1041"/>
      <c r="E401" s="1042"/>
      <c r="F401" s="1041"/>
      <c r="G401" s="1041"/>
      <c r="H401" s="1041"/>
      <c r="I401" s="1041"/>
      <c r="J401" s="1041"/>
      <c r="K401" s="1041"/>
      <c r="L401" s="1041"/>
      <c r="M401" s="1041"/>
      <c r="N401" s="1041"/>
      <c r="O401" s="1041"/>
      <c r="P401" s="1041"/>
      <c r="Q401" s="1041"/>
      <c r="R401" s="1041"/>
      <c r="S401" s="1041"/>
      <c r="T401" s="1041"/>
      <c r="U401" s="1041"/>
      <c r="V401" s="1041"/>
      <c r="W401" s="1041"/>
      <c r="X401" s="1041"/>
      <c r="Y401" s="1041"/>
      <c r="Z401" s="1041"/>
      <c r="AA401" s="1041"/>
      <c r="AB401" s="1041"/>
      <c r="AC401" s="1043"/>
      <c r="AD401" s="1043"/>
      <c r="AE401" s="1043"/>
      <c r="AF401" s="1041"/>
      <c r="AG401" s="1041"/>
      <c r="AH401" s="1041"/>
      <c r="AI401" s="1041"/>
    </row>
    <row r="402" spans="1:35" s="878" customFormat="1" ht="19.5" customHeight="1">
      <c r="A402" s="1041"/>
      <c r="B402" s="1042"/>
      <c r="C402" s="1041"/>
      <c r="D402" s="1041"/>
      <c r="E402" s="1042"/>
      <c r="F402" s="1041"/>
      <c r="G402" s="1041"/>
      <c r="H402" s="1041"/>
      <c r="I402" s="1041"/>
      <c r="J402" s="1041"/>
      <c r="K402" s="1041"/>
      <c r="L402" s="1041"/>
      <c r="M402" s="1041"/>
      <c r="N402" s="1041"/>
      <c r="O402" s="1041"/>
      <c r="P402" s="1041"/>
      <c r="Q402" s="1041"/>
      <c r="R402" s="1041"/>
      <c r="S402" s="1041"/>
      <c r="T402" s="1041"/>
      <c r="U402" s="1041"/>
      <c r="V402" s="1041"/>
      <c r="W402" s="1041"/>
      <c r="X402" s="1041"/>
      <c r="Y402" s="1041"/>
      <c r="Z402" s="1041"/>
      <c r="AA402" s="1041"/>
      <c r="AB402" s="1041"/>
      <c r="AC402" s="1043"/>
      <c r="AD402" s="1043"/>
      <c r="AE402" s="1043"/>
      <c r="AF402" s="1041"/>
      <c r="AG402" s="1041"/>
      <c r="AH402" s="1041"/>
      <c r="AI402" s="1041"/>
    </row>
    <row r="403" spans="1:35" s="878" customFormat="1" ht="19.5" customHeight="1">
      <c r="A403" s="1041"/>
      <c r="B403" s="1042"/>
      <c r="C403" s="1041"/>
      <c r="D403" s="1041"/>
      <c r="E403" s="1042"/>
      <c r="F403" s="1041"/>
      <c r="G403" s="1041"/>
      <c r="H403" s="1041"/>
      <c r="I403" s="1041"/>
      <c r="J403" s="1041"/>
      <c r="K403" s="1041"/>
      <c r="L403" s="1041"/>
      <c r="M403" s="1041"/>
      <c r="N403" s="1041"/>
      <c r="O403" s="1041"/>
      <c r="P403" s="1041"/>
      <c r="Q403" s="1041"/>
      <c r="R403" s="1041"/>
      <c r="S403" s="1041"/>
      <c r="T403" s="1041"/>
      <c r="U403" s="1041"/>
      <c r="V403" s="1041"/>
      <c r="W403" s="1041"/>
      <c r="X403" s="1041"/>
      <c r="Y403" s="1041"/>
      <c r="Z403" s="1041"/>
      <c r="AA403" s="1041"/>
      <c r="AB403" s="1041"/>
      <c r="AC403" s="1043"/>
      <c r="AD403" s="1043"/>
      <c r="AE403" s="1043"/>
      <c r="AF403" s="1041"/>
      <c r="AG403" s="1041"/>
      <c r="AH403" s="1041"/>
      <c r="AI403" s="1041"/>
    </row>
    <row r="404" spans="1:35" s="878" customFormat="1" ht="19.5" customHeight="1">
      <c r="A404" s="1041"/>
      <c r="B404" s="1042"/>
      <c r="C404" s="1041"/>
      <c r="D404" s="1041"/>
      <c r="E404" s="1042"/>
      <c r="F404" s="1041"/>
      <c r="G404" s="1041"/>
      <c r="H404" s="1041"/>
      <c r="I404" s="1041"/>
      <c r="J404" s="1041"/>
      <c r="K404" s="1041"/>
      <c r="L404" s="1041"/>
      <c r="M404" s="1041"/>
      <c r="N404" s="1041"/>
      <c r="O404" s="1041"/>
      <c r="P404" s="1041"/>
      <c r="Q404" s="1041"/>
      <c r="R404" s="1041"/>
      <c r="S404" s="1041"/>
      <c r="T404" s="1041"/>
      <c r="U404" s="1041"/>
      <c r="V404" s="1041"/>
      <c r="W404" s="1041"/>
      <c r="X404" s="1041"/>
      <c r="Y404" s="1041"/>
      <c r="Z404" s="1041"/>
      <c r="AA404" s="1041"/>
      <c r="AB404" s="1041"/>
      <c r="AC404" s="1043"/>
      <c r="AD404" s="1043"/>
      <c r="AE404" s="1043"/>
      <c r="AF404" s="1041"/>
      <c r="AG404" s="1041"/>
      <c r="AH404" s="1041"/>
      <c r="AI404" s="1041"/>
    </row>
    <row r="405" spans="1:35" s="878" customFormat="1" ht="19.5" customHeight="1">
      <c r="A405" s="1041"/>
      <c r="B405" s="1042"/>
      <c r="C405" s="1041"/>
      <c r="D405" s="1041"/>
      <c r="E405" s="1042"/>
      <c r="F405" s="1041"/>
      <c r="G405" s="1041"/>
      <c r="H405" s="1041"/>
      <c r="I405" s="1041"/>
      <c r="J405" s="1041"/>
      <c r="K405" s="1041"/>
      <c r="L405" s="1041"/>
      <c r="M405" s="1041"/>
      <c r="N405" s="1041"/>
      <c r="O405" s="1041"/>
      <c r="P405" s="1041"/>
      <c r="Q405" s="1041"/>
      <c r="R405" s="1041"/>
      <c r="S405" s="1041"/>
      <c r="T405" s="1041"/>
      <c r="U405" s="1041"/>
      <c r="V405" s="1041"/>
      <c r="W405" s="1041"/>
      <c r="X405" s="1041"/>
      <c r="Y405" s="1041"/>
      <c r="Z405" s="1041"/>
      <c r="AA405" s="1041"/>
      <c r="AB405" s="1041"/>
      <c r="AC405" s="1043"/>
      <c r="AD405" s="1043"/>
      <c r="AE405" s="1043"/>
      <c r="AF405" s="1041"/>
      <c r="AG405" s="1041"/>
      <c r="AH405" s="1041"/>
      <c r="AI405" s="1041"/>
    </row>
    <row r="406" spans="1:35" s="878" customFormat="1" ht="19.5" customHeight="1">
      <c r="A406" s="1041"/>
      <c r="B406" s="1042"/>
      <c r="C406" s="1041"/>
      <c r="D406" s="1041"/>
      <c r="E406" s="1042"/>
      <c r="F406" s="1041"/>
      <c r="G406" s="1041"/>
      <c r="H406" s="1041"/>
      <c r="I406" s="1041"/>
      <c r="J406" s="1041"/>
      <c r="K406" s="1041"/>
      <c r="L406" s="1041"/>
      <c r="M406" s="1041"/>
      <c r="N406" s="1041"/>
      <c r="O406" s="1041"/>
      <c r="P406" s="1041"/>
      <c r="Q406" s="1041"/>
      <c r="R406" s="1041"/>
      <c r="S406" s="1041"/>
      <c r="T406" s="1041"/>
      <c r="U406" s="1041"/>
      <c r="V406" s="1041"/>
      <c r="W406" s="1041"/>
      <c r="X406" s="1041"/>
      <c r="Y406" s="1041"/>
      <c r="Z406" s="1041"/>
      <c r="AA406" s="1041"/>
      <c r="AB406" s="1041"/>
      <c r="AC406" s="1043"/>
      <c r="AD406" s="1043"/>
      <c r="AE406" s="1043"/>
      <c r="AF406" s="1041"/>
      <c r="AG406" s="1041"/>
      <c r="AH406" s="1041"/>
      <c r="AI406" s="1041"/>
    </row>
    <row r="407" spans="1:35" s="878" customFormat="1" ht="19.5" customHeight="1">
      <c r="A407" s="1041"/>
      <c r="B407" s="1042"/>
      <c r="C407" s="1041"/>
      <c r="D407" s="1041"/>
      <c r="E407" s="1042"/>
      <c r="F407" s="1041"/>
      <c r="G407" s="1041"/>
      <c r="H407" s="1041"/>
      <c r="I407" s="1041"/>
      <c r="J407" s="1041"/>
      <c r="K407" s="1041"/>
      <c r="L407" s="1041"/>
      <c r="M407" s="1041"/>
      <c r="N407" s="1041"/>
      <c r="O407" s="1041"/>
      <c r="P407" s="1041"/>
      <c r="Q407" s="1041"/>
      <c r="R407" s="1041"/>
      <c r="S407" s="1041"/>
      <c r="T407" s="1041"/>
      <c r="U407" s="1041"/>
      <c r="V407" s="1041"/>
      <c r="W407" s="1041"/>
      <c r="X407" s="1041"/>
      <c r="Y407" s="1041"/>
      <c r="Z407" s="1041"/>
      <c r="AA407" s="1041"/>
      <c r="AB407" s="1041"/>
      <c r="AC407" s="1043"/>
      <c r="AD407" s="1043"/>
      <c r="AE407" s="1043"/>
      <c r="AF407" s="1041"/>
      <c r="AG407" s="1041"/>
      <c r="AH407" s="1041"/>
      <c r="AI407" s="1041"/>
    </row>
    <row r="408" spans="1:35" s="878" customFormat="1" ht="19.5" customHeight="1">
      <c r="A408" s="1041"/>
      <c r="B408" s="1042"/>
      <c r="C408" s="1041"/>
      <c r="D408" s="1041"/>
      <c r="E408" s="1042"/>
      <c r="F408" s="1041"/>
      <c r="G408" s="1041"/>
      <c r="H408" s="1041"/>
      <c r="I408" s="1041"/>
      <c r="J408" s="1041"/>
      <c r="K408" s="1041"/>
      <c r="L408" s="1041"/>
      <c r="M408" s="1041"/>
      <c r="N408" s="1041"/>
      <c r="O408" s="1041"/>
      <c r="P408" s="1041"/>
      <c r="Q408" s="1041"/>
      <c r="R408" s="1041"/>
      <c r="S408" s="1041"/>
      <c r="T408" s="1041"/>
      <c r="U408" s="1041"/>
      <c r="V408" s="1041"/>
      <c r="W408" s="1041"/>
      <c r="X408" s="1041"/>
      <c r="Y408" s="1041"/>
      <c r="Z408" s="1041"/>
      <c r="AA408" s="1041"/>
      <c r="AB408" s="1041"/>
      <c r="AC408" s="1043"/>
      <c r="AD408" s="1043"/>
      <c r="AE408" s="1043"/>
      <c r="AF408" s="1041"/>
      <c r="AG408" s="1041"/>
      <c r="AH408" s="1041"/>
      <c r="AI408" s="1041"/>
    </row>
    <row r="409" spans="1:35" s="878" customFormat="1" ht="19.5" customHeight="1">
      <c r="A409" s="1041"/>
      <c r="B409" s="1042"/>
      <c r="C409" s="1041"/>
      <c r="D409" s="1041"/>
      <c r="E409" s="1042"/>
      <c r="F409" s="1041"/>
      <c r="G409" s="1041"/>
      <c r="H409" s="1041"/>
      <c r="I409" s="1041"/>
      <c r="J409" s="1041"/>
      <c r="K409" s="1041"/>
      <c r="L409" s="1041"/>
      <c r="M409" s="1041"/>
      <c r="N409" s="1041"/>
      <c r="O409" s="1041"/>
      <c r="P409" s="1041"/>
      <c r="Q409" s="1041"/>
      <c r="R409" s="1041"/>
      <c r="S409" s="1041"/>
      <c r="T409" s="1041"/>
      <c r="U409" s="1041"/>
      <c r="V409" s="1041"/>
      <c r="W409" s="1041"/>
      <c r="X409" s="1041"/>
      <c r="Y409" s="1041"/>
      <c r="Z409" s="1041"/>
      <c r="AA409" s="1041"/>
      <c r="AB409" s="1041"/>
      <c r="AC409" s="1043"/>
      <c r="AD409" s="1043"/>
      <c r="AE409" s="1043"/>
      <c r="AF409" s="1041"/>
      <c r="AG409" s="1041"/>
      <c r="AH409" s="1041"/>
      <c r="AI409" s="1041"/>
    </row>
    <row r="410" spans="1:35" s="878" customFormat="1" ht="19.5" customHeight="1">
      <c r="A410" s="1041"/>
      <c r="B410" s="1042"/>
      <c r="C410" s="1041"/>
      <c r="D410" s="1041"/>
      <c r="E410" s="1042"/>
      <c r="F410" s="1041"/>
      <c r="G410" s="1041"/>
      <c r="H410" s="1041"/>
      <c r="I410" s="1041"/>
      <c r="J410" s="1041"/>
      <c r="K410" s="1041"/>
      <c r="L410" s="1041"/>
      <c r="M410" s="1041"/>
      <c r="N410" s="1041"/>
      <c r="O410" s="1041"/>
      <c r="P410" s="1041"/>
      <c r="Q410" s="1041"/>
      <c r="R410" s="1041"/>
      <c r="S410" s="1041"/>
      <c r="T410" s="1041"/>
      <c r="U410" s="1041"/>
      <c r="V410" s="1041"/>
      <c r="W410" s="1041"/>
      <c r="X410" s="1041"/>
      <c r="Y410" s="1041"/>
      <c r="Z410" s="1041"/>
      <c r="AA410" s="1041"/>
      <c r="AB410" s="1041"/>
      <c r="AC410" s="1043"/>
      <c r="AD410" s="1043"/>
      <c r="AE410" s="1043"/>
      <c r="AF410" s="1041"/>
      <c r="AG410" s="1041"/>
      <c r="AH410" s="1041"/>
      <c r="AI410" s="1041"/>
    </row>
    <row r="411" spans="1:35" s="878" customFormat="1" ht="19.5" customHeight="1">
      <c r="A411" s="1041"/>
      <c r="B411" s="1042"/>
      <c r="C411" s="1041"/>
      <c r="D411" s="1041"/>
      <c r="E411" s="1042"/>
      <c r="F411" s="1041"/>
      <c r="G411" s="1041"/>
      <c r="H411" s="1041"/>
      <c r="I411" s="1041"/>
      <c r="J411" s="1041"/>
      <c r="K411" s="1041"/>
      <c r="L411" s="1041"/>
      <c r="M411" s="1041"/>
      <c r="N411" s="1041"/>
      <c r="O411" s="1041"/>
      <c r="P411" s="1041"/>
      <c r="Q411" s="1041"/>
      <c r="R411" s="1041"/>
      <c r="S411" s="1041"/>
      <c r="T411" s="1041"/>
      <c r="U411" s="1041"/>
      <c r="V411" s="1041"/>
      <c r="W411" s="1041"/>
      <c r="X411" s="1041"/>
      <c r="Y411" s="1041"/>
      <c r="Z411" s="1041"/>
      <c r="AA411" s="1041"/>
      <c r="AB411" s="1041"/>
      <c r="AC411" s="1043"/>
      <c r="AD411" s="1043"/>
      <c r="AE411" s="1043"/>
      <c r="AF411" s="1041"/>
      <c r="AG411" s="1041"/>
      <c r="AH411" s="1041"/>
      <c r="AI411" s="1041"/>
    </row>
    <row r="412" spans="1:35" s="878" customFormat="1" ht="19.5" customHeight="1">
      <c r="A412" s="1041"/>
      <c r="B412" s="1042"/>
      <c r="C412" s="1041"/>
      <c r="D412" s="1041"/>
      <c r="E412" s="1042"/>
      <c r="F412" s="1041"/>
      <c r="G412" s="1041"/>
      <c r="H412" s="1041"/>
      <c r="I412" s="1041"/>
      <c r="J412" s="1041"/>
      <c r="K412" s="1041"/>
      <c r="L412" s="1041"/>
      <c r="M412" s="1041"/>
      <c r="N412" s="1041"/>
      <c r="O412" s="1041"/>
      <c r="P412" s="1041"/>
      <c r="Q412" s="1041"/>
      <c r="R412" s="1041"/>
      <c r="S412" s="1041"/>
      <c r="T412" s="1041"/>
      <c r="U412" s="1041"/>
      <c r="V412" s="1041"/>
      <c r="W412" s="1041"/>
      <c r="X412" s="1041"/>
      <c r="Y412" s="1041"/>
      <c r="Z412" s="1041"/>
      <c r="AA412" s="1041"/>
      <c r="AB412" s="1041"/>
      <c r="AC412" s="1043"/>
      <c r="AD412" s="1043"/>
      <c r="AE412" s="1043"/>
      <c r="AF412" s="1041"/>
      <c r="AG412" s="1041"/>
      <c r="AH412" s="1041"/>
      <c r="AI412" s="1041"/>
    </row>
    <row r="413" spans="1:35" s="878" customFormat="1" ht="19.5" customHeight="1">
      <c r="A413" s="1041"/>
      <c r="B413" s="1042"/>
      <c r="C413" s="1041"/>
      <c r="D413" s="1041"/>
      <c r="E413" s="1042"/>
      <c r="F413" s="1041"/>
      <c r="G413" s="1041"/>
      <c r="H413" s="1041"/>
      <c r="I413" s="1041"/>
      <c r="J413" s="1041"/>
      <c r="K413" s="1041"/>
      <c r="L413" s="1041"/>
      <c r="M413" s="1041"/>
      <c r="N413" s="1041"/>
      <c r="O413" s="1041"/>
      <c r="P413" s="1041"/>
      <c r="Q413" s="1041"/>
      <c r="R413" s="1041"/>
      <c r="S413" s="1041"/>
      <c r="T413" s="1041"/>
      <c r="U413" s="1041"/>
      <c r="V413" s="1041"/>
      <c r="W413" s="1041"/>
      <c r="X413" s="1041"/>
      <c r="Y413" s="1041"/>
      <c r="Z413" s="1041"/>
      <c r="AA413" s="1041"/>
      <c r="AB413" s="1041"/>
      <c r="AC413" s="1043"/>
      <c r="AD413" s="1043"/>
      <c r="AE413" s="1043"/>
      <c r="AF413" s="1041"/>
      <c r="AG413" s="1041"/>
      <c r="AH413" s="1041"/>
      <c r="AI413" s="1041"/>
    </row>
    <row r="414" spans="1:35" s="878" customFormat="1" ht="19.5" customHeight="1">
      <c r="A414" s="1041"/>
      <c r="B414" s="1042"/>
      <c r="C414" s="1041"/>
      <c r="D414" s="1041"/>
      <c r="E414" s="1042"/>
      <c r="F414" s="1041"/>
      <c r="G414" s="1041"/>
      <c r="H414" s="1041"/>
      <c r="I414" s="1041"/>
      <c r="J414" s="1041"/>
      <c r="K414" s="1041"/>
      <c r="L414" s="1041"/>
      <c r="M414" s="1041"/>
      <c r="N414" s="1041"/>
      <c r="O414" s="1041"/>
      <c r="P414" s="1041"/>
      <c r="Q414" s="1041"/>
      <c r="R414" s="1041"/>
      <c r="S414" s="1041"/>
      <c r="T414" s="1041"/>
      <c r="U414" s="1041"/>
      <c r="V414" s="1041"/>
      <c r="W414" s="1041"/>
      <c r="X414" s="1041"/>
      <c r="Y414" s="1041"/>
      <c r="Z414" s="1041"/>
      <c r="AA414" s="1041"/>
      <c r="AB414" s="1041"/>
      <c r="AC414" s="1043"/>
      <c r="AD414" s="1043"/>
      <c r="AE414" s="1043"/>
      <c r="AF414" s="1041"/>
      <c r="AG414" s="1041"/>
      <c r="AH414" s="1041"/>
      <c r="AI414" s="1041"/>
    </row>
    <row r="415" spans="1:35" s="878" customFormat="1" ht="19.5" customHeight="1">
      <c r="A415" s="1041"/>
      <c r="B415" s="1042"/>
      <c r="C415" s="1041"/>
      <c r="D415" s="1041"/>
      <c r="E415" s="1042"/>
      <c r="F415" s="1041"/>
      <c r="G415" s="1041"/>
      <c r="H415" s="1041"/>
      <c r="I415" s="1041"/>
      <c r="J415" s="1041"/>
      <c r="K415" s="1041"/>
      <c r="L415" s="1041"/>
      <c r="M415" s="1041"/>
      <c r="N415" s="1041"/>
      <c r="O415" s="1041"/>
      <c r="P415" s="1041"/>
      <c r="Q415" s="1041"/>
      <c r="R415" s="1041"/>
      <c r="S415" s="1041"/>
      <c r="T415" s="1041"/>
      <c r="U415" s="1041"/>
      <c r="V415" s="1041"/>
      <c r="W415" s="1041"/>
      <c r="X415" s="1041"/>
      <c r="Y415" s="1041"/>
      <c r="Z415" s="1041"/>
      <c r="AA415" s="1041"/>
      <c r="AB415" s="1041"/>
      <c r="AC415" s="1043"/>
      <c r="AD415" s="1043"/>
      <c r="AE415" s="1043"/>
      <c r="AF415" s="1041"/>
      <c r="AG415" s="1041"/>
      <c r="AH415" s="1041"/>
      <c r="AI415" s="1041"/>
    </row>
    <row r="416" spans="1:35" s="878" customFormat="1" ht="19.5" customHeight="1">
      <c r="A416" s="1041"/>
      <c r="B416" s="1042"/>
      <c r="C416" s="1041"/>
      <c r="D416" s="1041"/>
      <c r="E416" s="1042"/>
      <c r="F416" s="1041"/>
      <c r="G416" s="1041"/>
      <c r="H416" s="1041"/>
      <c r="I416" s="1041"/>
      <c r="J416" s="1041"/>
      <c r="K416" s="1041"/>
      <c r="L416" s="1041"/>
      <c r="M416" s="1041"/>
      <c r="N416" s="1041"/>
      <c r="O416" s="1041"/>
      <c r="P416" s="1041"/>
      <c r="Q416" s="1041"/>
      <c r="R416" s="1041"/>
      <c r="S416" s="1041"/>
      <c r="T416" s="1041"/>
      <c r="U416" s="1041"/>
      <c r="V416" s="1041"/>
      <c r="W416" s="1041"/>
      <c r="X416" s="1041"/>
      <c r="Y416" s="1041"/>
      <c r="Z416" s="1041"/>
      <c r="AA416" s="1041"/>
      <c r="AB416" s="1041"/>
      <c r="AC416" s="1043"/>
      <c r="AD416" s="1043"/>
      <c r="AE416" s="1043"/>
      <c r="AF416" s="1041"/>
      <c r="AG416" s="1041"/>
      <c r="AH416" s="1041"/>
      <c r="AI416" s="1041"/>
    </row>
    <row r="417" spans="1:35" s="878" customFormat="1" ht="19.5" customHeight="1">
      <c r="A417" s="1041"/>
      <c r="B417" s="1042"/>
      <c r="C417" s="1041"/>
      <c r="D417" s="1041"/>
      <c r="E417" s="1042"/>
      <c r="F417" s="1041"/>
      <c r="G417" s="1041"/>
      <c r="H417" s="1041"/>
      <c r="I417" s="1041"/>
      <c r="J417" s="1041"/>
      <c r="K417" s="1041"/>
      <c r="L417" s="1041"/>
      <c r="M417" s="1041"/>
      <c r="N417" s="1041"/>
      <c r="O417" s="1041"/>
      <c r="P417" s="1041"/>
      <c r="Q417" s="1041"/>
      <c r="R417" s="1041"/>
      <c r="S417" s="1041"/>
      <c r="T417" s="1041"/>
      <c r="U417" s="1041"/>
      <c r="V417" s="1041"/>
      <c r="W417" s="1041"/>
      <c r="X417" s="1041"/>
      <c r="Y417" s="1041"/>
      <c r="Z417" s="1041"/>
      <c r="AA417" s="1041"/>
      <c r="AB417" s="1041"/>
      <c r="AC417" s="1043"/>
      <c r="AD417" s="1043"/>
      <c r="AE417" s="1043"/>
      <c r="AF417" s="1041"/>
      <c r="AG417" s="1041"/>
      <c r="AH417" s="1041"/>
      <c r="AI417" s="1041"/>
    </row>
    <row r="418" spans="1:35" s="878" customFormat="1" ht="19.5" customHeight="1">
      <c r="A418" s="1041"/>
      <c r="B418" s="1042"/>
      <c r="C418" s="1041"/>
      <c r="D418" s="1041"/>
      <c r="E418" s="1042"/>
      <c r="F418" s="1041"/>
      <c r="G418" s="1041"/>
      <c r="H418" s="1041"/>
      <c r="I418" s="1041"/>
      <c r="J418" s="1041"/>
      <c r="K418" s="1041"/>
      <c r="L418" s="1041"/>
      <c r="M418" s="1041"/>
      <c r="N418" s="1041"/>
      <c r="O418" s="1041"/>
      <c r="P418" s="1041"/>
      <c r="Q418" s="1041"/>
      <c r="R418" s="1041"/>
      <c r="S418" s="1041"/>
      <c r="T418" s="1041"/>
      <c r="U418" s="1041"/>
      <c r="V418" s="1041"/>
      <c r="W418" s="1041"/>
      <c r="X418" s="1041"/>
      <c r="Y418" s="1041"/>
      <c r="Z418" s="1041"/>
      <c r="AA418" s="1041"/>
      <c r="AB418" s="1041"/>
      <c r="AC418" s="1043"/>
      <c r="AD418" s="1043"/>
      <c r="AE418" s="1043"/>
      <c r="AF418" s="1041"/>
      <c r="AG418" s="1041"/>
      <c r="AH418" s="1041"/>
      <c r="AI418" s="1041"/>
    </row>
    <row r="419" spans="1:35" s="878" customFormat="1" ht="19.5" customHeight="1">
      <c r="A419" s="1041"/>
      <c r="B419" s="1042"/>
      <c r="C419" s="1041"/>
      <c r="D419" s="1041"/>
      <c r="E419" s="1042"/>
      <c r="F419" s="1041"/>
      <c r="G419" s="1041"/>
      <c r="H419" s="1041"/>
      <c r="I419" s="1041"/>
      <c r="J419" s="1041"/>
      <c r="K419" s="1041"/>
      <c r="L419" s="1041"/>
      <c r="M419" s="1041"/>
      <c r="N419" s="1041"/>
      <c r="O419" s="1041"/>
      <c r="P419" s="1041"/>
      <c r="Q419" s="1041"/>
      <c r="R419" s="1041"/>
      <c r="S419" s="1041"/>
      <c r="T419" s="1041"/>
      <c r="U419" s="1041"/>
      <c r="V419" s="1041"/>
      <c r="W419" s="1041"/>
      <c r="X419" s="1041"/>
      <c r="Y419" s="1041"/>
      <c r="Z419" s="1041"/>
      <c r="AA419" s="1041"/>
      <c r="AB419" s="1041"/>
      <c r="AC419" s="1043"/>
      <c r="AD419" s="1043"/>
      <c r="AE419" s="1043"/>
      <c r="AF419" s="1041"/>
      <c r="AG419" s="1041"/>
      <c r="AH419" s="1041"/>
      <c r="AI419" s="1041"/>
    </row>
    <row r="420" spans="1:35" s="878" customFormat="1" ht="19.5" customHeight="1">
      <c r="A420" s="1041"/>
      <c r="B420" s="1042"/>
      <c r="C420" s="1041"/>
      <c r="D420" s="1041"/>
      <c r="E420" s="1042"/>
      <c r="F420" s="1041"/>
      <c r="G420" s="1041"/>
      <c r="H420" s="1041"/>
      <c r="I420" s="1041"/>
      <c r="J420" s="1041"/>
      <c r="K420" s="1041"/>
      <c r="L420" s="1041"/>
      <c r="M420" s="1041"/>
      <c r="N420" s="1041"/>
      <c r="O420" s="1041"/>
      <c r="P420" s="1041"/>
      <c r="Q420" s="1041"/>
      <c r="R420" s="1041"/>
      <c r="S420" s="1041"/>
      <c r="T420" s="1041"/>
      <c r="U420" s="1041"/>
      <c r="V420" s="1041"/>
      <c r="W420" s="1041"/>
      <c r="X420" s="1041"/>
      <c r="Y420" s="1041"/>
      <c r="Z420" s="1041"/>
      <c r="AA420" s="1041"/>
      <c r="AB420" s="1041"/>
      <c r="AC420" s="1043"/>
      <c r="AD420" s="1043"/>
      <c r="AE420" s="1043"/>
      <c r="AF420" s="1041"/>
      <c r="AG420" s="1041"/>
      <c r="AH420" s="1041"/>
      <c r="AI420" s="1041"/>
    </row>
    <row r="421" spans="1:35" s="878" customFormat="1" ht="19.5" customHeight="1">
      <c r="A421" s="1041"/>
      <c r="B421" s="1042"/>
      <c r="C421" s="1041"/>
      <c r="D421" s="1041"/>
      <c r="E421" s="1042"/>
      <c r="F421" s="1041"/>
      <c r="G421" s="1041"/>
      <c r="H421" s="1041"/>
      <c r="I421" s="1041"/>
      <c r="J421" s="1041"/>
      <c r="K421" s="1041"/>
      <c r="L421" s="1041"/>
      <c r="M421" s="1041"/>
      <c r="N421" s="1041"/>
      <c r="O421" s="1041"/>
      <c r="P421" s="1041"/>
      <c r="Q421" s="1041"/>
      <c r="R421" s="1041"/>
      <c r="S421" s="1041"/>
      <c r="T421" s="1041"/>
      <c r="U421" s="1041"/>
      <c r="V421" s="1041"/>
      <c r="W421" s="1041"/>
      <c r="X421" s="1041"/>
      <c r="Y421" s="1041"/>
      <c r="Z421" s="1041"/>
      <c r="AA421" s="1041"/>
      <c r="AB421" s="1041"/>
      <c r="AC421" s="1043"/>
      <c r="AD421" s="1043"/>
      <c r="AE421" s="1043"/>
      <c r="AF421" s="1041"/>
      <c r="AG421" s="1041"/>
      <c r="AH421" s="1041"/>
      <c r="AI421" s="1041"/>
    </row>
    <row r="422" spans="1:35" s="878" customFormat="1" ht="19.5" customHeight="1">
      <c r="A422" s="1041"/>
      <c r="B422" s="1042"/>
      <c r="C422" s="1041"/>
      <c r="D422" s="1041"/>
      <c r="E422" s="1042"/>
      <c r="F422" s="1041"/>
      <c r="G422" s="1041"/>
      <c r="H422" s="1041"/>
      <c r="I422" s="1041"/>
      <c r="J422" s="1041"/>
      <c r="K422" s="1041"/>
      <c r="L422" s="1041"/>
      <c r="M422" s="1041"/>
      <c r="N422" s="1041"/>
      <c r="O422" s="1041"/>
      <c r="P422" s="1041"/>
      <c r="Q422" s="1041"/>
      <c r="R422" s="1041"/>
      <c r="S422" s="1041"/>
      <c r="T422" s="1041"/>
      <c r="U422" s="1041"/>
      <c r="V422" s="1041"/>
      <c r="W422" s="1041"/>
      <c r="X422" s="1041"/>
      <c r="Y422" s="1041"/>
      <c r="Z422" s="1041"/>
      <c r="AA422" s="1041"/>
      <c r="AB422" s="1041"/>
      <c r="AC422" s="1043"/>
      <c r="AD422" s="1043"/>
      <c r="AE422" s="1043"/>
      <c r="AF422" s="1041"/>
      <c r="AG422" s="1041"/>
      <c r="AH422" s="1041"/>
      <c r="AI422" s="1041"/>
    </row>
    <row r="423" spans="1:35" s="878" customFormat="1" ht="19.5" customHeight="1">
      <c r="A423" s="1041"/>
      <c r="B423" s="1042"/>
      <c r="C423" s="1041"/>
      <c r="D423" s="1041"/>
      <c r="E423" s="1042"/>
      <c r="F423" s="1041"/>
      <c r="G423" s="1041"/>
      <c r="H423" s="1041"/>
      <c r="I423" s="1041"/>
      <c r="J423" s="1041"/>
      <c r="K423" s="1041"/>
      <c r="L423" s="1041"/>
      <c r="M423" s="1041"/>
      <c r="N423" s="1041"/>
      <c r="O423" s="1041"/>
      <c r="P423" s="1041"/>
      <c r="Q423" s="1041"/>
      <c r="R423" s="1041"/>
      <c r="S423" s="1041"/>
      <c r="T423" s="1041"/>
      <c r="U423" s="1041"/>
      <c r="V423" s="1041"/>
      <c r="W423" s="1041"/>
      <c r="X423" s="1041"/>
      <c r="Y423" s="1041"/>
      <c r="Z423" s="1041"/>
      <c r="AA423" s="1041"/>
      <c r="AB423" s="1041"/>
      <c r="AC423" s="1043"/>
      <c r="AD423" s="1043"/>
      <c r="AE423" s="1043"/>
      <c r="AF423" s="1041"/>
      <c r="AG423" s="1041"/>
      <c r="AH423" s="1041"/>
      <c r="AI423" s="1041"/>
    </row>
    <row r="424" spans="1:35" s="878" customFormat="1" ht="19.5" customHeight="1">
      <c r="A424" s="1041"/>
      <c r="B424" s="1042"/>
      <c r="C424" s="1041"/>
      <c r="D424" s="1041"/>
      <c r="E424" s="1042"/>
      <c r="F424" s="1041"/>
      <c r="G424" s="1041"/>
      <c r="H424" s="1041"/>
      <c r="I424" s="1041"/>
      <c r="J424" s="1041"/>
      <c r="K424" s="1041"/>
      <c r="L424" s="1041"/>
      <c r="M424" s="1041"/>
      <c r="N424" s="1041"/>
      <c r="O424" s="1041"/>
      <c r="P424" s="1041"/>
      <c r="Q424" s="1041"/>
      <c r="R424" s="1041"/>
      <c r="S424" s="1041"/>
      <c r="T424" s="1041"/>
      <c r="U424" s="1041"/>
      <c r="V424" s="1041"/>
      <c r="W424" s="1041"/>
      <c r="X424" s="1041"/>
      <c r="Y424" s="1041"/>
      <c r="Z424" s="1041"/>
      <c r="AA424" s="1041"/>
      <c r="AB424" s="1041"/>
      <c r="AC424" s="1043"/>
      <c r="AD424" s="1043"/>
      <c r="AE424" s="1043"/>
      <c r="AF424" s="1041"/>
      <c r="AG424" s="1041"/>
      <c r="AH424" s="1041"/>
      <c r="AI424" s="1041"/>
    </row>
    <row r="425" spans="1:35" s="878" customFormat="1" ht="19.5" customHeight="1">
      <c r="A425" s="1041"/>
      <c r="B425" s="1042"/>
      <c r="C425" s="1041"/>
      <c r="D425" s="1041"/>
      <c r="E425" s="1042"/>
      <c r="F425" s="1041"/>
      <c r="G425" s="1041"/>
      <c r="H425" s="1041"/>
      <c r="I425" s="1041"/>
      <c r="J425" s="1041"/>
      <c r="K425" s="1041"/>
      <c r="L425" s="1041"/>
      <c r="M425" s="1041"/>
      <c r="N425" s="1041"/>
      <c r="O425" s="1041"/>
      <c r="P425" s="1041"/>
      <c r="Q425" s="1041"/>
      <c r="R425" s="1041"/>
      <c r="S425" s="1041"/>
      <c r="T425" s="1041"/>
      <c r="U425" s="1041"/>
      <c r="V425" s="1041"/>
      <c r="W425" s="1041"/>
      <c r="X425" s="1041"/>
      <c r="Y425" s="1041"/>
      <c r="Z425" s="1041"/>
      <c r="AA425" s="1041"/>
      <c r="AB425" s="1041"/>
      <c r="AC425" s="1043"/>
      <c r="AD425" s="1043"/>
      <c r="AE425" s="1043"/>
      <c r="AF425" s="1041"/>
      <c r="AG425" s="1041"/>
      <c r="AH425" s="1041"/>
      <c r="AI425" s="1041"/>
    </row>
    <row r="426" spans="1:35" s="878" customFormat="1" ht="19.5" customHeight="1">
      <c r="A426" s="1041"/>
      <c r="B426" s="1042"/>
      <c r="C426" s="1041"/>
      <c r="D426" s="1041"/>
      <c r="E426" s="1042"/>
      <c r="F426" s="1041"/>
      <c r="G426" s="1041"/>
      <c r="H426" s="1041"/>
      <c r="I426" s="1041"/>
      <c r="J426" s="1041"/>
      <c r="K426" s="1041"/>
      <c r="L426" s="1041"/>
      <c r="M426" s="1041"/>
      <c r="N426" s="1041"/>
      <c r="O426" s="1041"/>
      <c r="P426" s="1041"/>
      <c r="Q426" s="1041"/>
      <c r="R426" s="1041"/>
      <c r="S426" s="1041"/>
      <c r="T426" s="1041"/>
      <c r="U426" s="1041"/>
      <c r="V426" s="1041"/>
      <c r="W426" s="1041"/>
      <c r="X426" s="1041"/>
      <c r="Y426" s="1041"/>
      <c r="Z426" s="1041"/>
      <c r="AA426" s="1041"/>
      <c r="AB426" s="1041"/>
      <c r="AC426" s="1043"/>
      <c r="AD426" s="1043"/>
      <c r="AE426" s="1043"/>
      <c r="AF426" s="1041"/>
      <c r="AG426" s="1041"/>
      <c r="AH426" s="1041"/>
      <c r="AI426" s="1041"/>
    </row>
    <row r="427" spans="1:35" s="878" customFormat="1" ht="19.5" customHeight="1">
      <c r="A427" s="1041"/>
      <c r="B427" s="1042"/>
      <c r="C427" s="1041"/>
      <c r="D427" s="1041"/>
      <c r="E427" s="1042"/>
      <c r="F427" s="1041"/>
      <c r="G427" s="1041"/>
      <c r="H427" s="1041"/>
      <c r="I427" s="1041"/>
      <c r="J427" s="1041"/>
      <c r="K427" s="1041"/>
      <c r="L427" s="1041"/>
      <c r="M427" s="1041"/>
      <c r="N427" s="1041"/>
      <c r="O427" s="1041"/>
      <c r="P427" s="1041"/>
      <c r="Q427" s="1041"/>
      <c r="R427" s="1041"/>
      <c r="S427" s="1041"/>
      <c r="T427" s="1041"/>
      <c r="U427" s="1041"/>
      <c r="V427" s="1041"/>
      <c r="W427" s="1041"/>
      <c r="X427" s="1041"/>
      <c r="Y427" s="1041"/>
      <c r="Z427" s="1041"/>
      <c r="AA427" s="1041"/>
      <c r="AB427" s="1041"/>
      <c r="AC427" s="1043"/>
      <c r="AD427" s="1043"/>
      <c r="AE427" s="1043"/>
      <c r="AF427" s="1041"/>
      <c r="AG427" s="1041"/>
      <c r="AH427" s="1041"/>
      <c r="AI427" s="1041"/>
    </row>
    <row r="428" spans="1:35" s="878" customFormat="1" ht="19.5" customHeight="1">
      <c r="A428" s="1041"/>
      <c r="B428" s="1042"/>
      <c r="C428" s="1041"/>
      <c r="D428" s="1041"/>
      <c r="E428" s="1042"/>
      <c r="F428" s="1041"/>
      <c r="G428" s="1041"/>
      <c r="H428" s="1041"/>
      <c r="I428" s="1041"/>
      <c r="J428" s="1041"/>
      <c r="K428" s="1041"/>
      <c r="L428" s="1041"/>
      <c r="M428" s="1041"/>
      <c r="N428" s="1041"/>
      <c r="O428" s="1041"/>
      <c r="P428" s="1041"/>
      <c r="Q428" s="1041"/>
      <c r="R428" s="1041"/>
      <c r="S428" s="1041"/>
      <c r="T428" s="1041"/>
      <c r="U428" s="1041"/>
      <c r="V428" s="1041"/>
      <c r="W428" s="1041"/>
      <c r="X428" s="1041"/>
      <c r="Y428" s="1041"/>
      <c r="Z428" s="1041"/>
      <c r="AA428" s="1041"/>
      <c r="AB428" s="1041"/>
      <c r="AC428" s="1043"/>
      <c r="AD428" s="1043"/>
      <c r="AE428" s="1043"/>
      <c r="AF428" s="1041"/>
      <c r="AG428" s="1041"/>
      <c r="AH428" s="1041"/>
      <c r="AI428" s="1041"/>
    </row>
    <row r="429" spans="1:35" s="878" customFormat="1" ht="19.5" customHeight="1">
      <c r="A429" s="1041"/>
      <c r="B429" s="1042"/>
      <c r="C429" s="1041"/>
      <c r="D429" s="1041"/>
      <c r="E429" s="1042"/>
      <c r="F429" s="1041"/>
      <c r="G429" s="1041"/>
      <c r="H429" s="1041"/>
      <c r="I429" s="1041"/>
      <c r="J429" s="1041"/>
      <c r="K429" s="1041"/>
      <c r="L429" s="1041"/>
      <c r="M429" s="1041"/>
      <c r="N429" s="1041"/>
      <c r="O429" s="1041"/>
      <c r="P429" s="1041"/>
      <c r="Q429" s="1041"/>
      <c r="R429" s="1041"/>
      <c r="S429" s="1041"/>
      <c r="T429" s="1041"/>
      <c r="U429" s="1041"/>
      <c r="V429" s="1041"/>
      <c r="W429" s="1041"/>
      <c r="X429" s="1041"/>
      <c r="Y429" s="1041"/>
      <c r="Z429" s="1041"/>
      <c r="AA429" s="1041"/>
      <c r="AB429" s="1041"/>
      <c r="AC429" s="1043"/>
      <c r="AD429" s="1043"/>
      <c r="AE429" s="1043"/>
      <c r="AF429" s="1041"/>
      <c r="AG429" s="1041"/>
      <c r="AH429" s="1041"/>
      <c r="AI429" s="1041"/>
    </row>
    <row r="430" spans="1:35" s="878" customFormat="1" ht="19.5" customHeight="1">
      <c r="A430" s="1041"/>
      <c r="B430" s="1042"/>
      <c r="C430" s="1041"/>
      <c r="D430" s="1041"/>
      <c r="E430" s="1042"/>
      <c r="F430" s="1041"/>
      <c r="G430" s="1041"/>
      <c r="H430" s="1041"/>
      <c r="I430" s="1041"/>
      <c r="J430" s="1041"/>
      <c r="K430" s="1041"/>
      <c r="L430" s="1041"/>
      <c r="M430" s="1041"/>
      <c r="N430" s="1041"/>
      <c r="O430" s="1041"/>
      <c r="P430" s="1041"/>
      <c r="Q430" s="1041"/>
      <c r="R430" s="1041"/>
      <c r="S430" s="1041"/>
      <c r="T430" s="1041"/>
      <c r="U430" s="1041"/>
      <c r="V430" s="1041"/>
      <c r="W430" s="1041"/>
      <c r="X430" s="1041"/>
      <c r="Y430" s="1041"/>
      <c r="Z430" s="1041"/>
      <c r="AA430" s="1041"/>
      <c r="AB430" s="1041"/>
      <c r="AC430" s="1043"/>
      <c r="AD430" s="1043"/>
      <c r="AE430" s="1043"/>
      <c r="AF430" s="1041"/>
      <c r="AG430" s="1041"/>
      <c r="AH430" s="1041"/>
      <c r="AI430" s="1041"/>
    </row>
    <row r="431" spans="1:35" s="878" customFormat="1" ht="19.5" customHeight="1">
      <c r="A431" s="1041"/>
      <c r="B431" s="1042"/>
      <c r="C431" s="1041"/>
      <c r="D431" s="1041"/>
      <c r="E431" s="1042"/>
      <c r="F431" s="1041"/>
      <c r="G431" s="1041"/>
      <c r="H431" s="1041"/>
      <c r="I431" s="1041"/>
      <c r="J431" s="1041"/>
      <c r="K431" s="1041"/>
      <c r="L431" s="1041"/>
      <c r="M431" s="1041"/>
      <c r="N431" s="1041"/>
      <c r="O431" s="1041"/>
      <c r="P431" s="1041"/>
      <c r="Q431" s="1041"/>
      <c r="R431" s="1041"/>
      <c r="S431" s="1041"/>
      <c r="T431" s="1041"/>
      <c r="U431" s="1041"/>
      <c r="V431" s="1041"/>
      <c r="W431" s="1041"/>
      <c r="X431" s="1041"/>
      <c r="Y431" s="1041"/>
      <c r="Z431" s="1041"/>
      <c r="AA431" s="1041"/>
      <c r="AB431" s="1041"/>
      <c r="AC431" s="1043"/>
      <c r="AD431" s="1043"/>
      <c r="AE431" s="1043"/>
      <c r="AF431" s="1041"/>
      <c r="AG431" s="1041"/>
      <c r="AH431" s="1041"/>
      <c r="AI431" s="1041"/>
    </row>
    <row r="432" spans="1:35" s="878" customFormat="1" ht="19.5" customHeight="1">
      <c r="A432" s="1041"/>
      <c r="B432" s="1042"/>
      <c r="C432" s="1041"/>
      <c r="D432" s="1041"/>
      <c r="E432" s="1042"/>
      <c r="F432" s="1041"/>
      <c r="G432" s="1041"/>
      <c r="H432" s="1041"/>
      <c r="I432" s="1041"/>
      <c r="J432" s="1041"/>
      <c r="K432" s="1041"/>
      <c r="L432" s="1041"/>
      <c r="M432" s="1041"/>
      <c r="N432" s="1041"/>
      <c r="O432" s="1041"/>
      <c r="P432" s="1041"/>
      <c r="Q432" s="1041"/>
      <c r="R432" s="1041"/>
      <c r="S432" s="1041"/>
      <c r="T432" s="1041"/>
      <c r="U432" s="1041"/>
      <c r="V432" s="1041"/>
      <c r="W432" s="1041"/>
      <c r="X432" s="1041"/>
      <c r="Y432" s="1041"/>
      <c r="Z432" s="1041"/>
      <c r="AA432" s="1041"/>
      <c r="AB432" s="1041"/>
      <c r="AC432" s="1043"/>
      <c r="AD432" s="1043"/>
      <c r="AE432" s="1043"/>
      <c r="AF432" s="1041"/>
      <c r="AG432" s="1041"/>
      <c r="AH432" s="1041"/>
      <c r="AI432" s="1041"/>
    </row>
    <row r="433" spans="1:35" s="878" customFormat="1" ht="19.5" customHeight="1">
      <c r="A433" s="1041"/>
      <c r="B433" s="1042"/>
      <c r="C433" s="1041"/>
      <c r="D433" s="1041"/>
      <c r="E433" s="1042"/>
      <c r="F433" s="1041"/>
      <c r="G433" s="1041"/>
      <c r="H433" s="1041"/>
      <c r="I433" s="1041"/>
      <c r="J433" s="1041"/>
      <c r="K433" s="1041"/>
      <c r="L433" s="1041"/>
      <c r="M433" s="1041"/>
      <c r="N433" s="1041"/>
      <c r="O433" s="1041"/>
      <c r="P433" s="1041"/>
      <c r="Q433" s="1041"/>
      <c r="R433" s="1041"/>
      <c r="S433" s="1041"/>
      <c r="T433" s="1041"/>
      <c r="U433" s="1041"/>
      <c r="V433" s="1041"/>
      <c r="W433" s="1041"/>
      <c r="X433" s="1041"/>
      <c r="Y433" s="1041"/>
      <c r="Z433" s="1041"/>
      <c r="AA433" s="1041"/>
      <c r="AB433" s="1041"/>
      <c r="AC433" s="1043"/>
      <c r="AD433" s="1043"/>
      <c r="AE433" s="1043"/>
      <c r="AF433" s="1041"/>
      <c r="AG433" s="1041"/>
      <c r="AH433" s="1041"/>
      <c r="AI433" s="1041"/>
    </row>
    <row r="434" spans="1:35" s="878" customFormat="1" ht="19.5" customHeight="1">
      <c r="A434" s="1041"/>
      <c r="B434" s="1042"/>
      <c r="C434" s="1041"/>
      <c r="D434" s="1041"/>
      <c r="E434" s="1042"/>
      <c r="F434" s="1041"/>
      <c r="G434" s="1041"/>
      <c r="H434" s="1041"/>
      <c r="I434" s="1041"/>
      <c r="J434" s="1041"/>
      <c r="K434" s="1041"/>
      <c r="L434" s="1041"/>
      <c r="M434" s="1041"/>
      <c r="N434" s="1041"/>
      <c r="O434" s="1041"/>
      <c r="P434" s="1041"/>
      <c r="Q434" s="1041"/>
      <c r="R434" s="1041"/>
      <c r="S434" s="1041"/>
      <c r="T434" s="1041"/>
      <c r="U434" s="1041"/>
      <c r="V434" s="1041"/>
      <c r="W434" s="1041"/>
      <c r="X434" s="1041"/>
      <c r="Y434" s="1041"/>
      <c r="Z434" s="1041"/>
      <c r="AA434" s="1041"/>
      <c r="AB434" s="1041"/>
      <c r="AC434" s="1043"/>
      <c r="AD434" s="1043"/>
      <c r="AE434" s="1043"/>
      <c r="AF434" s="1041"/>
      <c r="AG434" s="1041"/>
      <c r="AH434" s="1041"/>
      <c r="AI434" s="1041"/>
    </row>
    <row r="435" spans="1:35" s="878" customFormat="1" ht="19.5" customHeight="1">
      <c r="A435" s="1041"/>
      <c r="B435" s="1042"/>
      <c r="C435" s="1041"/>
      <c r="D435" s="1041"/>
      <c r="E435" s="1042"/>
      <c r="F435" s="1041"/>
      <c r="G435" s="1041"/>
      <c r="H435" s="1041"/>
      <c r="I435" s="1041"/>
      <c r="J435" s="1041"/>
      <c r="K435" s="1041"/>
      <c r="L435" s="1041"/>
      <c r="M435" s="1041"/>
      <c r="N435" s="1041"/>
      <c r="O435" s="1041"/>
      <c r="P435" s="1041"/>
      <c r="Q435" s="1041"/>
      <c r="R435" s="1041"/>
      <c r="S435" s="1041"/>
      <c r="T435" s="1041"/>
      <c r="U435" s="1041"/>
      <c r="V435" s="1041"/>
      <c r="W435" s="1041"/>
      <c r="X435" s="1041"/>
      <c r="Y435" s="1041"/>
      <c r="Z435" s="1041"/>
      <c r="AA435" s="1041"/>
      <c r="AB435" s="1041"/>
      <c r="AC435" s="1043"/>
      <c r="AD435" s="1043"/>
      <c r="AE435" s="1043"/>
      <c r="AF435" s="1041"/>
      <c r="AG435" s="1041"/>
      <c r="AH435" s="1041"/>
      <c r="AI435" s="1041"/>
    </row>
    <row r="436" spans="1:35" s="878" customFormat="1" ht="19.5" customHeight="1">
      <c r="A436" s="1041"/>
      <c r="B436" s="1042"/>
      <c r="C436" s="1041"/>
      <c r="D436" s="1041"/>
      <c r="E436" s="1042"/>
      <c r="F436" s="1041"/>
      <c r="G436" s="1041"/>
      <c r="H436" s="1041"/>
      <c r="I436" s="1041"/>
      <c r="J436" s="1041"/>
      <c r="K436" s="1041"/>
      <c r="L436" s="1041"/>
      <c r="M436" s="1041"/>
      <c r="N436" s="1041"/>
      <c r="O436" s="1041"/>
      <c r="P436" s="1041"/>
      <c r="Q436" s="1041"/>
      <c r="R436" s="1041"/>
      <c r="S436" s="1041"/>
      <c r="T436" s="1041"/>
      <c r="U436" s="1041"/>
      <c r="V436" s="1041"/>
      <c r="W436" s="1041"/>
      <c r="X436" s="1041"/>
      <c r="Y436" s="1041"/>
      <c r="Z436" s="1041"/>
      <c r="AA436" s="1041"/>
      <c r="AB436" s="1041"/>
      <c r="AC436" s="1043"/>
      <c r="AD436" s="1043"/>
      <c r="AE436" s="1043"/>
      <c r="AF436" s="1041"/>
      <c r="AG436" s="1041"/>
      <c r="AH436" s="1041"/>
      <c r="AI436" s="1041"/>
    </row>
    <row r="437" spans="1:35" s="878" customFormat="1" ht="19.5" customHeight="1">
      <c r="A437" s="1041"/>
      <c r="B437" s="1042"/>
      <c r="C437" s="1041"/>
      <c r="D437" s="1041"/>
      <c r="E437" s="1042"/>
      <c r="F437" s="1041"/>
      <c r="G437" s="1041"/>
      <c r="H437" s="1041"/>
      <c r="I437" s="1041"/>
      <c r="J437" s="1041"/>
      <c r="K437" s="1041"/>
      <c r="L437" s="1041"/>
      <c r="M437" s="1041"/>
      <c r="N437" s="1041"/>
      <c r="O437" s="1041"/>
      <c r="P437" s="1041"/>
      <c r="Q437" s="1041"/>
      <c r="R437" s="1041"/>
      <c r="S437" s="1041"/>
      <c r="T437" s="1041"/>
      <c r="U437" s="1041"/>
      <c r="V437" s="1041"/>
      <c r="W437" s="1041"/>
      <c r="X437" s="1041"/>
      <c r="Y437" s="1041"/>
      <c r="Z437" s="1041"/>
      <c r="AA437" s="1041"/>
      <c r="AB437" s="1041"/>
      <c r="AC437" s="1043"/>
      <c r="AD437" s="1043"/>
      <c r="AE437" s="1043"/>
      <c r="AF437" s="1041"/>
      <c r="AG437" s="1041"/>
      <c r="AH437" s="1041"/>
      <c r="AI437" s="1041"/>
    </row>
    <row r="438" spans="1:35" s="878" customFormat="1" ht="19.5" customHeight="1">
      <c r="A438" s="1041"/>
      <c r="B438" s="1042"/>
      <c r="C438" s="1041"/>
      <c r="D438" s="1041"/>
      <c r="E438" s="1042"/>
      <c r="F438" s="1041"/>
      <c r="G438" s="1041"/>
      <c r="H438" s="1041"/>
      <c r="I438" s="1041"/>
      <c r="J438" s="1041"/>
      <c r="K438" s="1041"/>
      <c r="L438" s="1041"/>
      <c r="M438" s="1041"/>
      <c r="N438" s="1041"/>
      <c r="O438" s="1041"/>
      <c r="P438" s="1041"/>
      <c r="Q438" s="1041"/>
      <c r="R438" s="1041"/>
      <c r="S438" s="1041"/>
      <c r="T438" s="1041"/>
      <c r="U438" s="1041"/>
      <c r="V438" s="1041"/>
      <c r="W438" s="1041"/>
      <c r="X438" s="1041"/>
      <c r="Y438" s="1041"/>
      <c r="Z438" s="1041"/>
      <c r="AA438" s="1041"/>
      <c r="AB438" s="1041"/>
      <c r="AC438" s="1043"/>
      <c r="AD438" s="1043"/>
      <c r="AE438" s="1043"/>
      <c r="AF438" s="1041"/>
      <c r="AG438" s="1041"/>
      <c r="AH438" s="1041"/>
      <c r="AI438" s="1041"/>
    </row>
    <row r="439" spans="1:35" s="878" customFormat="1" ht="19.5" customHeight="1">
      <c r="A439" s="1041"/>
      <c r="B439" s="1042"/>
      <c r="C439" s="1041"/>
      <c r="D439" s="1041"/>
      <c r="E439" s="1042"/>
      <c r="F439" s="1041"/>
      <c r="G439" s="1041"/>
      <c r="H439" s="1041"/>
      <c r="I439" s="1041"/>
      <c r="J439" s="1041"/>
      <c r="K439" s="1041"/>
      <c r="L439" s="1041"/>
      <c r="M439" s="1041"/>
      <c r="N439" s="1041"/>
      <c r="O439" s="1041"/>
      <c r="P439" s="1041"/>
      <c r="Q439" s="1041"/>
      <c r="R439" s="1041"/>
      <c r="S439" s="1041"/>
      <c r="T439" s="1041"/>
      <c r="U439" s="1041"/>
      <c r="V439" s="1041"/>
      <c r="W439" s="1041"/>
      <c r="X439" s="1041"/>
      <c r="Y439" s="1041"/>
      <c r="Z439" s="1041"/>
      <c r="AA439" s="1041"/>
      <c r="AB439" s="1041"/>
      <c r="AC439" s="1043"/>
      <c r="AD439" s="1043"/>
      <c r="AE439" s="1043"/>
      <c r="AF439" s="1041"/>
      <c r="AG439" s="1041"/>
      <c r="AH439" s="1041"/>
      <c r="AI439" s="1041"/>
    </row>
    <row r="440" spans="1:35" s="878" customFormat="1" ht="19.5" customHeight="1">
      <c r="A440" s="1041"/>
      <c r="B440" s="1042"/>
      <c r="C440" s="1041"/>
      <c r="D440" s="1041"/>
      <c r="E440" s="1042"/>
      <c r="F440" s="1041"/>
      <c r="G440" s="1041"/>
      <c r="H440" s="1041"/>
      <c r="I440" s="1041"/>
      <c r="J440" s="1041"/>
      <c r="K440" s="1041"/>
      <c r="L440" s="1041"/>
      <c r="M440" s="1041"/>
      <c r="N440" s="1041"/>
      <c r="O440" s="1041"/>
      <c r="P440" s="1041"/>
      <c r="Q440" s="1041"/>
      <c r="R440" s="1041"/>
      <c r="S440" s="1041"/>
      <c r="T440" s="1041"/>
      <c r="U440" s="1041"/>
      <c r="V440" s="1041"/>
      <c r="W440" s="1041"/>
      <c r="X440" s="1041"/>
      <c r="Y440" s="1041"/>
      <c r="Z440" s="1041"/>
      <c r="AA440" s="1041"/>
      <c r="AB440" s="1041"/>
      <c r="AC440" s="1043"/>
      <c r="AD440" s="1043"/>
      <c r="AE440" s="1043"/>
      <c r="AF440" s="1041"/>
      <c r="AG440" s="1041"/>
      <c r="AH440" s="1041"/>
      <c r="AI440" s="1041"/>
    </row>
    <row r="441" spans="1:35" s="878" customFormat="1" ht="19.5" customHeight="1">
      <c r="A441" s="1041"/>
      <c r="B441" s="1042"/>
      <c r="C441" s="1041"/>
      <c r="D441" s="1041"/>
      <c r="E441" s="1042"/>
      <c r="F441" s="1041"/>
      <c r="G441" s="1041"/>
      <c r="H441" s="1041"/>
      <c r="I441" s="1041"/>
      <c r="J441" s="1041"/>
      <c r="K441" s="1041"/>
      <c r="L441" s="1041"/>
      <c r="M441" s="1041"/>
      <c r="N441" s="1041"/>
      <c r="O441" s="1041"/>
      <c r="P441" s="1041"/>
      <c r="Q441" s="1041"/>
      <c r="R441" s="1041"/>
      <c r="S441" s="1041"/>
      <c r="T441" s="1041"/>
      <c r="U441" s="1041"/>
      <c r="V441" s="1041"/>
      <c r="W441" s="1041"/>
      <c r="X441" s="1041"/>
      <c r="Y441" s="1041"/>
      <c r="Z441" s="1041"/>
      <c r="AA441" s="1041"/>
      <c r="AB441" s="1041"/>
      <c r="AC441" s="1043"/>
      <c r="AD441" s="1043"/>
      <c r="AE441" s="1043"/>
      <c r="AF441" s="1041"/>
      <c r="AG441" s="1041"/>
      <c r="AH441" s="1041"/>
      <c r="AI441" s="1041"/>
    </row>
    <row r="442" spans="1:35" s="878" customFormat="1" ht="19.5" customHeight="1">
      <c r="A442" s="1041"/>
      <c r="B442" s="1042"/>
      <c r="C442" s="1041"/>
      <c r="D442" s="1041"/>
      <c r="E442" s="1042"/>
      <c r="F442" s="1041"/>
      <c r="G442" s="1041"/>
      <c r="H442" s="1041"/>
      <c r="I442" s="1041"/>
      <c r="J442" s="1041"/>
      <c r="K442" s="1041"/>
      <c r="L442" s="1041"/>
      <c r="M442" s="1041"/>
      <c r="N442" s="1041"/>
      <c r="O442" s="1041"/>
      <c r="P442" s="1041"/>
      <c r="Q442" s="1041"/>
      <c r="R442" s="1041"/>
      <c r="S442" s="1041"/>
      <c r="T442" s="1041"/>
      <c r="U442" s="1041"/>
      <c r="V442" s="1041"/>
      <c r="W442" s="1041"/>
      <c r="X442" s="1041"/>
      <c r="Y442" s="1041"/>
      <c r="Z442" s="1041"/>
      <c r="AA442" s="1041"/>
      <c r="AB442" s="1041"/>
      <c r="AC442" s="1043"/>
      <c r="AD442" s="1043"/>
      <c r="AE442" s="1043"/>
      <c r="AF442" s="1041"/>
      <c r="AG442" s="1041"/>
      <c r="AH442" s="1041"/>
      <c r="AI442" s="1041"/>
    </row>
    <row r="443" spans="1:35" s="878" customFormat="1" ht="19.5" customHeight="1">
      <c r="A443" s="1041"/>
      <c r="B443" s="1042"/>
      <c r="C443" s="1041"/>
      <c r="D443" s="1041"/>
      <c r="E443" s="1042"/>
      <c r="F443" s="1041"/>
      <c r="G443" s="1041"/>
      <c r="H443" s="1041"/>
      <c r="I443" s="1041"/>
      <c r="J443" s="1041"/>
      <c r="K443" s="1041"/>
      <c r="L443" s="1041"/>
      <c r="M443" s="1041"/>
      <c r="N443" s="1041"/>
      <c r="O443" s="1041"/>
      <c r="P443" s="1041"/>
      <c r="Q443" s="1041"/>
      <c r="R443" s="1041"/>
      <c r="S443" s="1041"/>
      <c r="T443" s="1041"/>
      <c r="U443" s="1041"/>
      <c r="V443" s="1041"/>
      <c r="W443" s="1041"/>
      <c r="X443" s="1041"/>
      <c r="Y443" s="1041"/>
      <c r="Z443" s="1041"/>
      <c r="AA443" s="1041"/>
      <c r="AB443" s="1041"/>
      <c r="AC443" s="1043"/>
      <c r="AD443" s="1043"/>
      <c r="AE443" s="1043"/>
      <c r="AF443" s="1041"/>
      <c r="AG443" s="1041"/>
      <c r="AH443" s="1041"/>
      <c r="AI443" s="1041"/>
    </row>
    <row r="444" spans="1:35" s="878" customFormat="1" ht="19.5" customHeight="1">
      <c r="A444" s="1041"/>
      <c r="B444" s="1042"/>
      <c r="C444" s="1041"/>
      <c r="D444" s="1041"/>
      <c r="E444" s="1042"/>
      <c r="F444" s="1041"/>
      <c r="G444" s="1041"/>
      <c r="H444" s="1041"/>
      <c r="I444" s="1041"/>
      <c r="J444" s="1041"/>
      <c r="K444" s="1041"/>
      <c r="L444" s="1041"/>
      <c r="M444" s="1041"/>
      <c r="N444" s="1041"/>
      <c r="O444" s="1041"/>
      <c r="P444" s="1041"/>
      <c r="Q444" s="1041"/>
      <c r="R444" s="1041"/>
      <c r="S444" s="1041"/>
      <c r="T444" s="1041"/>
      <c r="U444" s="1041"/>
      <c r="V444" s="1041"/>
      <c r="W444" s="1041"/>
      <c r="X444" s="1041"/>
      <c r="Y444" s="1041"/>
      <c r="Z444" s="1041"/>
      <c r="AA444" s="1041"/>
      <c r="AB444" s="1041"/>
      <c r="AC444" s="1043"/>
      <c r="AD444" s="1043"/>
      <c r="AE444" s="1043"/>
      <c r="AF444" s="1041"/>
      <c r="AG444" s="1041"/>
      <c r="AH444" s="1041"/>
      <c r="AI444" s="1041"/>
    </row>
    <row r="445" spans="1:35" s="878" customFormat="1" ht="19.5" customHeight="1">
      <c r="A445" s="1041"/>
      <c r="B445" s="1042"/>
      <c r="C445" s="1041"/>
      <c r="D445" s="1041"/>
      <c r="E445" s="1042"/>
      <c r="F445" s="1041"/>
      <c r="G445" s="1041"/>
      <c r="H445" s="1041"/>
      <c r="I445" s="1041"/>
      <c r="J445" s="1041"/>
      <c r="K445" s="1041"/>
      <c r="L445" s="1041"/>
      <c r="M445" s="1041"/>
      <c r="N445" s="1041"/>
      <c r="O445" s="1041"/>
      <c r="P445" s="1041"/>
      <c r="Q445" s="1041"/>
      <c r="R445" s="1041"/>
      <c r="S445" s="1041"/>
      <c r="T445" s="1041"/>
      <c r="U445" s="1041"/>
      <c r="V445" s="1041"/>
      <c r="W445" s="1041"/>
      <c r="X445" s="1041"/>
      <c r="Y445" s="1041"/>
      <c r="Z445" s="1041"/>
      <c r="AA445" s="1041"/>
      <c r="AB445" s="1041"/>
      <c r="AC445" s="1043"/>
      <c r="AD445" s="1043"/>
      <c r="AE445" s="1043"/>
      <c r="AF445" s="1041"/>
      <c r="AG445" s="1041"/>
      <c r="AH445" s="1041"/>
      <c r="AI445" s="1041"/>
    </row>
    <row r="446" spans="1:35" s="878" customFormat="1" ht="19.5" customHeight="1">
      <c r="A446" s="1041"/>
      <c r="B446" s="1042"/>
      <c r="C446" s="1041"/>
      <c r="D446" s="1041"/>
      <c r="E446" s="1042"/>
      <c r="F446" s="1041"/>
      <c r="G446" s="1041"/>
      <c r="H446" s="1041"/>
      <c r="I446" s="1041"/>
      <c r="J446" s="1041"/>
      <c r="K446" s="1041"/>
      <c r="L446" s="1041"/>
      <c r="M446" s="1041"/>
      <c r="N446" s="1041"/>
      <c r="O446" s="1041"/>
      <c r="P446" s="1041"/>
      <c r="Q446" s="1041"/>
      <c r="R446" s="1041"/>
      <c r="S446" s="1041"/>
      <c r="T446" s="1041"/>
      <c r="U446" s="1041"/>
      <c r="V446" s="1041"/>
      <c r="W446" s="1041"/>
      <c r="X446" s="1041"/>
      <c r="Y446" s="1041"/>
      <c r="Z446" s="1041"/>
      <c r="AA446" s="1041"/>
      <c r="AB446" s="1041"/>
      <c r="AC446" s="1043"/>
      <c r="AD446" s="1043"/>
      <c r="AE446" s="1043"/>
      <c r="AF446" s="1041"/>
      <c r="AG446" s="1041"/>
      <c r="AH446" s="1041"/>
      <c r="AI446" s="1041"/>
    </row>
    <row r="447" spans="1:35" s="878" customFormat="1" ht="19.5" customHeight="1">
      <c r="A447" s="1041"/>
      <c r="B447" s="1042"/>
      <c r="C447" s="1041"/>
      <c r="D447" s="1041"/>
      <c r="E447" s="1042"/>
      <c r="F447" s="1041"/>
      <c r="G447" s="1041"/>
      <c r="H447" s="1041"/>
      <c r="I447" s="1041"/>
      <c r="J447" s="1041"/>
      <c r="K447" s="1041"/>
      <c r="L447" s="1041"/>
      <c r="M447" s="1041"/>
      <c r="N447" s="1041"/>
      <c r="O447" s="1041"/>
      <c r="P447" s="1041"/>
      <c r="Q447" s="1041"/>
      <c r="R447" s="1041"/>
      <c r="S447" s="1041"/>
      <c r="T447" s="1041"/>
      <c r="U447" s="1041"/>
      <c r="V447" s="1041"/>
      <c r="W447" s="1041"/>
      <c r="X447" s="1041"/>
      <c r="Y447" s="1041"/>
      <c r="Z447" s="1041"/>
      <c r="AA447" s="1041"/>
      <c r="AB447" s="1041"/>
      <c r="AC447" s="1043"/>
      <c r="AD447" s="1043"/>
      <c r="AE447" s="1043"/>
      <c r="AF447" s="1041"/>
      <c r="AG447" s="1041"/>
      <c r="AH447" s="1041"/>
      <c r="AI447" s="1041"/>
    </row>
    <row r="448" spans="1:35" s="878" customFormat="1" ht="19.5" customHeight="1">
      <c r="A448" s="1041"/>
      <c r="B448" s="1042"/>
      <c r="C448" s="1041"/>
      <c r="D448" s="1041"/>
      <c r="E448" s="1042"/>
      <c r="F448" s="1041"/>
      <c r="G448" s="1041"/>
      <c r="H448" s="1041"/>
      <c r="I448" s="1041"/>
      <c r="J448" s="1041"/>
      <c r="K448" s="1041"/>
      <c r="L448" s="1041"/>
      <c r="M448" s="1041"/>
      <c r="N448" s="1041"/>
      <c r="O448" s="1041"/>
      <c r="P448" s="1041"/>
      <c r="Q448" s="1041"/>
      <c r="R448" s="1041"/>
      <c r="S448" s="1041"/>
      <c r="T448" s="1041"/>
      <c r="U448" s="1041"/>
      <c r="V448" s="1041"/>
      <c r="W448" s="1041"/>
      <c r="X448" s="1041"/>
      <c r="Y448" s="1041"/>
      <c r="Z448" s="1041"/>
      <c r="AA448" s="1041"/>
      <c r="AB448" s="1041"/>
      <c r="AC448" s="1043"/>
      <c r="AD448" s="1043"/>
      <c r="AE448" s="1043"/>
      <c r="AF448" s="1041"/>
      <c r="AG448" s="1041"/>
      <c r="AH448" s="1041"/>
      <c r="AI448" s="1041"/>
    </row>
    <row r="449" spans="1:35" s="878" customFormat="1" ht="19.5" customHeight="1">
      <c r="A449" s="1041"/>
      <c r="B449" s="1042"/>
      <c r="C449" s="1041"/>
      <c r="D449" s="1041"/>
      <c r="E449" s="1042"/>
      <c r="F449" s="1041"/>
      <c r="G449" s="1041"/>
      <c r="H449" s="1041"/>
      <c r="I449" s="1041"/>
      <c r="J449" s="1041"/>
      <c r="K449" s="1041"/>
      <c r="L449" s="1041"/>
      <c r="M449" s="1041"/>
      <c r="N449" s="1041"/>
      <c r="O449" s="1041"/>
      <c r="P449" s="1041"/>
      <c r="Q449" s="1041"/>
      <c r="R449" s="1041"/>
      <c r="S449" s="1041"/>
      <c r="T449" s="1041"/>
      <c r="U449" s="1041"/>
      <c r="V449" s="1041"/>
      <c r="W449" s="1041"/>
      <c r="X449" s="1041"/>
      <c r="Y449" s="1041"/>
      <c r="Z449" s="1041"/>
      <c r="AA449" s="1041"/>
      <c r="AB449" s="1041"/>
      <c r="AC449" s="1043"/>
      <c r="AD449" s="1043"/>
      <c r="AE449" s="1043"/>
      <c r="AF449" s="1041"/>
      <c r="AG449" s="1041"/>
      <c r="AH449" s="1041"/>
      <c r="AI449" s="1041"/>
    </row>
    <row r="450" spans="1:35" s="878" customFormat="1" ht="19.5" customHeight="1">
      <c r="A450" s="1041"/>
      <c r="B450" s="1042"/>
      <c r="C450" s="1041"/>
      <c r="D450" s="1041"/>
      <c r="E450" s="1042"/>
      <c r="F450" s="1041"/>
      <c r="G450" s="1041"/>
      <c r="H450" s="1041"/>
      <c r="I450" s="1041"/>
      <c r="J450" s="1041"/>
      <c r="K450" s="1041"/>
      <c r="L450" s="1041"/>
      <c r="M450" s="1041"/>
      <c r="N450" s="1041"/>
      <c r="O450" s="1041"/>
      <c r="P450" s="1041"/>
      <c r="Q450" s="1041"/>
      <c r="R450" s="1041"/>
      <c r="S450" s="1041"/>
      <c r="T450" s="1041"/>
      <c r="U450" s="1041"/>
      <c r="V450" s="1041"/>
      <c r="W450" s="1041"/>
      <c r="X450" s="1041"/>
      <c r="Y450" s="1041"/>
      <c r="Z450" s="1041"/>
      <c r="AA450" s="1041"/>
      <c r="AB450" s="1041"/>
      <c r="AC450" s="1043"/>
      <c r="AD450" s="1043"/>
      <c r="AE450" s="1043"/>
      <c r="AF450" s="1041"/>
      <c r="AG450" s="1041"/>
      <c r="AH450" s="1041"/>
      <c r="AI450" s="1041"/>
    </row>
    <row r="451" spans="1:35" s="878" customFormat="1" ht="19.5" customHeight="1">
      <c r="A451" s="1041"/>
      <c r="B451" s="1042"/>
      <c r="C451" s="1041"/>
      <c r="D451" s="1041"/>
      <c r="E451" s="1042"/>
      <c r="F451" s="1041"/>
      <c r="G451" s="1041"/>
      <c r="H451" s="1041"/>
      <c r="I451" s="1041"/>
      <c r="J451" s="1041"/>
      <c r="K451" s="1041"/>
      <c r="L451" s="1041"/>
      <c r="M451" s="1041"/>
      <c r="N451" s="1041"/>
      <c r="O451" s="1041"/>
      <c r="P451" s="1041"/>
      <c r="Q451" s="1041"/>
      <c r="R451" s="1041"/>
      <c r="S451" s="1041"/>
      <c r="T451" s="1041"/>
      <c r="U451" s="1041"/>
      <c r="V451" s="1041"/>
      <c r="W451" s="1041"/>
      <c r="X451" s="1041"/>
      <c r="Y451" s="1041"/>
      <c r="Z451" s="1041"/>
      <c r="AA451" s="1041"/>
      <c r="AB451" s="1041"/>
      <c r="AC451" s="1043"/>
      <c r="AD451" s="1043"/>
      <c r="AE451" s="1043"/>
      <c r="AF451" s="1041"/>
      <c r="AG451" s="1041"/>
      <c r="AH451" s="1041"/>
      <c r="AI451" s="1041"/>
    </row>
    <row r="452" spans="1:35" s="878" customFormat="1" ht="19.5" customHeight="1">
      <c r="A452" s="1041"/>
      <c r="B452" s="1042"/>
      <c r="C452" s="1041"/>
      <c r="D452" s="1041"/>
      <c r="E452" s="1042"/>
      <c r="F452" s="1041"/>
      <c r="G452" s="1041"/>
      <c r="H452" s="1041"/>
      <c r="I452" s="1041"/>
      <c r="J452" s="1041"/>
      <c r="K452" s="1041"/>
      <c r="L452" s="1041"/>
      <c r="M452" s="1041"/>
      <c r="N452" s="1041"/>
      <c r="O452" s="1041"/>
      <c r="P452" s="1041"/>
      <c r="Q452" s="1041"/>
      <c r="R452" s="1041"/>
      <c r="S452" s="1041"/>
      <c r="T452" s="1041"/>
      <c r="U452" s="1041"/>
      <c r="V452" s="1041"/>
      <c r="W452" s="1041"/>
      <c r="X452" s="1041"/>
      <c r="Y452" s="1041"/>
      <c r="Z452" s="1041"/>
      <c r="AA452" s="1041"/>
      <c r="AB452" s="1041"/>
      <c r="AC452" s="1043"/>
      <c r="AD452" s="1043"/>
      <c r="AE452" s="1043"/>
      <c r="AF452" s="1041"/>
      <c r="AG452" s="1041"/>
      <c r="AH452" s="1041"/>
      <c r="AI452" s="1041"/>
    </row>
    <row r="453" spans="1:35" s="878" customFormat="1" ht="19.5" customHeight="1">
      <c r="A453" s="1041"/>
      <c r="B453" s="1042"/>
      <c r="C453" s="1041"/>
      <c r="D453" s="1041"/>
      <c r="E453" s="1042"/>
      <c r="F453" s="1041"/>
      <c r="G453" s="1041"/>
      <c r="H453" s="1041"/>
      <c r="I453" s="1041"/>
      <c r="J453" s="1041"/>
      <c r="K453" s="1041"/>
      <c r="L453" s="1041"/>
      <c r="M453" s="1041"/>
      <c r="N453" s="1041"/>
      <c r="O453" s="1041"/>
      <c r="P453" s="1041"/>
      <c r="Q453" s="1041"/>
      <c r="R453" s="1041"/>
      <c r="S453" s="1041"/>
      <c r="T453" s="1041"/>
      <c r="U453" s="1041"/>
      <c r="V453" s="1041"/>
      <c r="W453" s="1041"/>
      <c r="X453" s="1041"/>
      <c r="Y453" s="1041"/>
      <c r="Z453" s="1041"/>
      <c r="AA453" s="1041"/>
      <c r="AB453" s="1041"/>
      <c r="AC453" s="1043"/>
      <c r="AD453" s="1043"/>
      <c r="AE453" s="1043"/>
      <c r="AF453" s="1041"/>
      <c r="AG453" s="1041"/>
      <c r="AH453" s="1041"/>
      <c r="AI453" s="1041"/>
    </row>
    <row r="454" spans="1:35" s="878" customFormat="1" ht="19.5" customHeight="1">
      <c r="A454" s="1041"/>
      <c r="B454" s="1042"/>
      <c r="C454" s="1041"/>
      <c r="D454" s="1041"/>
      <c r="E454" s="1042"/>
      <c r="F454" s="1041"/>
      <c r="G454" s="1041"/>
      <c r="H454" s="1041"/>
      <c r="I454" s="1041"/>
      <c r="J454" s="1041"/>
      <c r="K454" s="1041"/>
      <c r="L454" s="1041"/>
      <c r="M454" s="1041"/>
      <c r="N454" s="1041"/>
      <c r="O454" s="1041"/>
      <c r="P454" s="1041"/>
      <c r="Q454" s="1041"/>
      <c r="R454" s="1041"/>
      <c r="S454" s="1041"/>
      <c r="T454" s="1041"/>
      <c r="U454" s="1041"/>
      <c r="V454" s="1041"/>
      <c r="W454" s="1041"/>
      <c r="X454" s="1041"/>
      <c r="Y454" s="1041"/>
      <c r="Z454" s="1041"/>
      <c r="AA454" s="1041"/>
      <c r="AB454" s="1041"/>
      <c r="AC454" s="1043"/>
      <c r="AD454" s="1043"/>
      <c r="AE454" s="1043"/>
      <c r="AF454" s="1041"/>
      <c r="AG454" s="1041"/>
      <c r="AH454" s="1041"/>
      <c r="AI454" s="1041"/>
    </row>
    <row r="455" spans="1:35" s="878" customFormat="1" ht="19.5" customHeight="1">
      <c r="A455" s="1041"/>
      <c r="B455" s="1042"/>
      <c r="C455" s="1041"/>
      <c r="D455" s="1041"/>
      <c r="E455" s="1042"/>
      <c r="F455" s="1041"/>
      <c r="G455" s="1041"/>
      <c r="H455" s="1041"/>
      <c r="I455" s="1041"/>
      <c r="J455" s="1041"/>
      <c r="K455" s="1041"/>
      <c r="L455" s="1041"/>
      <c r="M455" s="1041"/>
      <c r="N455" s="1041"/>
      <c r="O455" s="1041"/>
      <c r="P455" s="1041"/>
      <c r="Q455" s="1041"/>
      <c r="R455" s="1041"/>
      <c r="S455" s="1041"/>
      <c r="T455" s="1041"/>
      <c r="U455" s="1041"/>
      <c r="V455" s="1041"/>
      <c r="W455" s="1041"/>
      <c r="X455" s="1041"/>
      <c r="Y455" s="1041"/>
      <c r="Z455" s="1041"/>
      <c r="AA455" s="1041"/>
      <c r="AB455" s="1041"/>
      <c r="AC455" s="1043"/>
      <c r="AD455" s="1043"/>
      <c r="AE455" s="1043"/>
      <c r="AF455" s="1041"/>
      <c r="AG455" s="1041"/>
      <c r="AH455" s="1041"/>
      <c r="AI455" s="1041"/>
    </row>
    <row r="456" spans="1:35" s="878" customFormat="1" ht="19.5" customHeight="1">
      <c r="A456" s="1041"/>
      <c r="B456" s="1042"/>
      <c r="C456" s="1041"/>
      <c r="D456" s="1041"/>
      <c r="E456" s="1042"/>
      <c r="F456" s="1041"/>
      <c r="G456" s="1041"/>
      <c r="H456" s="1041"/>
      <c r="I456" s="1041"/>
      <c r="J456" s="1041"/>
      <c r="K456" s="1041"/>
      <c r="L456" s="1041"/>
      <c r="M456" s="1041"/>
      <c r="N456" s="1041"/>
      <c r="O456" s="1041"/>
      <c r="P456" s="1041"/>
      <c r="Q456" s="1041"/>
      <c r="R456" s="1041"/>
      <c r="S456" s="1041"/>
      <c r="T456" s="1041"/>
      <c r="U456" s="1041"/>
      <c r="V456" s="1041"/>
      <c r="W456" s="1041"/>
      <c r="X456" s="1041"/>
      <c r="Y456" s="1041"/>
      <c r="Z456" s="1041"/>
      <c r="AA456" s="1041"/>
      <c r="AB456" s="1041"/>
      <c r="AC456" s="1043"/>
      <c r="AD456" s="1043"/>
      <c r="AE456" s="1043"/>
      <c r="AF456" s="1041"/>
      <c r="AG456" s="1041"/>
      <c r="AH456" s="1041"/>
      <c r="AI456" s="1041"/>
    </row>
    <row r="457" spans="1:35" s="878" customFormat="1" ht="19.5" customHeight="1">
      <c r="A457" s="1041"/>
      <c r="B457" s="1042"/>
      <c r="C457" s="1041"/>
      <c r="D457" s="1041"/>
      <c r="E457" s="1042"/>
      <c r="F457" s="1041"/>
      <c r="G457" s="1041"/>
      <c r="H457" s="1041"/>
      <c r="I457" s="1041"/>
      <c r="J457" s="1041"/>
      <c r="K457" s="1041"/>
      <c r="L457" s="1041"/>
      <c r="M457" s="1041"/>
      <c r="N457" s="1041"/>
      <c r="O457" s="1041"/>
      <c r="P457" s="1041"/>
      <c r="Q457" s="1041"/>
      <c r="R457" s="1041"/>
      <c r="S457" s="1041"/>
      <c r="T457" s="1041"/>
      <c r="U457" s="1041"/>
      <c r="V457" s="1041"/>
      <c r="W457" s="1041"/>
      <c r="X457" s="1041"/>
      <c r="Y457" s="1041"/>
      <c r="Z457" s="1041"/>
      <c r="AA457" s="1041"/>
      <c r="AB457" s="1041"/>
      <c r="AC457" s="1043"/>
      <c r="AD457" s="1043"/>
      <c r="AE457" s="1043"/>
      <c r="AF457" s="1041"/>
      <c r="AG457" s="1041"/>
      <c r="AH457" s="1041"/>
      <c r="AI457" s="1041"/>
    </row>
    <row r="458" spans="1:35" s="878" customFormat="1" ht="19.5" customHeight="1">
      <c r="A458" s="1041"/>
      <c r="B458" s="1042"/>
      <c r="C458" s="1041"/>
      <c r="D458" s="1041"/>
      <c r="E458" s="1042"/>
      <c r="F458" s="1041"/>
      <c r="G458" s="1041"/>
      <c r="H458" s="1041"/>
      <c r="I458" s="1041"/>
      <c r="J458" s="1041"/>
      <c r="K458" s="1041"/>
      <c r="L458" s="1041"/>
      <c r="M458" s="1041"/>
      <c r="N458" s="1041"/>
      <c r="O458" s="1041"/>
      <c r="P458" s="1041"/>
      <c r="Q458" s="1041"/>
      <c r="R458" s="1041"/>
      <c r="S458" s="1041"/>
      <c r="T458" s="1041"/>
      <c r="U458" s="1041"/>
      <c r="V458" s="1041"/>
      <c r="W458" s="1041"/>
      <c r="X458" s="1041"/>
      <c r="Y458" s="1041"/>
      <c r="Z458" s="1041"/>
      <c r="AA458" s="1041"/>
      <c r="AB458" s="1041"/>
      <c r="AC458" s="1043"/>
      <c r="AD458" s="1043"/>
      <c r="AE458" s="1043"/>
      <c r="AF458" s="1041"/>
      <c r="AG458" s="1041"/>
      <c r="AH458" s="1041"/>
      <c r="AI458" s="1041"/>
    </row>
    <row r="459" spans="1:35" s="878" customFormat="1" ht="19.5" customHeight="1">
      <c r="A459" s="1041"/>
      <c r="B459" s="1042"/>
      <c r="C459" s="1041"/>
      <c r="D459" s="1041"/>
      <c r="E459" s="1042"/>
      <c r="F459" s="1041"/>
      <c r="G459" s="1041"/>
      <c r="H459" s="1041"/>
      <c r="I459" s="1041"/>
      <c r="J459" s="1041"/>
      <c r="K459" s="1041"/>
      <c r="L459" s="1041"/>
      <c r="M459" s="1041"/>
      <c r="N459" s="1041"/>
      <c r="O459" s="1041"/>
      <c r="P459" s="1041"/>
      <c r="Q459" s="1041"/>
      <c r="R459" s="1041"/>
      <c r="S459" s="1041"/>
      <c r="T459" s="1041"/>
      <c r="U459" s="1041"/>
      <c r="V459" s="1041"/>
      <c r="W459" s="1041"/>
      <c r="X459" s="1041"/>
      <c r="Y459" s="1041"/>
      <c r="Z459" s="1041"/>
      <c r="AA459" s="1041"/>
      <c r="AB459" s="1041"/>
      <c r="AC459" s="1043"/>
      <c r="AD459" s="1043"/>
      <c r="AE459" s="1043"/>
      <c r="AF459" s="1041"/>
      <c r="AG459" s="1041"/>
      <c r="AH459" s="1041"/>
      <c r="AI459" s="1041"/>
    </row>
    <row r="460" spans="1:35" s="878" customFormat="1" ht="19.5" customHeight="1">
      <c r="A460" s="1041"/>
      <c r="B460" s="1042"/>
      <c r="C460" s="1041"/>
      <c r="D460" s="1041"/>
      <c r="E460" s="1042"/>
      <c r="F460" s="1041"/>
      <c r="G460" s="1041"/>
      <c r="H460" s="1041"/>
      <c r="I460" s="1041"/>
      <c r="J460" s="1041"/>
      <c r="K460" s="1041"/>
      <c r="L460" s="1041"/>
      <c r="M460" s="1041"/>
      <c r="N460" s="1041"/>
      <c r="O460" s="1041"/>
      <c r="P460" s="1041"/>
      <c r="Q460" s="1041"/>
      <c r="R460" s="1041"/>
      <c r="S460" s="1041"/>
      <c r="T460" s="1041"/>
      <c r="U460" s="1041"/>
      <c r="V460" s="1041"/>
      <c r="W460" s="1041"/>
      <c r="X460" s="1041"/>
      <c r="Y460" s="1041"/>
      <c r="Z460" s="1041"/>
      <c r="AA460" s="1041"/>
      <c r="AB460" s="1041"/>
      <c r="AC460" s="1043"/>
      <c r="AD460" s="1043"/>
      <c r="AE460" s="1043"/>
      <c r="AF460" s="1041"/>
      <c r="AG460" s="1041"/>
      <c r="AH460" s="1041"/>
      <c r="AI460" s="1041"/>
    </row>
    <row r="461" spans="1:35" s="878" customFormat="1" ht="19.5" customHeight="1">
      <c r="A461" s="1041"/>
      <c r="B461" s="1042"/>
      <c r="C461" s="1041"/>
      <c r="D461" s="1041"/>
      <c r="E461" s="1042"/>
      <c r="F461" s="1041"/>
      <c r="G461" s="1041"/>
      <c r="H461" s="1041"/>
      <c r="I461" s="1041"/>
      <c r="J461" s="1041"/>
      <c r="K461" s="1041"/>
      <c r="L461" s="1041"/>
      <c r="M461" s="1041"/>
      <c r="N461" s="1041"/>
      <c r="O461" s="1041"/>
      <c r="P461" s="1041"/>
      <c r="Q461" s="1041"/>
      <c r="R461" s="1041"/>
      <c r="S461" s="1041"/>
      <c r="T461" s="1041"/>
      <c r="U461" s="1041"/>
      <c r="V461" s="1041"/>
      <c r="W461" s="1041"/>
      <c r="X461" s="1041"/>
      <c r="Y461" s="1041"/>
      <c r="Z461" s="1041"/>
      <c r="AA461" s="1041"/>
      <c r="AB461" s="1041"/>
      <c r="AC461" s="1043"/>
      <c r="AD461" s="1043"/>
      <c r="AE461" s="1043"/>
      <c r="AF461" s="1041"/>
      <c r="AG461" s="1041"/>
      <c r="AH461" s="1041"/>
      <c r="AI461" s="1041"/>
    </row>
    <row r="462" spans="1:35" s="878" customFormat="1" ht="19.5" customHeight="1">
      <c r="A462" s="1041"/>
      <c r="B462" s="1042"/>
      <c r="C462" s="1041"/>
      <c r="D462" s="1041"/>
      <c r="E462" s="1042"/>
      <c r="F462" s="1041"/>
      <c r="G462" s="1041"/>
      <c r="H462" s="1041"/>
      <c r="I462" s="1041"/>
      <c r="J462" s="1041"/>
      <c r="K462" s="1041"/>
      <c r="L462" s="1041"/>
      <c r="M462" s="1041"/>
      <c r="N462" s="1041"/>
      <c r="O462" s="1041"/>
      <c r="P462" s="1041"/>
      <c r="Q462" s="1041"/>
      <c r="R462" s="1041"/>
      <c r="S462" s="1041"/>
      <c r="T462" s="1041"/>
      <c r="U462" s="1041"/>
      <c r="V462" s="1041"/>
      <c r="W462" s="1041"/>
      <c r="X462" s="1041"/>
      <c r="Y462" s="1041"/>
      <c r="Z462" s="1041"/>
      <c r="AA462" s="1041"/>
      <c r="AB462" s="1041"/>
      <c r="AC462" s="1043"/>
      <c r="AD462" s="1043"/>
      <c r="AE462" s="1043"/>
      <c r="AF462" s="1041"/>
      <c r="AG462" s="1041"/>
      <c r="AH462" s="1041"/>
      <c r="AI462" s="1041"/>
    </row>
    <row r="463" spans="1:35" s="878" customFormat="1" ht="19.5" customHeight="1">
      <c r="A463" s="1041"/>
      <c r="B463" s="1042"/>
      <c r="C463" s="1041"/>
      <c r="D463" s="1041"/>
      <c r="E463" s="1042"/>
      <c r="F463" s="1041"/>
      <c r="G463" s="1041"/>
      <c r="H463" s="1041"/>
      <c r="I463" s="1041"/>
      <c r="J463" s="1041"/>
      <c r="K463" s="1041"/>
      <c r="L463" s="1041"/>
      <c r="M463" s="1041"/>
      <c r="N463" s="1041"/>
      <c r="O463" s="1041"/>
      <c r="P463" s="1041"/>
      <c r="Q463" s="1041"/>
      <c r="R463" s="1041"/>
      <c r="S463" s="1041"/>
      <c r="T463" s="1041"/>
      <c r="U463" s="1041"/>
      <c r="V463" s="1041"/>
      <c r="W463" s="1041"/>
      <c r="X463" s="1041"/>
      <c r="Y463" s="1041"/>
      <c r="Z463" s="1041"/>
      <c r="AA463" s="1041"/>
      <c r="AB463" s="1041"/>
      <c r="AC463" s="1043"/>
      <c r="AD463" s="1043"/>
      <c r="AE463" s="1043"/>
      <c r="AF463" s="1041"/>
      <c r="AG463" s="1041"/>
      <c r="AH463" s="1041"/>
      <c r="AI463" s="1041"/>
    </row>
    <row r="464" spans="1:35" s="878" customFormat="1" ht="19.5" customHeight="1">
      <c r="A464" s="1041"/>
      <c r="B464" s="1042"/>
      <c r="C464" s="1041"/>
      <c r="D464" s="1041"/>
      <c r="E464" s="1042"/>
      <c r="F464" s="1041"/>
      <c r="G464" s="1041"/>
      <c r="H464" s="1041"/>
      <c r="I464" s="1041"/>
      <c r="J464" s="1041"/>
      <c r="K464" s="1041"/>
      <c r="L464" s="1041"/>
      <c r="M464" s="1041"/>
      <c r="N464" s="1041"/>
      <c r="O464" s="1041"/>
      <c r="P464" s="1041"/>
      <c r="Q464" s="1041"/>
      <c r="R464" s="1041"/>
      <c r="S464" s="1041"/>
      <c r="T464" s="1041"/>
      <c r="U464" s="1041"/>
      <c r="V464" s="1041"/>
      <c r="W464" s="1041"/>
      <c r="X464" s="1041"/>
      <c r="Y464" s="1041"/>
      <c r="Z464" s="1041"/>
      <c r="AA464" s="1041"/>
      <c r="AB464" s="1041"/>
      <c r="AC464" s="1043"/>
      <c r="AD464" s="1043"/>
      <c r="AE464" s="1043"/>
      <c r="AF464" s="1041"/>
      <c r="AG464" s="1041"/>
      <c r="AH464" s="1041"/>
      <c r="AI464" s="1041"/>
    </row>
    <row r="465" spans="1:35" s="878" customFormat="1" ht="19.5" customHeight="1">
      <c r="A465" s="1041"/>
      <c r="B465" s="1042"/>
      <c r="C465" s="1041"/>
      <c r="D465" s="1041"/>
      <c r="E465" s="1042"/>
      <c r="F465" s="1041"/>
      <c r="G465" s="1041"/>
      <c r="H465" s="1041"/>
      <c r="I465" s="1041"/>
      <c r="J465" s="1041"/>
      <c r="K465" s="1041"/>
      <c r="L465" s="1041"/>
      <c r="M465" s="1041"/>
      <c r="N465" s="1041"/>
      <c r="O465" s="1041"/>
      <c r="P465" s="1041"/>
      <c r="Q465" s="1041"/>
      <c r="R465" s="1041"/>
      <c r="S465" s="1041"/>
      <c r="T465" s="1041"/>
      <c r="U465" s="1041"/>
      <c r="V465" s="1041"/>
      <c r="W465" s="1041"/>
      <c r="X465" s="1041"/>
      <c r="Y465" s="1041"/>
      <c r="Z465" s="1041"/>
      <c r="AA465" s="1041"/>
      <c r="AB465" s="1041"/>
      <c r="AC465" s="1043"/>
      <c r="AD465" s="1043"/>
      <c r="AE465" s="1043"/>
      <c r="AF465" s="1041"/>
      <c r="AG465" s="1041"/>
      <c r="AH465" s="1041"/>
      <c r="AI465" s="1041"/>
    </row>
    <row r="466" spans="1:35" s="878" customFormat="1" ht="19.5" customHeight="1">
      <c r="A466" s="1041"/>
      <c r="B466" s="1042"/>
      <c r="C466" s="1041"/>
      <c r="D466" s="1041"/>
      <c r="E466" s="1042"/>
      <c r="F466" s="1041"/>
      <c r="G466" s="1041"/>
      <c r="H466" s="1041"/>
      <c r="I466" s="1041"/>
      <c r="J466" s="1041"/>
      <c r="K466" s="1041"/>
      <c r="L466" s="1041"/>
      <c r="M466" s="1041"/>
      <c r="N466" s="1041"/>
      <c r="O466" s="1041"/>
      <c r="P466" s="1041"/>
      <c r="Q466" s="1041"/>
      <c r="R466" s="1041"/>
      <c r="S466" s="1041"/>
      <c r="T466" s="1041"/>
      <c r="U466" s="1041"/>
      <c r="V466" s="1041"/>
      <c r="W466" s="1041"/>
      <c r="X466" s="1041"/>
      <c r="Y466" s="1041"/>
      <c r="Z466" s="1041"/>
      <c r="AA466" s="1041"/>
      <c r="AB466" s="1041"/>
      <c r="AC466" s="1043"/>
      <c r="AD466" s="1043"/>
      <c r="AE466" s="1043"/>
      <c r="AF466" s="1041"/>
      <c r="AG466" s="1041"/>
      <c r="AH466" s="1041"/>
      <c r="AI466" s="1041"/>
    </row>
    <row r="467" spans="1:35" s="878" customFormat="1" ht="19.5" customHeight="1">
      <c r="A467" s="1041"/>
      <c r="B467" s="1042"/>
      <c r="C467" s="1041"/>
      <c r="D467" s="1041"/>
      <c r="E467" s="1042"/>
      <c r="F467" s="1041"/>
      <c r="G467" s="1041"/>
      <c r="H467" s="1041"/>
      <c r="I467" s="1041"/>
      <c r="J467" s="1041"/>
      <c r="K467" s="1041"/>
      <c r="L467" s="1041"/>
      <c r="M467" s="1041"/>
      <c r="N467" s="1041"/>
      <c r="O467" s="1041"/>
      <c r="P467" s="1041"/>
      <c r="Q467" s="1041"/>
      <c r="R467" s="1041"/>
      <c r="S467" s="1041"/>
      <c r="T467" s="1041"/>
      <c r="U467" s="1041"/>
      <c r="V467" s="1041"/>
      <c r="W467" s="1041"/>
      <c r="X467" s="1041"/>
      <c r="Y467" s="1041"/>
      <c r="Z467" s="1041"/>
      <c r="AA467" s="1041"/>
      <c r="AB467" s="1041"/>
      <c r="AC467" s="1043"/>
      <c r="AD467" s="1043"/>
      <c r="AE467" s="1043"/>
      <c r="AF467" s="1041"/>
      <c r="AG467" s="1041"/>
      <c r="AH467" s="1041"/>
      <c r="AI467" s="1041"/>
    </row>
    <row r="468" spans="1:35" s="878" customFormat="1" ht="19.5" customHeight="1">
      <c r="A468" s="1041"/>
      <c r="B468" s="1042"/>
      <c r="C468" s="1041"/>
      <c r="D468" s="1041"/>
      <c r="E468" s="1042"/>
      <c r="F468" s="1041"/>
      <c r="G468" s="1041"/>
      <c r="H468" s="1041"/>
      <c r="I468" s="1041"/>
      <c r="J468" s="1041"/>
      <c r="K468" s="1041"/>
      <c r="L468" s="1041"/>
      <c r="M468" s="1041"/>
      <c r="N468" s="1041"/>
      <c r="O468" s="1041"/>
      <c r="P468" s="1041"/>
      <c r="Q468" s="1041"/>
      <c r="R468" s="1041"/>
      <c r="S468" s="1041"/>
      <c r="T468" s="1041"/>
      <c r="U468" s="1041"/>
      <c r="V468" s="1041"/>
      <c r="W468" s="1041"/>
      <c r="X468" s="1041"/>
      <c r="Y468" s="1041"/>
      <c r="Z468" s="1041"/>
      <c r="AA468" s="1041"/>
      <c r="AB468" s="1041"/>
      <c r="AC468" s="1043"/>
      <c r="AD468" s="1043"/>
      <c r="AE468" s="1043"/>
      <c r="AF468" s="1041"/>
      <c r="AG468" s="1041"/>
      <c r="AH468" s="1041"/>
      <c r="AI468" s="1041"/>
    </row>
    <row r="469" spans="1:35" s="878" customFormat="1" ht="19.5" customHeight="1">
      <c r="A469" s="1041"/>
      <c r="B469" s="1042"/>
      <c r="C469" s="1041"/>
      <c r="D469" s="1041"/>
      <c r="E469" s="1042"/>
      <c r="F469" s="1041"/>
      <c r="G469" s="1041"/>
      <c r="H469" s="1041"/>
      <c r="I469" s="1041"/>
      <c r="J469" s="1041"/>
      <c r="K469" s="1041"/>
      <c r="L469" s="1041"/>
      <c r="M469" s="1041"/>
      <c r="N469" s="1041"/>
      <c r="O469" s="1041"/>
      <c r="P469" s="1041"/>
      <c r="Q469" s="1041"/>
      <c r="R469" s="1041"/>
      <c r="S469" s="1041"/>
      <c r="T469" s="1041"/>
      <c r="U469" s="1041"/>
      <c r="V469" s="1041"/>
      <c r="W469" s="1041"/>
      <c r="X469" s="1041"/>
      <c r="Y469" s="1041"/>
      <c r="Z469" s="1041"/>
      <c r="AA469" s="1041"/>
      <c r="AB469" s="1041"/>
      <c r="AC469" s="1043"/>
      <c r="AD469" s="1043"/>
      <c r="AE469" s="1043"/>
      <c r="AF469" s="1041"/>
      <c r="AG469" s="1041"/>
      <c r="AH469" s="1041"/>
      <c r="AI469" s="1041"/>
    </row>
    <row r="470" spans="1:35" s="878" customFormat="1" ht="19.5" customHeight="1">
      <c r="A470" s="1041"/>
      <c r="B470" s="1042"/>
      <c r="C470" s="1041"/>
      <c r="D470" s="1041"/>
      <c r="E470" s="1042"/>
      <c r="F470" s="1041"/>
      <c r="G470" s="1041"/>
      <c r="H470" s="1041"/>
      <c r="I470" s="1041"/>
      <c r="J470" s="1041"/>
      <c r="K470" s="1041"/>
      <c r="L470" s="1041"/>
      <c r="M470" s="1041"/>
      <c r="N470" s="1041"/>
      <c r="O470" s="1041"/>
      <c r="P470" s="1041"/>
      <c r="Q470" s="1041"/>
      <c r="R470" s="1041"/>
      <c r="S470" s="1041"/>
      <c r="T470" s="1041"/>
      <c r="U470" s="1041"/>
      <c r="V470" s="1041"/>
      <c r="W470" s="1041"/>
      <c r="X470" s="1041"/>
      <c r="Y470" s="1041"/>
      <c r="Z470" s="1041"/>
      <c r="AA470" s="1041"/>
      <c r="AB470" s="1041"/>
      <c r="AC470" s="1043"/>
      <c r="AD470" s="1043"/>
      <c r="AE470" s="1043"/>
      <c r="AF470" s="1041"/>
      <c r="AG470" s="1041"/>
      <c r="AH470" s="1041"/>
      <c r="AI470" s="1041"/>
    </row>
    <row r="471" spans="1:35" s="878" customFormat="1" ht="19.5" customHeight="1">
      <c r="A471" s="1041"/>
      <c r="B471" s="1042"/>
      <c r="C471" s="1041"/>
      <c r="D471" s="1041"/>
      <c r="E471" s="1042"/>
      <c r="F471" s="1041"/>
      <c r="G471" s="1041"/>
      <c r="H471" s="1041"/>
      <c r="I471" s="1041"/>
      <c r="J471" s="1041"/>
      <c r="K471" s="1041"/>
      <c r="L471" s="1041"/>
      <c r="M471" s="1041"/>
      <c r="N471" s="1041"/>
      <c r="O471" s="1041"/>
      <c r="P471" s="1041"/>
      <c r="Q471" s="1041"/>
      <c r="R471" s="1041"/>
      <c r="S471" s="1041"/>
      <c r="T471" s="1041"/>
      <c r="U471" s="1041"/>
      <c r="V471" s="1041"/>
      <c r="W471" s="1041"/>
      <c r="X471" s="1041"/>
      <c r="Y471" s="1041"/>
      <c r="Z471" s="1041"/>
      <c r="AA471" s="1041"/>
      <c r="AB471" s="1041"/>
      <c r="AC471" s="1043"/>
      <c r="AD471" s="1043"/>
      <c r="AE471" s="1043"/>
      <c r="AF471" s="1041"/>
      <c r="AG471" s="1041"/>
      <c r="AH471" s="1041"/>
      <c r="AI471" s="1041"/>
    </row>
    <row r="472" spans="1:35" s="878" customFormat="1" ht="19.5" customHeight="1">
      <c r="A472" s="1041"/>
      <c r="B472" s="1042"/>
      <c r="C472" s="1041"/>
      <c r="D472" s="1041"/>
      <c r="E472" s="1042"/>
      <c r="F472" s="1041"/>
      <c r="G472" s="1041"/>
      <c r="H472" s="1041"/>
      <c r="I472" s="1041"/>
      <c r="J472" s="1041"/>
      <c r="K472" s="1041"/>
      <c r="L472" s="1041"/>
      <c r="M472" s="1041"/>
      <c r="N472" s="1041"/>
      <c r="O472" s="1041"/>
      <c r="P472" s="1041"/>
      <c r="Q472" s="1041"/>
      <c r="R472" s="1041"/>
      <c r="S472" s="1041"/>
      <c r="T472" s="1041"/>
      <c r="U472" s="1041"/>
      <c r="V472" s="1041"/>
      <c r="W472" s="1041"/>
      <c r="X472" s="1041"/>
      <c r="Y472" s="1041"/>
      <c r="Z472" s="1041"/>
      <c r="AA472" s="1041"/>
      <c r="AB472" s="1041"/>
      <c r="AC472" s="1043"/>
      <c r="AD472" s="1043"/>
      <c r="AE472" s="1043"/>
      <c r="AF472" s="1041"/>
      <c r="AG472" s="1041"/>
      <c r="AH472" s="1041"/>
      <c r="AI472" s="1041"/>
    </row>
    <row r="473" spans="1:35" s="878" customFormat="1" ht="19.5" customHeight="1">
      <c r="A473" s="1041"/>
      <c r="B473" s="1042"/>
      <c r="C473" s="1041"/>
      <c r="D473" s="1041"/>
      <c r="E473" s="1042"/>
      <c r="F473" s="1041"/>
      <c r="G473" s="1041"/>
      <c r="H473" s="1041"/>
      <c r="I473" s="1041"/>
      <c r="J473" s="1041"/>
      <c r="K473" s="1041"/>
      <c r="L473" s="1041"/>
      <c r="M473" s="1041"/>
      <c r="N473" s="1041"/>
      <c r="O473" s="1041"/>
      <c r="P473" s="1041"/>
      <c r="Q473" s="1041"/>
      <c r="R473" s="1041"/>
      <c r="S473" s="1041"/>
      <c r="T473" s="1041"/>
      <c r="U473" s="1041"/>
      <c r="V473" s="1041"/>
      <c r="W473" s="1041"/>
      <c r="X473" s="1041"/>
      <c r="Y473" s="1041"/>
      <c r="Z473" s="1041"/>
      <c r="AA473" s="1041"/>
      <c r="AB473" s="1041"/>
      <c r="AC473" s="1043"/>
      <c r="AD473" s="1043"/>
      <c r="AE473" s="1043"/>
      <c r="AF473" s="1041"/>
      <c r="AG473" s="1041"/>
      <c r="AH473" s="1041"/>
      <c r="AI473" s="1041"/>
    </row>
    <row r="474" spans="1:35" ht="18" customHeight="1">
      <c r="G474" s="1044"/>
      <c r="L474" s="1044"/>
      <c r="T474" s="691"/>
      <c r="U474" s="1044"/>
      <c r="W474" s="1046"/>
      <c r="X474" s="1046"/>
      <c r="Z474" s="851"/>
      <c r="AA474" s="851"/>
      <c r="AB474" s="1044"/>
    </row>
    <row r="475" spans="1:35">
      <c r="Y475" s="1046"/>
      <c r="AC475" s="1048"/>
    </row>
    <row r="476" spans="1:35">
      <c r="Y476" s="1046"/>
      <c r="AC476" s="1048"/>
    </row>
  </sheetData>
  <mergeCells count="38">
    <mergeCell ref="AC4:AC5"/>
    <mergeCell ref="B192:D192"/>
    <mergeCell ref="B266:D266"/>
    <mergeCell ref="AI3:AJ3"/>
    <mergeCell ref="B14:D14"/>
    <mergeCell ref="B27:D27"/>
    <mergeCell ref="B32:D32"/>
    <mergeCell ref="B98:D98"/>
    <mergeCell ref="B107:D107"/>
    <mergeCell ref="B166:D166"/>
    <mergeCell ref="AD4:AE4"/>
    <mergeCell ref="AF4:AF5"/>
    <mergeCell ref="AG4:AG5"/>
    <mergeCell ref="AH4:AI4"/>
    <mergeCell ref="AJ4:AJ5"/>
    <mergeCell ref="B7:D7"/>
    <mergeCell ref="R4:R5"/>
    <mergeCell ref="V4:V5"/>
    <mergeCell ref="W4:W5"/>
    <mergeCell ref="X4:X5"/>
    <mergeCell ref="Y4:AB4"/>
    <mergeCell ref="T4:U4"/>
    <mergeCell ref="AG283:AI283"/>
    <mergeCell ref="S4:S5"/>
    <mergeCell ref="A1:E1"/>
    <mergeCell ref="W1:AI1"/>
    <mergeCell ref="A2:AI2"/>
    <mergeCell ref="A4:A5"/>
    <mergeCell ref="B4:B5"/>
    <mergeCell ref="C4:C5"/>
    <mergeCell ref="D4:D5"/>
    <mergeCell ref="E4:E5"/>
    <mergeCell ref="F4:G4"/>
    <mergeCell ref="H4:I4"/>
    <mergeCell ref="J4:K4"/>
    <mergeCell ref="L4:M4"/>
    <mergeCell ref="N4:O4"/>
    <mergeCell ref="P4:Q4"/>
  </mergeCells>
  <pageMargins left="0.31496062992125984" right="0.19685039370078741" top="0.43307086614173229" bottom="0.43307086614173229" header="0.31496062992125984" footer="0.31496062992125984"/>
  <pageSetup paperSize="9" orientation="landscape" r:id="rId1"/>
  <headerFooter>
    <oddFooter>&amp;C&amp;P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100"/>
  <sheetViews>
    <sheetView topLeftCell="A7" zoomScale="85" zoomScaleNormal="85" workbookViewId="0">
      <selection activeCell="F104" sqref="F104:I104"/>
    </sheetView>
  </sheetViews>
  <sheetFormatPr defaultRowHeight="15"/>
  <cols>
    <col min="1" max="1" width="6.42578125" style="606" customWidth="1"/>
    <col min="2" max="2" width="35.42578125" style="606" customWidth="1"/>
    <col min="3" max="3" width="15.5703125" style="606" customWidth="1"/>
    <col min="4" max="4" width="15.85546875" style="606" customWidth="1"/>
    <col min="5" max="5" width="13.7109375" style="606" customWidth="1"/>
    <col min="6" max="6" width="12.85546875" style="606" customWidth="1"/>
    <col min="7" max="7" width="13.28515625" style="606" customWidth="1"/>
    <col min="8" max="10" width="14.140625" style="606" customWidth="1"/>
    <col min="11" max="11" width="34.5703125" style="606" customWidth="1"/>
    <col min="12" max="12" width="12.5703125" style="605" customWidth="1"/>
    <col min="13" max="14" width="9.140625" style="605"/>
    <col min="15" max="16384" width="9.140625" style="606"/>
  </cols>
  <sheetData>
    <row r="1" spans="1:20" ht="16.5">
      <c r="A1" s="1832"/>
      <c r="B1" s="1832"/>
      <c r="C1" s="603"/>
      <c r="D1" s="603"/>
      <c r="E1" s="603"/>
      <c r="F1" s="603"/>
      <c r="G1" s="603"/>
      <c r="H1" s="603"/>
      <c r="I1" s="603"/>
      <c r="J1" s="603"/>
      <c r="K1" s="604" t="s">
        <v>2217</v>
      </c>
    </row>
    <row r="2" spans="1:20" ht="16.5">
      <c r="A2" s="1832" t="s">
        <v>2218</v>
      </c>
      <c r="B2" s="1832"/>
      <c r="C2" s="603"/>
      <c r="D2" s="603"/>
      <c r="E2" s="603"/>
      <c r="F2" s="603"/>
      <c r="G2" s="603"/>
      <c r="H2" s="603"/>
      <c r="I2" s="603"/>
      <c r="J2" s="603"/>
      <c r="K2" s="603"/>
    </row>
    <row r="3" spans="1:20" ht="15.75">
      <c r="A3" s="607"/>
      <c r="B3" s="607"/>
      <c r="C3" s="607"/>
      <c r="D3" s="607"/>
      <c r="E3" s="607"/>
      <c r="F3" s="607"/>
      <c r="G3" s="607"/>
      <c r="H3" s="607"/>
      <c r="I3" s="607"/>
      <c r="J3" s="607"/>
      <c r="K3" s="607"/>
    </row>
    <row r="4" spans="1:20" s="609" customFormat="1" ht="24" customHeight="1">
      <c r="A4" s="1833" t="s">
        <v>2219</v>
      </c>
      <c r="B4" s="1833"/>
      <c r="C4" s="1833"/>
      <c r="D4" s="1833"/>
      <c r="E4" s="1833"/>
      <c r="F4" s="1833"/>
      <c r="G4" s="1833"/>
      <c r="H4" s="1833"/>
      <c r="I4" s="1833"/>
      <c r="J4" s="1833"/>
      <c r="K4" s="1833"/>
      <c r="L4" s="608"/>
      <c r="M4" s="608"/>
      <c r="N4" s="608"/>
    </row>
    <row r="5" spans="1:20" s="561" customFormat="1" ht="29.25" customHeight="1">
      <c r="A5" s="1834" t="s">
        <v>2505</v>
      </c>
      <c r="B5" s="1834"/>
      <c r="C5" s="1834"/>
      <c r="D5" s="1834"/>
      <c r="E5" s="1834"/>
      <c r="F5" s="1834"/>
      <c r="G5" s="1834"/>
      <c r="H5" s="1834"/>
      <c r="I5" s="1834"/>
      <c r="J5" s="1834"/>
      <c r="K5" s="1834"/>
      <c r="L5" s="610"/>
      <c r="M5" s="610"/>
      <c r="N5" s="610"/>
      <c r="O5" s="610"/>
      <c r="P5" s="610"/>
      <c r="Q5" s="610"/>
      <c r="R5" s="610"/>
      <c r="S5" s="610"/>
      <c r="T5" s="610"/>
    </row>
    <row r="6" spans="1:20" ht="31.5" customHeight="1">
      <c r="A6" s="611"/>
      <c r="B6" s="611"/>
      <c r="C6" s="611"/>
      <c r="D6" s="611"/>
      <c r="E6" s="611"/>
      <c r="F6" s="611"/>
      <c r="G6" s="1835" t="s">
        <v>2220</v>
      </c>
      <c r="H6" s="1835"/>
      <c r="I6" s="1835"/>
      <c r="J6" s="1835"/>
      <c r="K6" s="1835"/>
    </row>
    <row r="7" spans="1:20" s="613" customFormat="1" ht="41.25" customHeight="1">
      <c r="A7" s="1836" t="s">
        <v>3</v>
      </c>
      <c r="B7" s="1836" t="s">
        <v>2221</v>
      </c>
      <c r="C7" s="1830" t="s">
        <v>2222</v>
      </c>
      <c r="D7" s="1830" t="s">
        <v>2223</v>
      </c>
      <c r="E7" s="1830"/>
      <c r="F7" s="1830"/>
      <c r="G7" s="1830"/>
      <c r="H7" s="1830"/>
      <c r="I7" s="1830"/>
      <c r="J7" s="1830"/>
      <c r="K7" s="1830"/>
      <c r="L7" s="612"/>
      <c r="M7" s="612"/>
      <c r="N7" s="612"/>
    </row>
    <row r="8" spans="1:20" s="613" customFormat="1" ht="41.25" customHeight="1">
      <c r="A8" s="1836"/>
      <c r="B8" s="1836"/>
      <c r="C8" s="1830"/>
      <c r="D8" s="1830" t="s">
        <v>2224</v>
      </c>
      <c r="E8" s="1830" t="s">
        <v>2225</v>
      </c>
      <c r="F8" s="1830" t="s">
        <v>2226</v>
      </c>
      <c r="G8" s="1830"/>
      <c r="H8" s="1830"/>
      <c r="I8" s="1830" t="s">
        <v>2227</v>
      </c>
      <c r="J8" s="1830" t="s">
        <v>2228</v>
      </c>
      <c r="K8" s="1830" t="s">
        <v>2229</v>
      </c>
      <c r="L8" s="612"/>
      <c r="M8" s="612"/>
      <c r="N8" s="612"/>
    </row>
    <row r="9" spans="1:20" s="613" customFormat="1" ht="161.25" customHeight="1">
      <c r="A9" s="1836"/>
      <c r="B9" s="1836"/>
      <c r="C9" s="1836"/>
      <c r="D9" s="1830"/>
      <c r="E9" s="1830"/>
      <c r="F9" s="1147" t="s">
        <v>2230</v>
      </c>
      <c r="G9" s="1147" t="s">
        <v>2231</v>
      </c>
      <c r="H9" s="1147" t="s">
        <v>2232</v>
      </c>
      <c r="I9" s="1830"/>
      <c r="J9" s="1830"/>
      <c r="K9" s="1830"/>
      <c r="L9" s="612"/>
      <c r="M9" s="612"/>
      <c r="N9" s="612"/>
    </row>
    <row r="10" spans="1:20" s="613" customFormat="1" ht="15.75">
      <c r="A10" s="614" t="s">
        <v>5</v>
      </c>
      <c r="B10" s="614" t="s">
        <v>12</v>
      </c>
      <c r="C10" s="614">
        <v>1</v>
      </c>
      <c r="D10" s="614" t="s">
        <v>2233</v>
      </c>
      <c r="E10" s="614">
        <v>3</v>
      </c>
      <c r="F10" s="614">
        <v>4</v>
      </c>
      <c r="G10" s="614">
        <v>5</v>
      </c>
      <c r="H10" s="614">
        <v>6</v>
      </c>
      <c r="I10" s="614" t="s">
        <v>2234</v>
      </c>
      <c r="J10" s="614" t="s">
        <v>2235</v>
      </c>
      <c r="K10" s="614">
        <v>7</v>
      </c>
      <c r="L10" s="612"/>
      <c r="M10" s="612"/>
      <c r="N10" s="612"/>
    </row>
    <row r="11" spans="1:20" s="576" customFormat="1" ht="20.25" customHeight="1">
      <c r="A11" s="503" t="s">
        <v>13</v>
      </c>
      <c r="B11" s="554" t="s">
        <v>2236</v>
      </c>
      <c r="C11" s="615">
        <f>C12</f>
        <v>10216</v>
      </c>
      <c r="D11" s="615">
        <f t="shared" ref="D11:K11" si="0">D12</f>
        <v>172092</v>
      </c>
      <c r="E11" s="615">
        <f t="shared" si="0"/>
        <v>0</v>
      </c>
      <c r="F11" s="615">
        <f t="shared" si="0"/>
        <v>0</v>
      </c>
      <c r="G11" s="615">
        <f t="shared" si="0"/>
        <v>161699</v>
      </c>
      <c r="H11" s="615">
        <f t="shared" si="0"/>
        <v>10393</v>
      </c>
      <c r="I11" s="615">
        <f t="shared" si="0"/>
        <v>160652</v>
      </c>
      <c r="J11" s="615">
        <f t="shared" si="0"/>
        <v>978</v>
      </c>
      <c r="K11" s="615">
        <f t="shared" si="0"/>
        <v>0</v>
      </c>
    </row>
    <row r="12" spans="1:20" s="570" customFormat="1" ht="20.25" customHeight="1">
      <c r="A12" s="544">
        <v>1</v>
      </c>
      <c r="B12" s="541" t="s">
        <v>2237</v>
      </c>
      <c r="C12" s="615">
        <f>SUM(C13:C44)</f>
        <v>10216</v>
      </c>
      <c r="D12" s="615">
        <f t="shared" ref="D12:K12" si="1">SUM(D13:D44)</f>
        <v>172092</v>
      </c>
      <c r="E12" s="615">
        <f t="shared" si="1"/>
        <v>0</v>
      </c>
      <c r="F12" s="615">
        <f t="shared" si="1"/>
        <v>0</v>
      </c>
      <c r="G12" s="615">
        <f t="shared" si="1"/>
        <v>161699</v>
      </c>
      <c r="H12" s="615">
        <f t="shared" si="1"/>
        <v>10393</v>
      </c>
      <c r="I12" s="615">
        <f t="shared" si="1"/>
        <v>160652</v>
      </c>
      <c r="J12" s="615">
        <f t="shared" si="1"/>
        <v>978</v>
      </c>
      <c r="K12" s="615">
        <f t="shared" si="1"/>
        <v>0</v>
      </c>
    </row>
    <row r="13" spans="1:20" s="570" customFormat="1" ht="20.25" hidden="1" customHeight="1">
      <c r="A13" s="616" t="s">
        <v>2238</v>
      </c>
      <c r="B13" s="617" t="s">
        <v>2239</v>
      </c>
      <c r="C13" s="618"/>
      <c r="D13" s="619">
        <f t="shared" ref="D13:D44" si="2">E13+F13+G13+H13+K13</f>
        <v>720</v>
      </c>
      <c r="E13" s="620"/>
      <c r="F13" s="620"/>
      <c r="G13" s="620"/>
      <c r="H13" s="620">
        <v>720</v>
      </c>
      <c r="I13" s="620">
        <f>D13-C13</f>
        <v>720</v>
      </c>
      <c r="J13" s="620"/>
      <c r="K13" s="620"/>
    </row>
    <row r="14" spans="1:20" s="570" customFormat="1" ht="20.25" customHeight="1">
      <c r="A14" s="616" t="s">
        <v>2240</v>
      </c>
      <c r="B14" s="617" t="s">
        <v>2241</v>
      </c>
      <c r="C14" s="621">
        <v>47</v>
      </c>
      <c r="D14" s="619">
        <f t="shared" si="2"/>
        <v>376</v>
      </c>
      <c r="E14" s="620"/>
      <c r="F14" s="620"/>
      <c r="G14" s="620"/>
      <c r="H14" s="620">
        <v>376</v>
      </c>
      <c r="I14" s="620">
        <f t="shared" ref="I14:I44" si="3">D14-C14</f>
        <v>329</v>
      </c>
      <c r="J14" s="620"/>
      <c r="K14" s="620"/>
    </row>
    <row r="15" spans="1:20" s="570" customFormat="1" ht="20.25" customHeight="1">
      <c r="A15" s="616" t="s">
        <v>2242</v>
      </c>
      <c r="B15" s="617" t="s">
        <v>2243</v>
      </c>
      <c r="C15" s="621">
        <v>47</v>
      </c>
      <c r="D15" s="619">
        <f t="shared" si="2"/>
        <v>0</v>
      </c>
      <c r="E15" s="620"/>
      <c r="F15" s="620"/>
      <c r="G15" s="620"/>
      <c r="H15" s="620">
        <v>0</v>
      </c>
      <c r="I15" s="620"/>
      <c r="J15" s="620">
        <f t="shared" ref="J15:J43" si="4">C15-D15</f>
        <v>47</v>
      </c>
      <c r="K15" s="620"/>
      <c r="L15" s="569"/>
    </row>
    <row r="16" spans="1:20" s="570" customFormat="1" ht="20.25" customHeight="1">
      <c r="A16" s="616" t="s">
        <v>2244</v>
      </c>
      <c r="B16" s="617" t="s">
        <v>2245</v>
      </c>
      <c r="C16" s="621">
        <v>382</v>
      </c>
      <c r="D16" s="619">
        <f t="shared" si="2"/>
        <v>9079</v>
      </c>
      <c r="E16" s="620"/>
      <c r="F16" s="620"/>
      <c r="G16" s="620"/>
      <c r="H16" s="620">
        <v>9079</v>
      </c>
      <c r="I16" s="620">
        <f t="shared" si="3"/>
        <v>8697</v>
      </c>
      <c r="J16" s="620"/>
      <c r="K16" s="620"/>
    </row>
    <row r="17" spans="1:12" s="570" customFormat="1" ht="20.25" customHeight="1">
      <c r="A17" s="616" t="s">
        <v>2246</v>
      </c>
      <c r="B17" s="617" t="s">
        <v>2247</v>
      </c>
      <c r="C17" s="621">
        <v>41</v>
      </c>
      <c r="D17" s="619">
        <f t="shared" si="2"/>
        <v>110</v>
      </c>
      <c r="E17" s="620"/>
      <c r="F17" s="620"/>
      <c r="G17" s="620"/>
      <c r="H17" s="620">
        <v>110</v>
      </c>
      <c r="I17" s="620">
        <f t="shared" si="3"/>
        <v>69</v>
      </c>
      <c r="J17" s="620"/>
      <c r="K17" s="620"/>
    </row>
    <row r="18" spans="1:12" s="570" customFormat="1" ht="20.25" customHeight="1">
      <c r="A18" s="616" t="s">
        <v>2248</v>
      </c>
      <c r="B18" s="622" t="s">
        <v>2249</v>
      </c>
      <c r="C18" s="621">
        <v>76</v>
      </c>
      <c r="D18" s="619">
        <f t="shared" si="2"/>
        <v>108</v>
      </c>
      <c r="E18" s="620"/>
      <c r="F18" s="620"/>
      <c r="G18" s="620"/>
      <c r="H18" s="620">
        <v>108</v>
      </c>
      <c r="I18" s="620">
        <f t="shared" si="3"/>
        <v>32</v>
      </c>
      <c r="J18" s="620"/>
      <c r="K18" s="620"/>
    </row>
    <row r="19" spans="1:12" s="570" customFormat="1" ht="20.25" customHeight="1">
      <c r="A19" s="616" t="s">
        <v>2250</v>
      </c>
      <c r="B19" s="617" t="s">
        <v>2251</v>
      </c>
      <c r="C19" s="621">
        <v>0</v>
      </c>
      <c r="D19" s="619">
        <f t="shared" si="2"/>
        <v>0</v>
      </c>
      <c r="E19" s="620"/>
      <c r="F19" s="620"/>
      <c r="G19" s="620"/>
      <c r="H19" s="620">
        <v>0</v>
      </c>
      <c r="I19" s="620">
        <f t="shared" si="3"/>
        <v>0</v>
      </c>
      <c r="J19" s="620">
        <f t="shared" si="4"/>
        <v>0</v>
      </c>
      <c r="K19" s="620"/>
    </row>
    <row r="20" spans="1:12" s="570" customFormat="1" ht="20.25" customHeight="1">
      <c r="A20" s="616" t="s">
        <v>2252</v>
      </c>
      <c r="B20" s="623" t="s">
        <v>2253</v>
      </c>
      <c r="C20" s="621">
        <v>318</v>
      </c>
      <c r="D20" s="619">
        <f t="shared" si="2"/>
        <v>6355</v>
      </c>
      <c r="E20" s="620"/>
      <c r="F20" s="620"/>
      <c r="G20" s="620">
        <v>6355</v>
      </c>
      <c r="H20" s="620"/>
      <c r="I20" s="620">
        <f t="shared" si="3"/>
        <v>6037</v>
      </c>
      <c r="J20" s="620"/>
      <c r="K20" s="620"/>
    </row>
    <row r="21" spans="1:12" s="570" customFormat="1" ht="20.25" customHeight="1">
      <c r="A21" s="616" t="s">
        <v>2254</v>
      </c>
      <c r="B21" s="623" t="s">
        <v>2255</v>
      </c>
      <c r="C21" s="621">
        <v>1118</v>
      </c>
      <c r="D21" s="619">
        <f t="shared" si="2"/>
        <v>23898</v>
      </c>
      <c r="E21" s="620"/>
      <c r="F21" s="620"/>
      <c r="G21" s="620">
        <v>23898</v>
      </c>
      <c r="H21" s="620"/>
      <c r="I21" s="620">
        <f t="shared" si="3"/>
        <v>22780</v>
      </c>
      <c r="J21" s="620"/>
      <c r="K21" s="620"/>
    </row>
    <row r="22" spans="1:12" s="570" customFormat="1" ht="20.25" customHeight="1">
      <c r="A22" s="616" t="s">
        <v>229</v>
      </c>
      <c r="B22" s="623" t="s">
        <v>2256</v>
      </c>
      <c r="C22" s="621">
        <v>291</v>
      </c>
      <c r="D22" s="619">
        <f t="shared" si="2"/>
        <v>927</v>
      </c>
      <c r="E22" s="620"/>
      <c r="F22" s="620"/>
      <c r="G22" s="620">
        <v>927</v>
      </c>
      <c r="H22" s="620"/>
      <c r="I22" s="620">
        <f t="shared" si="3"/>
        <v>636</v>
      </c>
      <c r="J22" s="620"/>
      <c r="K22" s="620"/>
    </row>
    <row r="23" spans="1:12" s="570" customFormat="1" ht="20.25" customHeight="1">
      <c r="A23" s="616" t="s">
        <v>241</v>
      </c>
      <c r="B23" s="623" t="s">
        <v>2257</v>
      </c>
      <c r="C23" s="621">
        <v>520</v>
      </c>
      <c r="D23" s="619">
        <f t="shared" si="2"/>
        <v>26546</v>
      </c>
      <c r="E23" s="620"/>
      <c r="F23" s="620"/>
      <c r="G23" s="620">
        <v>26546</v>
      </c>
      <c r="H23" s="620"/>
      <c r="I23" s="620">
        <f t="shared" si="3"/>
        <v>26026</v>
      </c>
      <c r="J23" s="620"/>
      <c r="K23" s="620"/>
    </row>
    <row r="24" spans="1:12" s="570" customFormat="1" ht="20.25" customHeight="1">
      <c r="A24" s="616" t="s">
        <v>253</v>
      </c>
      <c r="B24" s="623" t="s">
        <v>2258</v>
      </c>
      <c r="C24" s="621">
        <v>462</v>
      </c>
      <c r="D24" s="619">
        <f t="shared" si="2"/>
        <v>8476</v>
      </c>
      <c r="E24" s="620"/>
      <c r="F24" s="620"/>
      <c r="G24" s="620">
        <v>8476</v>
      </c>
      <c r="H24" s="620"/>
      <c r="I24" s="620">
        <f t="shared" si="3"/>
        <v>8014</v>
      </c>
      <c r="J24" s="620"/>
      <c r="K24" s="620"/>
    </row>
    <row r="25" spans="1:12" s="570" customFormat="1" ht="20.25" customHeight="1">
      <c r="A25" s="616" t="s">
        <v>266</v>
      </c>
      <c r="B25" s="623" t="s">
        <v>2259</v>
      </c>
      <c r="C25" s="621">
        <v>382</v>
      </c>
      <c r="D25" s="619">
        <f t="shared" si="2"/>
        <v>903</v>
      </c>
      <c r="E25" s="620"/>
      <c r="F25" s="620"/>
      <c r="G25" s="620">
        <v>903</v>
      </c>
      <c r="H25" s="620"/>
      <c r="I25" s="620">
        <f t="shared" si="3"/>
        <v>521</v>
      </c>
      <c r="J25" s="620"/>
      <c r="K25" s="620"/>
      <c r="L25" s="569">
        <v>0</v>
      </c>
    </row>
    <row r="26" spans="1:12" s="570" customFormat="1" ht="20.25" customHeight="1">
      <c r="A26" s="616" t="s">
        <v>273</v>
      </c>
      <c r="B26" s="623" t="s">
        <v>2260</v>
      </c>
      <c r="C26" s="621">
        <v>587</v>
      </c>
      <c r="D26" s="619">
        <f t="shared" si="2"/>
        <v>18488</v>
      </c>
      <c r="E26" s="620"/>
      <c r="F26" s="620"/>
      <c r="G26" s="620">
        <v>18488</v>
      </c>
      <c r="H26" s="620"/>
      <c r="I26" s="620">
        <f t="shared" si="3"/>
        <v>17901</v>
      </c>
      <c r="J26" s="620"/>
      <c r="K26" s="620"/>
    </row>
    <row r="27" spans="1:12" s="570" customFormat="1" ht="20.25" customHeight="1">
      <c r="A27" s="616" t="s">
        <v>280</v>
      </c>
      <c r="B27" s="623" t="s">
        <v>2261</v>
      </c>
      <c r="C27" s="621">
        <v>502</v>
      </c>
      <c r="D27" s="619">
        <f t="shared" si="2"/>
        <v>2555</v>
      </c>
      <c r="E27" s="620"/>
      <c r="F27" s="620"/>
      <c r="G27" s="620">
        <v>2555</v>
      </c>
      <c r="H27" s="620"/>
      <c r="I27" s="620">
        <f t="shared" si="3"/>
        <v>2053</v>
      </c>
      <c r="J27" s="620"/>
      <c r="K27" s="620"/>
    </row>
    <row r="28" spans="1:12" s="570" customFormat="1" ht="20.25" customHeight="1">
      <c r="A28" s="616" t="s">
        <v>290</v>
      </c>
      <c r="B28" s="623" t="s">
        <v>2262</v>
      </c>
      <c r="C28" s="621">
        <v>351</v>
      </c>
      <c r="D28" s="619">
        <f t="shared" si="2"/>
        <v>1548</v>
      </c>
      <c r="E28" s="620"/>
      <c r="F28" s="620"/>
      <c r="G28" s="620">
        <v>1548</v>
      </c>
      <c r="H28" s="620"/>
      <c r="I28" s="620">
        <f t="shared" si="3"/>
        <v>1197</v>
      </c>
      <c r="J28" s="620"/>
      <c r="K28" s="620"/>
    </row>
    <row r="29" spans="1:12" s="570" customFormat="1" ht="20.25" customHeight="1">
      <c r="A29" s="616" t="s">
        <v>299</v>
      </c>
      <c r="B29" s="623" t="s">
        <v>2263</v>
      </c>
      <c r="C29" s="621">
        <v>133</v>
      </c>
      <c r="D29" s="619">
        <f t="shared" si="2"/>
        <v>297</v>
      </c>
      <c r="E29" s="620"/>
      <c r="F29" s="620"/>
      <c r="G29" s="620">
        <v>297</v>
      </c>
      <c r="H29" s="620"/>
      <c r="I29" s="620">
        <f t="shared" si="3"/>
        <v>164</v>
      </c>
      <c r="J29" s="620"/>
      <c r="K29" s="620"/>
    </row>
    <row r="30" spans="1:12" s="570" customFormat="1" ht="20.25" customHeight="1">
      <c r="A30" s="616" t="s">
        <v>309</v>
      </c>
      <c r="B30" s="623" t="s">
        <v>2264</v>
      </c>
      <c r="C30" s="621">
        <v>425</v>
      </c>
      <c r="D30" s="619">
        <f t="shared" si="2"/>
        <v>3675</v>
      </c>
      <c r="E30" s="620"/>
      <c r="F30" s="620"/>
      <c r="G30" s="620">
        <v>3675</v>
      </c>
      <c r="H30" s="620"/>
      <c r="I30" s="620">
        <f t="shared" si="3"/>
        <v>3250</v>
      </c>
      <c r="J30" s="620"/>
      <c r="K30" s="620"/>
    </row>
    <row r="31" spans="1:12" s="570" customFormat="1" ht="20.25" customHeight="1">
      <c r="A31" s="616" t="s">
        <v>319</v>
      </c>
      <c r="B31" s="623" t="s">
        <v>2265</v>
      </c>
      <c r="C31" s="621">
        <v>153</v>
      </c>
      <c r="D31" s="619">
        <f t="shared" si="2"/>
        <v>1260</v>
      </c>
      <c r="E31" s="620"/>
      <c r="F31" s="620"/>
      <c r="G31" s="620">
        <v>1260</v>
      </c>
      <c r="H31" s="620"/>
      <c r="I31" s="620">
        <f t="shared" si="3"/>
        <v>1107</v>
      </c>
      <c r="J31" s="620"/>
      <c r="K31" s="620"/>
    </row>
    <row r="32" spans="1:12" s="570" customFormat="1" ht="20.25" customHeight="1">
      <c r="A32" s="616" t="s">
        <v>330</v>
      </c>
      <c r="B32" s="623" t="s">
        <v>2266</v>
      </c>
      <c r="C32" s="621">
        <v>71</v>
      </c>
      <c r="D32" s="619">
        <f t="shared" si="2"/>
        <v>17</v>
      </c>
      <c r="E32" s="620"/>
      <c r="F32" s="620"/>
      <c r="G32" s="620">
        <v>17</v>
      </c>
      <c r="H32" s="620"/>
      <c r="I32" s="620"/>
      <c r="J32" s="620">
        <f t="shared" si="4"/>
        <v>54</v>
      </c>
      <c r="K32" s="620"/>
      <c r="L32" s="569">
        <f>C32-D32</f>
        <v>54</v>
      </c>
    </row>
    <row r="33" spans="1:20" s="570" customFormat="1" ht="20.25" customHeight="1">
      <c r="A33" s="616" t="s">
        <v>341</v>
      </c>
      <c r="B33" s="623" t="s">
        <v>2267</v>
      </c>
      <c r="C33" s="621">
        <v>138</v>
      </c>
      <c r="D33" s="619">
        <f t="shared" si="2"/>
        <v>2340</v>
      </c>
      <c r="E33" s="620"/>
      <c r="F33" s="620"/>
      <c r="G33" s="620">
        <v>2340</v>
      </c>
      <c r="H33" s="620"/>
      <c r="I33" s="620"/>
      <c r="J33" s="620"/>
      <c r="K33" s="620"/>
    </row>
    <row r="34" spans="1:20" s="570" customFormat="1" ht="20.25" customHeight="1">
      <c r="A34" s="616" t="s">
        <v>353</v>
      </c>
      <c r="B34" s="623" t="s">
        <v>2268</v>
      </c>
      <c r="C34" s="621">
        <v>107</v>
      </c>
      <c r="D34" s="619">
        <f t="shared" si="2"/>
        <v>903</v>
      </c>
      <c r="E34" s="620"/>
      <c r="F34" s="620"/>
      <c r="G34" s="620">
        <v>903</v>
      </c>
      <c r="H34" s="620"/>
      <c r="I34" s="620">
        <f t="shared" si="3"/>
        <v>796</v>
      </c>
      <c r="J34" s="620"/>
      <c r="K34" s="620"/>
      <c r="L34" s="569">
        <f>D34-C34</f>
        <v>796</v>
      </c>
    </row>
    <row r="35" spans="1:20" s="570" customFormat="1" ht="20.25" customHeight="1">
      <c r="A35" s="616" t="s">
        <v>362</v>
      </c>
      <c r="B35" s="623" t="s">
        <v>2269</v>
      </c>
      <c r="C35" s="621">
        <v>476</v>
      </c>
      <c r="D35" s="619">
        <f t="shared" si="2"/>
        <v>3557</v>
      </c>
      <c r="E35" s="620"/>
      <c r="F35" s="620"/>
      <c r="G35" s="620">
        <v>3557</v>
      </c>
      <c r="H35" s="620"/>
      <c r="I35" s="620">
        <f t="shared" si="3"/>
        <v>3081</v>
      </c>
      <c r="J35" s="620"/>
      <c r="K35" s="620"/>
    </row>
    <row r="36" spans="1:20" s="570" customFormat="1" ht="20.25" customHeight="1">
      <c r="A36" s="616" t="s">
        <v>373</v>
      </c>
      <c r="B36" s="623" t="s">
        <v>2270</v>
      </c>
      <c r="C36" s="621">
        <v>334</v>
      </c>
      <c r="D36" s="619">
        <f t="shared" si="2"/>
        <v>2708</v>
      </c>
      <c r="E36" s="620"/>
      <c r="F36" s="620"/>
      <c r="G36" s="620">
        <v>2708</v>
      </c>
      <c r="H36" s="620"/>
      <c r="I36" s="620">
        <f t="shared" si="3"/>
        <v>2374</v>
      </c>
      <c r="J36" s="620"/>
      <c r="K36" s="620"/>
    </row>
    <row r="37" spans="1:20" s="570" customFormat="1" ht="20.25" customHeight="1">
      <c r="A37" s="616" t="s">
        <v>383</v>
      </c>
      <c r="B37" s="623" t="s">
        <v>2271</v>
      </c>
      <c r="C37" s="621">
        <v>308</v>
      </c>
      <c r="D37" s="619">
        <f t="shared" si="2"/>
        <v>2674</v>
      </c>
      <c r="E37" s="620"/>
      <c r="F37" s="620"/>
      <c r="G37" s="620">
        <v>2674</v>
      </c>
      <c r="H37" s="620"/>
      <c r="I37" s="620">
        <f t="shared" si="3"/>
        <v>2366</v>
      </c>
      <c r="J37" s="620"/>
      <c r="K37" s="620"/>
    </row>
    <row r="38" spans="1:20" s="570" customFormat="1" ht="20.25" customHeight="1">
      <c r="A38" s="616" t="s">
        <v>393</v>
      </c>
      <c r="B38" s="623" t="s">
        <v>2272</v>
      </c>
      <c r="C38" s="621">
        <v>239</v>
      </c>
      <c r="D38" s="619">
        <f t="shared" si="2"/>
        <v>53</v>
      </c>
      <c r="E38" s="620"/>
      <c r="F38" s="620"/>
      <c r="G38" s="620">
        <v>53</v>
      </c>
      <c r="H38" s="620"/>
      <c r="I38" s="620"/>
      <c r="J38" s="620">
        <f t="shared" si="4"/>
        <v>186</v>
      </c>
      <c r="K38" s="620"/>
    </row>
    <row r="39" spans="1:20" s="570" customFormat="1" ht="20.25" customHeight="1">
      <c r="A39" s="616" t="s">
        <v>399</v>
      </c>
      <c r="B39" s="623" t="s">
        <v>2273</v>
      </c>
      <c r="C39" s="621">
        <v>243</v>
      </c>
      <c r="D39" s="619">
        <f t="shared" si="2"/>
        <v>1161</v>
      </c>
      <c r="E39" s="620"/>
      <c r="F39" s="620"/>
      <c r="G39" s="620">
        <v>1161</v>
      </c>
      <c r="H39" s="620"/>
      <c r="I39" s="620">
        <f t="shared" si="3"/>
        <v>918</v>
      </c>
      <c r="J39" s="620"/>
      <c r="K39" s="620"/>
    </row>
    <row r="40" spans="1:20" s="570" customFormat="1" ht="20.25" customHeight="1">
      <c r="A40" s="616" t="s">
        <v>409</v>
      </c>
      <c r="B40" s="623" t="s">
        <v>2274</v>
      </c>
      <c r="C40" s="621">
        <v>378</v>
      </c>
      <c r="D40" s="619">
        <f t="shared" si="2"/>
        <v>22</v>
      </c>
      <c r="E40" s="620"/>
      <c r="F40" s="620"/>
      <c r="G40" s="620">
        <v>22</v>
      </c>
      <c r="H40" s="620"/>
      <c r="I40" s="620"/>
      <c r="J40" s="620">
        <f t="shared" si="4"/>
        <v>356</v>
      </c>
      <c r="K40" s="620"/>
      <c r="L40" s="569">
        <f>C40-D40</f>
        <v>356</v>
      </c>
    </row>
    <row r="41" spans="1:20" s="570" customFormat="1" ht="20.25" customHeight="1">
      <c r="A41" s="616" t="s">
        <v>420</v>
      </c>
      <c r="B41" s="623" t="s">
        <v>2275</v>
      </c>
      <c r="C41" s="621">
        <v>172</v>
      </c>
      <c r="D41" s="619">
        <f t="shared" si="2"/>
        <v>36</v>
      </c>
      <c r="E41" s="620"/>
      <c r="F41" s="620"/>
      <c r="G41" s="620">
        <v>36</v>
      </c>
      <c r="H41" s="620"/>
      <c r="I41" s="620"/>
      <c r="J41" s="620">
        <f t="shared" si="4"/>
        <v>136</v>
      </c>
      <c r="K41" s="620"/>
      <c r="L41" s="569">
        <f>C41</f>
        <v>172</v>
      </c>
    </row>
    <row r="42" spans="1:20" s="570" customFormat="1" ht="20.25" customHeight="1">
      <c r="A42" s="616" t="s">
        <v>430</v>
      </c>
      <c r="B42" s="623" t="s">
        <v>2276</v>
      </c>
      <c r="C42" s="621">
        <v>187</v>
      </c>
      <c r="D42" s="619">
        <f t="shared" si="2"/>
        <v>10</v>
      </c>
      <c r="E42" s="620"/>
      <c r="F42" s="620"/>
      <c r="G42" s="620">
        <v>10</v>
      </c>
      <c r="H42" s="620"/>
      <c r="I42" s="620"/>
      <c r="J42" s="620">
        <f t="shared" si="4"/>
        <v>177</v>
      </c>
      <c r="K42" s="620"/>
      <c r="L42" s="569">
        <f>C42-D42</f>
        <v>177</v>
      </c>
    </row>
    <row r="43" spans="1:20" s="570" customFormat="1" ht="20.25" customHeight="1">
      <c r="A43" s="616" t="s">
        <v>436</v>
      </c>
      <c r="B43" s="623" t="s">
        <v>2277</v>
      </c>
      <c r="C43" s="621">
        <v>22</v>
      </c>
      <c r="D43" s="619">
        <f t="shared" si="2"/>
        <v>0</v>
      </c>
      <c r="E43" s="620"/>
      <c r="F43" s="620"/>
      <c r="G43" s="620">
        <v>0</v>
      </c>
      <c r="H43" s="620"/>
      <c r="I43" s="620"/>
      <c r="J43" s="620">
        <f t="shared" si="4"/>
        <v>22</v>
      </c>
      <c r="K43" s="620"/>
      <c r="L43" s="602">
        <f>L15+L25+L32+L34+L41+L42+L40</f>
        <v>1555</v>
      </c>
    </row>
    <row r="44" spans="1:20" s="605" customFormat="1" ht="15.75">
      <c r="A44" s="616" t="s">
        <v>444</v>
      </c>
      <c r="B44" s="624" t="s">
        <v>2278</v>
      </c>
      <c r="C44" s="621">
        <v>1706</v>
      </c>
      <c r="D44" s="619">
        <f t="shared" si="2"/>
        <v>53290</v>
      </c>
      <c r="E44" s="625"/>
      <c r="F44" s="625"/>
      <c r="G44" s="620">
        <v>53290</v>
      </c>
      <c r="H44" s="625"/>
      <c r="I44" s="620">
        <f t="shared" si="3"/>
        <v>51584</v>
      </c>
      <c r="J44" s="620"/>
      <c r="K44" s="626"/>
      <c r="L44" s="605">
        <v>0</v>
      </c>
      <c r="O44" s="606"/>
      <c r="P44" s="606"/>
      <c r="Q44" s="606"/>
      <c r="R44" s="606"/>
      <c r="S44" s="606"/>
      <c r="T44" s="606"/>
    </row>
    <row r="45" spans="1:20" s="605" customFormat="1" ht="15.75">
      <c r="A45" s="627"/>
      <c r="B45" s="628"/>
      <c r="C45" s="629"/>
      <c r="D45" s="630"/>
      <c r="E45" s="631"/>
      <c r="F45" s="631"/>
      <c r="G45" s="298"/>
      <c r="H45" s="631"/>
      <c r="I45" s="1838" t="s">
        <v>22</v>
      </c>
      <c r="J45" s="1838"/>
      <c r="K45" s="1838"/>
      <c r="O45" s="606"/>
      <c r="P45" s="606"/>
      <c r="Q45" s="606"/>
      <c r="R45" s="606"/>
      <c r="S45" s="606"/>
      <c r="T45" s="606"/>
    </row>
    <row r="46" spans="1:20" s="605" customFormat="1" ht="18.75">
      <c r="A46" s="632"/>
      <c r="B46" s="632"/>
      <c r="C46" s="632"/>
      <c r="D46" s="632"/>
      <c r="E46" s="632"/>
      <c r="F46" s="1163"/>
      <c r="G46" s="1163"/>
      <c r="H46" s="1163"/>
      <c r="I46" s="1837" t="s">
        <v>2279</v>
      </c>
      <c r="J46" s="1837"/>
      <c r="K46" s="1837"/>
      <c r="O46" s="606"/>
      <c r="P46" s="606"/>
      <c r="Q46" s="606"/>
      <c r="R46" s="606"/>
      <c r="S46" s="606"/>
      <c r="T46" s="606"/>
    </row>
    <row r="47" spans="1:20" s="605" customFormat="1" ht="18.75">
      <c r="A47" s="633"/>
      <c r="B47" s="633"/>
      <c r="C47" s="633"/>
      <c r="D47" s="633"/>
      <c r="E47" s="633"/>
      <c r="F47" s="1149"/>
      <c r="G47" s="1149"/>
      <c r="H47" s="1149"/>
      <c r="I47" s="1149"/>
      <c r="J47" s="1149"/>
      <c r="K47" s="1148"/>
      <c r="O47" s="606"/>
      <c r="P47" s="606"/>
      <c r="Q47" s="606"/>
      <c r="R47" s="606"/>
      <c r="S47" s="606"/>
      <c r="T47" s="606"/>
    </row>
    <row r="48" spans="1:20" s="605" customFormat="1" ht="15.75">
      <c r="A48" s="1831"/>
      <c r="B48" s="1831"/>
      <c r="C48" s="1148"/>
      <c r="D48" s="1148"/>
      <c r="E48" s="1148"/>
      <c r="F48" s="1148"/>
      <c r="G48" s="1148"/>
      <c r="H48" s="1148"/>
      <c r="I48" s="1148"/>
      <c r="J48" s="1148"/>
      <c r="K48" s="1148"/>
      <c r="O48" s="606"/>
      <c r="P48" s="606"/>
      <c r="Q48" s="606"/>
      <c r="R48" s="606"/>
      <c r="S48" s="606"/>
      <c r="T48" s="606"/>
    </row>
    <row r="49" spans="1:20" s="605" customFormat="1" ht="15.75">
      <c r="A49" s="1831"/>
      <c r="B49" s="1831"/>
      <c r="C49" s="1148"/>
      <c r="D49" s="1148"/>
      <c r="E49" s="1148"/>
      <c r="F49" s="1148"/>
      <c r="G49" s="1148"/>
      <c r="H49" s="1148"/>
      <c r="I49" s="1148"/>
      <c r="J49" s="1148"/>
      <c r="K49" s="1148"/>
      <c r="O49" s="606"/>
      <c r="P49" s="606"/>
      <c r="Q49" s="606"/>
      <c r="R49" s="606"/>
      <c r="S49" s="606"/>
      <c r="T49" s="606"/>
    </row>
    <row r="50" spans="1:20" ht="15.75">
      <c r="A50" s="1148"/>
      <c r="B50" s="1148"/>
      <c r="C50" s="1148"/>
      <c r="D50" s="1148"/>
      <c r="E50" s="1148"/>
      <c r="F50" s="1148"/>
      <c r="G50" s="1148"/>
      <c r="H50" s="1148"/>
      <c r="I50" s="1148"/>
      <c r="J50" s="1148"/>
      <c r="K50" s="1148"/>
    </row>
    <row r="51" spans="1:20" ht="15.75">
      <c r="A51" s="1148"/>
      <c r="B51" s="1148"/>
      <c r="C51" s="1148"/>
      <c r="D51" s="1148"/>
      <c r="E51" s="1148"/>
      <c r="F51" s="1148"/>
      <c r="G51" s="1148"/>
      <c r="H51" s="1148"/>
      <c r="I51" s="1148"/>
      <c r="J51" s="1148"/>
      <c r="K51" s="1148"/>
    </row>
    <row r="52" spans="1:20" ht="15.75">
      <c r="A52" s="1148"/>
      <c r="B52" s="1148"/>
      <c r="C52" s="1148"/>
      <c r="D52" s="1148"/>
      <c r="E52" s="1148"/>
      <c r="F52" s="1148"/>
      <c r="G52" s="1148"/>
      <c r="H52" s="1148"/>
      <c r="I52" s="1148"/>
      <c r="J52" s="1148"/>
      <c r="K52" s="1148"/>
    </row>
    <row r="53" spans="1:20" ht="15.75">
      <c r="A53" s="1148"/>
      <c r="B53" s="1148"/>
      <c r="C53" s="1148"/>
      <c r="D53" s="1148"/>
      <c r="E53" s="1148"/>
      <c r="F53" s="1148"/>
      <c r="G53" s="1148"/>
      <c r="H53" s="1148"/>
      <c r="I53" s="1148"/>
      <c r="J53" s="1148"/>
      <c r="K53" s="1148"/>
    </row>
    <row r="54" spans="1:20" ht="15.75">
      <c r="A54" s="1148"/>
      <c r="B54" s="1148"/>
      <c r="C54" s="1148"/>
      <c r="D54" s="1148"/>
      <c r="E54" s="1148"/>
      <c r="F54" s="1148"/>
      <c r="G54" s="1148"/>
      <c r="H54" s="1148"/>
      <c r="I54" s="1148"/>
      <c r="J54" s="1148"/>
      <c r="K54" s="1148"/>
    </row>
    <row r="55" spans="1:20" ht="15.75">
      <c r="A55" s="1148"/>
      <c r="B55" s="1148"/>
      <c r="C55" s="1148"/>
      <c r="D55" s="1148"/>
      <c r="E55" s="1148"/>
      <c r="F55" s="1148"/>
      <c r="G55" s="1148"/>
      <c r="H55" s="1148"/>
      <c r="I55" s="1148"/>
      <c r="J55" s="1148"/>
      <c r="K55" s="1148"/>
    </row>
    <row r="56" spans="1:20" ht="15.75">
      <c r="A56" s="1148"/>
      <c r="B56" s="1148"/>
      <c r="C56" s="1148"/>
      <c r="D56" s="1148"/>
      <c r="E56" s="1148"/>
      <c r="F56" s="1148"/>
      <c r="G56" s="1148"/>
      <c r="H56" s="1148"/>
      <c r="I56" s="1148"/>
      <c r="J56" s="1148"/>
      <c r="K56" s="1148"/>
      <c r="L56" s="606"/>
      <c r="M56" s="606"/>
      <c r="N56" s="606"/>
    </row>
    <row r="57" spans="1:20" ht="15.75">
      <c r="A57" s="1148"/>
      <c r="B57" s="1148"/>
      <c r="C57" s="1148"/>
      <c r="D57" s="1148"/>
      <c r="E57" s="1148"/>
      <c r="F57" s="1148"/>
      <c r="G57" s="1148"/>
      <c r="H57" s="1148"/>
      <c r="I57" s="1148"/>
      <c r="J57" s="1148"/>
      <c r="K57" s="1148"/>
      <c r="L57" s="606"/>
      <c r="M57" s="606"/>
      <c r="N57" s="606"/>
    </row>
    <row r="58" spans="1:20" ht="15.75">
      <c r="A58" s="1148"/>
      <c r="B58" s="1148"/>
      <c r="C58" s="1148"/>
      <c r="D58" s="1148"/>
      <c r="E58" s="1148"/>
      <c r="F58" s="1148"/>
      <c r="G58" s="1148"/>
      <c r="H58" s="1148"/>
      <c r="I58" s="1148"/>
      <c r="J58" s="1148"/>
      <c r="K58" s="1148"/>
      <c r="L58" s="606"/>
      <c r="M58" s="606"/>
      <c r="N58" s="606"/>
    </row>
    <row r="59" spans="1:20" ht="15.75">
      <c r="A59" s="1148"/>
      <c r="B59" s="1148"/>
      <c r="C59" s="1148"/>
      <c r="D59" s="1148"/>
      <c r="E59" s="1148"/>
      <c r="F59" s="1148"/>
      <c r="G59" s="1148"/>
      <c r="H59" s="1148"/>
      <c r="I59" s="1148"/>
      <c r="J59" s="1148"/>
      <c r="K59" s="1148"/>
      <c r="L59" s="606"/>
      <c r="M59" s="606"/>
      <c r="N59" s="606"/>
    </row>
    <row r="60" spans="1:20" ht="15.75">
      <c r="A60" s="1148"/>
      <c r="B60" s="1148"/>
      <c r="C60" s="1148"/>
      <c r="D60" s="1148"/>
      <c r="E60" s="1148"/>
      <c r="F60" s="1148"/>
      <c r="G60" s="1148"/>
      <c r="H60" s="1148"/>
      <c r="I60" s="1148"/>
      <c r="J60" s="1148"/>
      <c r="K60" s="1148"/>
      <c r="L60" s="606"/>
      <c r="M60" s="606"/>
      <c r="N60" s="606"/>
    </row>
    <row r="61" spans="1:20" ht="15.75">
      <c r="A61" s="1148"/>
      <c r="B61" s="1148"/>
      <c r="C61" s="1148"/>
      <c r="D61" s="1148"/>
      <c r="E61" s="1148"/>
      <c r="F61" s="1148"/>
      <c r="G61" s="1148"/>
      <c r="H61" s="1148"/>
      <c r="I61" s="1148"/>
      <c r="J61" s="1148"/>
      <c r="K61" s="1148"/>
      <c r="L61" s="606"/>
      <c r="M61" s="606"/>
      <c r="N61" s="606"/>
    </row>
    <row r="62" spans="1:20" ht="15.75">
      <c r="A62" s="1148"/>
      <c r="B62" s="1148"/>
      <c r="C62" s="1148"/>
      <c r="D62" s="1148"/>
      <c r="E62" s="1148"/>
      <c r="F62" s="1148"/>
      <c r="G62" s="1148"/>
      <c r="H62" s="1148"/>
      <c r="I62" s="1148"/>
      <c r="J62" s="1148"/>
      <c r="K62" s="1148"/>
      <c r="L62" s="606"/>
      <c r="M62" s="606"/>
      <c r="N62" s="606"/>
    </row>
    <row r="63" spans="1:20" ht="15.75">
      <c r="A63" s="1148"/>
      <c r="B63" s="1148"/>
      <c r="C63" s="1148"/>
      <c r="D63" s="1148"/>
      <c r="E63" s="1148"/>
      <c r="F63" s="1148"/>
      <c r="G63" s="1148"/>
      <c r="H63" s="1148"/>
      <c r="I63" s="1148"/>
      <c r="J63" s="1148"/>
      <c r="K63" s="1148"/>
      <c r="L63" s="606"/>
      <c r="M63" s="606"/>
      <c r="N63" s="606"/>
    </row>
    <row r="64" spans="1:20" ht="15.75">
      <c r="A64" s="1148"/>
      <c r="B64" s="1148"/>
      <c r="C64" s="1148"/>
      <c r="D64" s="1148"/>
      <c r="E64" s="1148"/>
      <c r="F64" s="1148"/>
      <c r="G64" s="1148"/>
      <c r="H64" s="1148"/>
      <c r="I64" s="1148"/>
      <c r="J64" s="1148"/>
      <c r="K64" s="1148"/>
      <c r="L64" s="606"/>
      <c r="M64" s="606"/>
      <c r="N64" s="606"/>
    </row>
    <row r="65" spans="1:14" ht="15.75">
      <c r="A65" s="1148"/>
      <c r="B65" s="1148"/>
      <c r="C65" s="1148"/>
      <c r="D65" s="1148"/>
      <c r="E65" s="1148"/>
      <c r="F65" s="1148"/>
      <c r="G65" s="1148"/>
      <c r="H65" s="1148"/>
      <c r="I65" s="1148"/>
      <c r="J65" s="1148"/>
      <c r="K65" s="1148"/>
      <c r="L65" s="606"/>
      <c r="M65" s="606"/>
      <c r="N65" s="606"/>
    </row>
    <row r="66" spans="1:14" ht="15.75">
      <c r="A66" s="1148"/>
      <c r="B66" s="1148"/>
      <c r="C66" s="1148"/>
      <c r="D66" s="1148"/>
      <c r="E66" s="1148"/>
      <c r="F66" s="1148"/>
      <c r="G66" s="1148"/>
      <c r="H66" s="1148"/>
      <c r="I66" s="1148"/>
      <c r="J66" s="1148"/>
      <c r="K66" s="1148"/>
      <c r="L66" s="606"/>
      <c r="M66" s="606"/>
      <c r="N66" s="606"/>
    </row>
    <row r="67" spans="1:14" ht="15.75">
      <c r="A67" s="1148"/>
      <c r="B67" s="1148"/>
      <c r="C67" s="1148"/>
      <c r="D67" s="1148"/>
      <c r="E67" s="1148"/>
      <c r="F67" s="1148"/>
      <c r="G67" s="1148"/>
      <c r="H67" s="1148"/>
      <c r="I67" s="1148"/>
      <c r="J67" s="1148"/>
      <c r="K67" s="1148"/>
      <c r="L67" s="606"/>
      <c r="M67" s="606"/>
      <c r="N67" s="606"/>
    </row>
    <row r="68" spans="1:14" ht="15.75">
      <c r="A68" s="1148"/>
      <c r="B68" s="1148"/>
      <c r="C68" s="1148"/>
      <c r="D68" s="1148"/>
      <c r="E68" s="1148"/>
      <c r="F68" s="1148"/>
      <c r="G68" s="1148"/>
      <c r="H68" s="1148"/>
      <c r="I68" s="1148"/>
      <c r="J68" s="1148"/>
      <c r="K68" s="1148"/>
      <c r="L68" s="606"/>
      <c r="M68" s="606"/>
      <c r="N68" s="606"/>
    </row>
    <row r="69" spans="1:14" ht="15.75">
      <c r="A69" s="1148"/>
      <c r="B69" s="1148"/>
      <c r="C69" s="1148"/>
      <c r="D69" s="1148"/>
      <c r="E69" s="1148"/>
      <c r="F69" s="1148"/>
      <c r="G69" s="1148"/>
      <c r="H69" s="1148"/>
      <c r="I69" s="1148"/>
      <c r="J69" s="1148"/>
      <c r="K69" s="1148"/>
      <c r="L69" s="606"/>
      <c r="M69" s="606"/>
      <c r="N69" s="606"/>
    </row>
    <row r="70" spans="1:14" ht="15.75">
      <c r="A70" s="1148"/>
      <c r="B70" s="1148"/>
      <c r="C70" s="1148"/>
      <c r="D70" s="1148"/>
      <c r="E70" s="1148"/>
      <c r="F70" s="1148"/>
      <c r="G70" s="1148"/>
      <c r="H70" s="1148"/>
      <c r="I70" s="1148"/>
      <c r="J70" s="1148"/>
      <c r="K70" s="1148"/>
      <c r="L70" s="606"/>
      <c r="M70" s="606"/>
      <c r="N70" s="606"/>
    </row>
    <row r="71" spans="1:14" ht="15.75">
      <c r="A71" s="1148"/>
      <c r="B71" s="1148"/>
      <c r="C71" s="1148"/>
      <c r="D71" s="1148"/>
      <c r="E71" s="1148"/>
      <c r="F71" s="1148"/>
      <c r="G71" s="1148"/>
      <c r="H71" s="1148"/>
      <c r="I71" s="1148"/>
      <c r="J71" s="1148"/>
      <c r="K71" s="1148"/>
      <c r="L71" s="606"/>
      <c r="M71" s="606"/>
      <c r="N71" s="606"/>
    </row>
    <row r="72" spans="1:14" ht="15.75">
      <c r="A72" s="1148"/>
      <c r="B72" s="1148"/>
      <c r="C72" s="1148"/>
      <c r="D72" s="1148"/>
      <c r="E72" s="1148"/>
      <c r="F72" s="1148"/>
      <c r="G72" s="1148"/>
      <c r="H72" s="1148"/>
      <c r="I72" s="1148"/>
      <c r="J72" s="1148"/>
      <c r="K72" s="1148"/>
      <c r="L72" s="606"/>
      <c r="M72" s="606"/>
      <c r="N72" s="606"/>
    </row>
    <row r="73" spans="1:14" ht="15.75">
      <c r="A73" s="1148"/>
      <c r="B73" s="1148"/>
      <c r="C73" s="1148"/>
      <c r="D73" s="1148"/>
      <c r="E73" s="1148"/>
      <c r="F73" s="1148"/>
      <c r="G73" s="1148"/>
      <c r="H73" s="1148"/>
      <c r="I73" s="1148"/>
      <c r="J73" s="1148"/>
      <c r="K73" s="1148"/>
      <c r="L73" s="606"/>
      <c r="M73" s="606"/>
      <c r="N73" s="606"/>
    </row>
    <row r="74" spans="1:14" ht="15.75">
      <c r="A74" s="1148"/>
      <c r="B74" s="1148"/>
      <c r="C74" s="1148"/>
      <c r="D74" s="1148"/>
      <c r="E74" s="1148"/>
      <c r="F74" s="1148"/>
      <c r="G74" s="1148"/>
      <c r="H74" s="1148"/>
      <c r="I74" s="1148"/>
      <c r="J74" s="1148"/>
      <c r="K74" s="1148"/>
      <c r="L74" s="606"/>
      <c r="M74" s="606"/>
      <c r="N74" s="606"/>
    </row>
    <row r="75" spans="1:14" ht="15.75">
      <c r="A75" s="1148"/>
      <c r="B75" s="1148"/>
      <c r="C75" s="1148"/>
      <c r="D75" s="1148"/>
      <c r="E75" s="1148"/>
      <c r="F75" s="1148"/>
      <c r="G75" s="1148"/>
      <c r="H75" s="1148"/>
      <c r="I75" s="1148"/>
      <c r="J75" s="1148"/>
      <c r="K75" s="1148"/>
      <c r="L75" s="606"/>
      <c r="M75" s="606"/>
      <c r="N75" s="606"/>
    </row>
    <row r="76" spans="1:14" ht="15.75">
      <c r="A76" s="1148"/>
      <c r="B76" s="1148"/>
      <c r="C76" s="1148"/>
      <c r="D76" s="1148"/>
      <c r="E76" s="1148"/>
      <c r="F76" s="1148"/>
      <c r="G76" s="1148"/>
      <c r="H76" s="1148"/>
      <c r="I76" s="1148"/>
      <c r="J76" s="1148"/>
      <c r="K76" s="1148"/>
      <c r="L76" s="606"/>
      <c r="M76" s="606"/>
      <c r="N76" s="606"/>
    </row>
    <row r="77" spans="1:14" ht="15.75">
      <c r="A77" s="1148"/>
      <c r="B77" s="1148"/>
      <c r="C77" s="1148"/>
      <c r="D77" s="1148"/>
      <c r="E77" s="1148"/>
      <c r="F77" s="1148"/>
      <c r="G77" s="1148"/>
      <c r="H77" s="1148"/>
      <c r="I77" s="1148"/>
      <c r="J77" s="1148"/>
      <c r="K77" s="1148"/>
      <c r="L77" s="606"/>
      <c r="M77" s="606"/>
      <c r="N77" s="606"/>
    </row>
    <row r="78" spans="1:14" ht="15.75">
      <c r="A78" s="1148"/>
      <c r="B78" s="1148"/>
      <c r="C78" s="1148"/>
      <c r="D78" s="1148"/>
      <c r="E78" s="1148"/>
      <c r="F78" s="1148"/>
      <c r="G78" s="1148"/>
      <c r="H78" s="1148"/>
      <c r="I78" s="1148"/>
      <c r="J78" s="1148"/>
      <c r="K78" s="1148"/>
      <c r="L78" s="606"/>
      <c r="M78" s="606"/>
      <c r="N78" s="606"/>
    </row>
    <row r="79" spans="1:14" ht="15.75">
      <c r="A79" s="1148"/>
      <c r="B79" s="1148"/>
      <c r="C79" s="1148"/>
      <c r="D79" s="1148"/>
      <c r="E79" s="1148"/>
      <c r="F79" s="1148"/>
      <c r="G79" s="1148"/>
      <c r="H79" s="1148"/>
      <c r="I79" s="1148"/>
      <c r="J79" s="1148"/>
      <c r="K79" s="1148"/>
      <c r="L79" s="606"/>
      <c r="M79" s="606"/>
      <c r="N79" s="606"/>
    </row>
    <row r="80" spans="1:14" ht="15.75">
      <c r="A80" s="1148"/>
      <c r="B80" s="1148"/>
      <c r="C80" s="1148"/>
      <c r="D80" s="1148"/>
      <c r="E80" s="1148"/>
      <c r="F80" s="1148"/>
      <c r="G80" s="1148"/>
      <c r="H80" s="1148"/>
      <c r="I80" s="1148"/>
      <c r="J80" s="1148"/>
      <c r="K80" s="1148"/>
      <c r="L80" s="606"/>
      <c r="M80" s="606"/>
      <c r="N80" s="606"/>
    </row>
    <row r="81" spans="1:14" ht="15.75">
      <c r="A81" s="1148"/>
      <c r="B81" s="1148"/>
      <c r="C81" s="1148"/>
      <c r="D81" s="1148"/>
      <c r="E81" s="1148"/>
      <c r="F81" s="1148"/>
      <c r="G81" s="1148"/>
      <c r="H81" s="1148"/>
      <c r="I81" s="1148"/>
      <c r="J81" s="1148"/>
      <c r="K81" s="1148"/>
      <c r="L81" s="606"/>
      <c r="M81" s="606"/>
      <c r="N81" s="606"/>
    </row>
    <row r="82" spans="1:14" ht="15.75">
      <c r="A82" s="1148"/>
      <c r="B82" s="1148"/>
      <c r="C82" s="1148"/>
      <c r="D82" s="1148"/>
      <c r="E82" s="1148"/>
      <c r="F82" s="1148"/>
      <c r="G82" s="1148"/>
      <c r="H82" s="1148"/>
      <c r="I82" s="1148"/>
      <c r="J82" s="1148"/>
      <c r="K82" s="1148"/>
      <c r="L82" s="606"/>
      <c r="M82" s="606"/>
      <c r="N82" s="606"/>
    </row>
    <row r="83" spans="1:14" ht="15.75">
      <c r="A83" s="1148"/>
      <c r="B83" s="1148"/>
      <c r="C83" s="1148"/>
      <c r="D83" s="1148"/>
      <c r="E83" s="1148"/>
      <c r="F83" s="1148"/>
      <c r="G83" s="1148"/>
      <c r="H83" s="1148"/>
      <c r="I83" s="1148"/>
      <c r="J83" s="1148"/>
      <c r="K83" s="1148"/>
      <c r="L83" s="606"/>
      <c r="M83" s="606"/>
      <c r="N83" s="606"/>
    </row>
    <row r="84" spans="1:14" ht="15.75">
      <c r="A84" s="1148"/>
      <c r="B84" s="1148"/>
      <c r="C84" s="1148"/>
      <c r="D84" s="1148"/>
      <c r="E84" s="1148"/>
      <c r="F84" s="1148"/>
      <c r="G84" s="1148"/>
      <c r="H84" s="1148"/>
      <c r="I84" s="1148"/>
      <c r="J84" s="1148"/>
      <c r="K84" s="1148"/>
      <c r="L84" s="606"/>
      <c r="M84" s="606"/>
      <c r="N84" s="606"/>
    </row>
    <row r="85" spans="1:14" ht="15.75">
      <c r="A85" s="1148"/>
      <c r="B85" s="1148"/>
      <c r="C85" s="1148"/>
      <c r="D85" s="1148"/>
      <c r="E85" s="1148"/>
      <c r="F85" s="1148"/>
      <c r="G85" s="1148"/>
      <c r="H85" s="1148"/>
      <c r="I85" s="1148"/>
      <c r="J85" s="1148"/>
      <c r="K85" s="1148"/>
      <c r="L85" s="606"/>
      <c r="M85" s="606"/>
      <c r="N85" s="606"/>
    </row>
    <row r="86" spans="1:14" ht="15.75">
      <c r="A86" s="1148"/>
      <c r="B86" s="1148"/>
      <c r="C86" s="1148"/>
      <c r="D86" s="1148"/>
      <c r="E86" s="1148"/>
      <c r="F86" s="1148"/>
      <c r="G86" s="1148"/>
      <c r="H86" s="1148"/>
      <c r="I86" s="1148"/>
      <c r="J86" s="1148"/>
      <c r="K86" s="1148"/>
      <c r="L86" s="606"/>
      <c r="M86" s="606"/>
      <c r="N86" s="606"/>
    </row>
    <row r="87" spans="1:14" ht="15.75">
      <c r="A87" s="1148"/>
      <c r="B87" s="1148"/>
      <c r="C87" s="1148"/>
      <c r="D87" s="1148"/>
      <c r="E87" s="1148"/>
      <c r="F87" s="1148"/>
      <c r="G87" s="1148"/>
      <c r="H87" s="1148"/>
      <c r="I87" s="1148"/>
      <c r="J87" s="1148"/>
      <c r="K87" s="1148"/>
      <c r="L87" s="606"/>
      <c r="M87" s="606"/>
      <c r="N87" s="606"/>
    </row>
    <row r="88" spans="1:14" ht="15.75">
      <c r="A88" s="1148"/>
      <c r="B88" s="1148"/>
      <c r="C88" s="1148"/>
      <c r="D88" s="1148"/>
      <c r="E88" s="1148"/>
      <c r="F88" s="1148"/>
      <c r="G88" s="1148"/>
      <c r="H88" s="1148"/>
      <c r="I88" s="1148"/>
      <c r="J88" s="1148"/>
      <c r="K88" s="1148"/>
      <c r="L88" s="606"/>
      <c r="M88" s="606"/>
      <c r="N88" s="606"/>
    </row>
    <row r="89" spans="1:14" ht="15.75">
      <c r="A89" s="1148"/>
      <c r="B89" s="1148"/>
      <c r="C89" s="1148"/>
      <c r="D89" s="1148"/>
      <c r="E89" s="1148"/>
      <c r="F89" s="1148"/>
      <c r="G89" s="1148"/>
      <c r="H89" s="1148"/>
      <c r="I89" s="1148"/>
      <c r="J89" s="1148"/>
      <c r="K89" s="1148"/>
      <c r="L89" s="606"/>
      <c r="M89" s="606"/>
      <c r="N89" s="606"/>
    </row>
    <row r="90" spans="1:14" ht="15.75">
      <c r="A90" s="1148"/>
      <c r="B90" s="1148"/>
      <c r="C90" s="1148"/>
      <c r="D90" s="1148"/>
      <c r="E90" s="1148"/>
      <c r="F90" s="1148"/>
      <c r="G90" s="1148"/>
      <c r="H90" s="1148"/>
      <c r="I90" s="1148"/>
      <c r="J90" s="1148"/>
      <c r="K90" s="1148"/>
      <c r="L90" s="606"/>
      <c r="M90" s="606"/>
      <c r="N90" s="606"/>
    </row>
    <row r="91" spans="1:14" ht="15.75">
      <c r="A91" s="1148"/>
      <c r="B91" s="1148"/>
      <c r="C91" s="1148"/>
      <c r="D91" s="1148"/>
      <c r="E91" s="1148"/>
      <c r="F91" s="1148"/>
      <c r="G91" s="1148"/>
      <c r="H91" s="1148"/>
      <c r="I91" s="1148"/>
      <c r="J91" s="1148"/>
      <c r="K91" s="1148"/>
      <c r="L91" s="606"/>
      <c r="M91" s="606"/>
      <c r="N91" s="606"/>
    </row>
    <row r="92" spans="1:14" ht="15.75">
      <c r="A92" s="1148"/>
      <c r="B92" s="1148"/>
      <c r="C92" s="1148"/>
      <c r="D92" s="1148"/>
      <c r="E92" s="1148"/>
      <c r="F92" s="1148"/>
      <c r="G92" s="1148"/>
      <c r="H92" s="1148"/>
      <c r="I92" s="1148"/>
      <c r="J92" s="1148"/>
      <c r="K92" s="1148"/>
      <c r="L92" s="606"/>
      <c r="M92" s="606"/>
      <c r="N92" s="606"/>
    </row>
    <row r="93" spans="1:14" ht="15.75">
      <c r="A93" s="1148"/>
      <c r="B93" s="1148"/>
      <c r="C93" s="1148"/>
      <c r="D93" s="1148"/>
      <c r="E93" s="1148"/>
      <c r="F93" s="1148"/>
      <c r="G93" s="1148"/>
      <c r="H93" s="1148"/>
      <c r="I93" s="1148"/>
      <c r="J93" s="1148"/>
      <c r="K93" s="1148"/>
      <c r="L93" s="606"/>
      <c r="M93" s="606"/>
      <c r="N93" s="606"/>
    </row>
    <row r="94" spans="1:14" ht="15.75">
      <c r="A94" s="1148"/>
      <c r="B94" s="1148"/>
      <c r="C94" s="1148"/>
      <c r="D94" s="1148"/>
      <c r="E94" s="1148"/>
      <c r="F94" s="1148"/>
      <c r="G94" s="1148"/>
      <c r="H94" s="1148"/>
      <c r="I94" s="1148"/>
      <c r="J94" s="1148"/>
      <c r="K94" s="1148"/>
      <c r="L94" s="606"/>
      <c r="M94" s="606"/>
      <c r="N94" s="606"/>
    </row>
    <row r="95" spans="1:14" ht="15.75">
      <c r="A95" s="1148"/>
      <c r="B95" s="1148"/>
      <c r="C95" s="1148"/>
      <c r="D95" s="1148"/>
      <c r="E95" s="1148"/>
      <c r="F95" s="1148"/>
      <c r="G95" s="1148"/>
      <c r="H95" s="1148"/>
      <c r="I95" s="1148"/>
      <c r="J95" s="1148"/>
      <c r="K95" s="1148"/>
      <c r="L95" s="606"/>
      <c r="M95" s="606"/>
      <c r="N95" s="606"/>
    </row>
    <row r="96" spans="1:14" ht="15.75">
      <c r="A96" s="1148"/>
      <c r="B96" s="1148"/>
      <c r="C96" s="1148"/>
      <c r="D96" s="1148"/>
      <c r="E96" s="1148"/>
      <c r="F96" s="1148"/>
      <c r="G96" s="1148"/>
      <c r="H96" s="1148"/>
      <c r="I96" s="1148"/>
      <c r="J96" s="1148"/>
      <c r="K96" s="1148"/>
      <c r="L96" s="606"/>
      <c r="M96" s="606"/>
      <c r="N96" s="606"/>
    </row>
    <row r="97" spans="1:14" ht="15.75">
      <c r="A97" s="1148"/>
      <c r="B97" s="1148"/>
      <c r="C97" s="1148"/>
      <c r="D97" s="1148"/>
      <c r="E97" s="1148"/>
      <c r="F97" s="1148"/>
      <c r="G97" s="1148"/>
      <c r="H97" s="1148"/>
      <c r="I97" s="1148"/>
      <c r="J97" s="1148"/>
      <c r="K97" s="1148"/>
      <c r="L97" s="606"/>
      <c r="M97" s="606"/>
      <c r="N97" s="606"/>
    </row>
    <row r="98" spans="1:14" ht="15.75">
      <c r="A98" s="1148"/>
      <c r="B98" s="1148"/>
      <c r="C98" s="1148"/>
      <c r="D98" s="1148"/>
      <c r="E98" s="1148"/>
      <c r="F98" s="1148"/>
      <c r="G98" s="1148"/>
      <c r="H98" s="1148"/>
      <c r="I98" s="1148"/>
      <c r="J98" s="1148"/>
    </row>
    <row r="99" spans="1:14" ht="15.75">
      <c r="A99" s="1148"/>
      <c r="B99" s="1148"/>
      <c r="C99" s="1148"/>
      <c r="D99" s="1148"/>
      <c r="E99" s="1148"/>
      <c r="F99" s="1148"/>
      <c r="G99" s="1148"/>
      <c r="H99" s="1148"/>
      <c r="I99" s="1148"/>
      <c r="J99" s="1148"/>
    </row>
    <row r="100" spans="1:14" ht="15.75">
      <c r="A100" s="1148"/>
      <c r="B100" s="1148"/>
      <c r="C100" s="1148"/>
      <c r="D100" s="1148"/>
      <c r="E100" s="1148"/>
      <c r="F100" s="1148"/>
      <c r="G100" s="1148"/>
      <c r="H100" s="1148"/>
      <c r="I100" s="1148"/>
      <c r="J100" s="1148"/>
    </row>
  </sheetData>
  <mergeCells count="19">
    <mergeCell ref="A49:B49"/>
    <mergeCell ref="E8:E9"/>
    <mergeCell ref="F8:H8"/>
    <mergeCell ref="I8:I9"/>
    <mergeCell ref="J8:J9"/>
    <mergeCell ref="K8:K9"/>
    <mergeCell ref="A48:B48"/>
    <mergeCell ref="A1:B1"/>
    <mergeCell ref="A2:B2"/>
    <mergeCell ref="A4:K4"/>
    <mergeCell ref="A5:K5"/>
    <mergeCell ref="G6:K6"/>
    <mergeCell ref="A7:A9"/>
    <mergeCell ref="B7:B9"/>
    <mergeCell ref="C7:C9"/>
    <mergeCell ref="D7:K7"/>
    <mergeCell ref="D8:D9"/>
    <mergeCell ref="I46:K46"/>
    <mergeCell ref="I45:K45"/>
  </mergeCells>
  <pageMargins left="0.17" right="0" top="0.32" bottom="0.28999999999999998" header="0.19" footer="0.17"/>
  <pageSetup paperSize="9" scale="75"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89"/>
  <sheetViews>
    <sheetView zoomScale="120" zoomScaleNormal="120" workbookViewId="0">
      <selection activeCell="F104" sqref="F104:I104"/>
    </sheetView>
  </sheetViews>
  <sheetFormatPr defaultColWidth="8.85546875" defaultRowHeight="12.75"/>
  <cols>
    <col min="1" max="1" width="4.85546875" style="674" customWidth="1"/>
    <col min="2" max="3" width="8.85546875" style="674"/>
    <col min="4" max="4" width="7.85546875" style="674" customWidth="1"/>
    <col min="5" max="5" width="3.42578125" style="674" hidden="1" customWidth="1"/>
    <col min="6" max="6" width="9" style="674" bestFit="1" customWidth="1"/>
    <col min="7" max="7" width="10.42578125" style="674" hidden="1" customWidth="1"/>
    <col min="8" max="8" width="9" style="674" hidden="1" customWidth="1"/>
    <col min="9" max="9" width="9.140625" style="674" hidden="1" customWidth="1"/>
    <col min="10" max="10" width="9" style="674" hidden="1" customWidth="1"/>
    <col min="11" max="11" width="15" style="674" customWidth="1"/>
    <col min="12" max="12" width="9.140625" style="674" customWidth="1"/>
    <col min="13" max="14" width="11" style="674" customWidth="1"/>
    <col min="15" max="16" width="9.7109375" style="674" bestFit="1" customWidth="1"/>
    <col min="17" max="17" width="9.85546875" style="674" bestFit="1" customWidth="1"/>
    <col min="18" max="18" width="9.7109375" style="675" bestFit="1" customWidth="1"/>
    <col min="19" max="16384" width="8.85546875" style="674"/>
  </cols>
  <sheetData>
    <row r="1" spans="1:19" s="673" customFormat="1">
      <c r="A1" s="1839" t="s">
        <v>2280</v>
      </c>
      <c r="B1" s="1839"/>
      <c r="C1" s="1839"/>
      <c r="D1" s="1839"/>
      <c r="E1" s="1839"/>
      <c r="F1" s="1839"/>
      <c r="G1" s="1839"/>
      <c r="H1" s="1839"/>
      <c r="I1" s="1839"/>
      <c r="J1" s="1839"/>
      <c r="K1" s="1839"/>
      <c r="L1" s="1839"/>
      <c r="M1" s="1839"/>
      <c r="N1" s="1839"/>
      <c r="O1" s="1839"/>
      <c r="P1" s="1839"/>
      <c r="Q1" s="1839"/>
      <c r="R1" s="672"/>
    </row>
    <row r="2" spans="1:19">
      <c r="L2" s="1840" t="s">
        <v>2281</v>
      </c>
      <c r="M2" s="1840"/>
      <c r="N2" s="1840"/>
      <c r="O2" s="1840"/>
      <c r="P2" s="1840"/>
      <c r="Q2" s="1840"/>
    </row>
    <row r="3" spans="1:19" ht="15" customHeight="1">
      <c r="A3" s="1841" t="s">
        <v>3</v>
      </c>
      <c r="B3" s="1841" t="s">
        <v>89</v>
      </c>
      <c r="C3" s="1841"/>
      <c r="D3" s="1841"/>
      <c r="E3" s="1841"/>
      <c r="F3" s="1843" t="s">
        <v>104</v>
      </c>
      <c r="G3" s="676"/>
      <c r="H3" s="676"/>
      <c r="I3" s="676"/>
      <c r="J3" s="676"/>
      <c r="K3" s="1843" t="s">
        <v>106</v>
      </c>
      <c r="L3" s="1843" t="s">
        <v>2282</v>
      </c>
      <c r="M3" s="1843" t="s">
        <v>2283</v>
      </c>
      <c r="N3" s="1845" t="s">
        <v>44</v>
      </c>
      <c r="O3" s="1845"/>
      <c r="P3" s="1845"/>
      <c r="Q3" s="1845"/>
      <c r="R3" s="1847" t="s">
        <v>2284</v>
      </c>
    </row>
    <row r="4" spans="1:19" ht="15" customHeight="1">
      <c r="A4" s="1842"/>
      <c r="B4" s="1842"/>
      <c r="C4" s="1842"/>
      <c r="D4" s="1842"/>
      <c r="E4" s="1842"/>
      <c r="F4" s="1844"/>
      <c r="G4" s="677"/>
      <c r="H4" s="677"/>
      <c r="I4" s="677"/>
      <c r="J4" s="677"/>
      <c r="K4" s="1844"/>
      <c r="L4" s="1844"/>
      <c r="M4" s="1844"/>
      <c r="N4" s="1844" t="s">
        <v>2285</v>
      </c>
      <c r="O4" s="1842" t="s">
        <v>2286</v>
      </c>
      <c r="P4" s="1842"/>
      <c r="Q4" s="1842"/>
      <c r="R4" s="1848"/>
    </row>
    <row r="5" spans="1:19" s="678" customFormat="1" ht="63.75">
      <c r="A5" s="1842"/>
      <c r="B5" s="1842"/>
      <c r="C5" s="1842"/>
      <c r="D5" s="1842"/>
      <c r="E5" s="1842"/>
      <c r="F5" s="1844"/>
      <c r="G5" s="1152"/>
      <c r="H5" s="1152"/>
      <c r="I5" s="1152"/>
      <c r="J5" s="1151"/>
      <c r="K5" s="1844"/>
      <c r="L5" s="1844"/>
      <c r="M5" s="1844"/>
      <c r="N5" s="1844"/>
      <c r="O5" s="1152" t="s">
        <v>2286</v>
      </c>
      <c r="P5" s="1152" t="s">
        <v>2287</v>
      </c>
      <c r="Q5" s="1152" t="s">
        <v>2288</v>
      </c>
      <c r="R5" s="1848"/>
      <c r="S5" s="1150"/>
    </row>
    <row r="6" spans="1:19" s="673" customFormat="1">
      <c r="A6" s="679"/>
      <c r="B6" s="1849" t="s">
        <v>125</v>
      </c>
      <c r="C6" s="1849"/>
      <c r="D6" s="1849"/>
      <c r="E6" s="1849"/>
      <c r="F6" s="680">
        <f t="shared" ref="F6:R6" si="0">F7+F37</f>
        <v>331</v>
      </c>
      <c r="G6" s="680">
        <f t="shared" si="0"/>
        <v>36400093.854000002</v>
      </c>
      <c r="H6" s="680">
        <f t="shared" si="0"/>
        <v>0</v>
      </c>
      <c r="I6" s="680">
        <f t="shared" si="0"/>
        <v>11422225</v>
      </c>
      <c r="J6" s="680">
        <f t="shared" si="0"/>
        <v>186478.7</v>
      </c>
      <c r="K6" s="680">
        <f t="shared" si="0"/>
        <v>47979065</v>
      </c>
      <c r="L6" s="680">
        <f t="shared" si="0"/>
        <v>1958384.2</v>
      </c>
      <c r="M6" s="680">
        <f t="shared" si="0"/>
        <v>46553685.354000002</v>
      </c>
      <c r="N6" s="680">
        <f t="shared" si="0"/>
        <v>6787023</v>
      </c>
      <c r="O6" s="680">
        <f t="shared" si="0"/>
        <v>39766662</v>
      </c>
      <c r="P6" s="680">
        <f t="shared" si="0"/>
        <v>29669076</v>
      </c>
      <c r="Q6" s="680">
        <f t="shared" si="0"/>
        <v>10097586</v>
      </c>
      <c r="R6" s="680">
        <f t="shared" si="0"/>
        <v>3731315.9999999995</v>
      </c>
    </row>
    <row r="7" spans="1:19" s="673" customFormat="1">
      <c r="A7" s="1151" t="s">
        <v>13</v>
      </c>
      <c r="B7" s="1849" t="s">
        <v>2289</v>
      </c>
      <c r="C7" s="1849"/>
      <c r="D7" s="1849"/>
      <c r="E7" s="1849"/>
      <c r="F7" s="680">
        <f>F8+F9+F10+F14+F17+F18+F21+F22+F23+F24+F25+F26+F27+F28+F29+F32+F33+F34+F35+F36</f>
        <v>69</v>
      </c>
      <c r="G7" s="680">
        <f t="shared" ref="G7:R7" si="1">G8+G9+G10+G14+G17+G18+G21+G22+G23+G24+G25+G26+G27+G28+G29+G32+G33+G34+G35+G36</f>
        <v>5821316</v>
      </c>
      <c r="H7" s="680">
        <f t="shared" si="1"/>
        <v>0</v>
      </c>
      <c r="I7" s="680">
        <f t="shared" si="1"/>
        <v>3345970</v>
      </c>
      <c r="J7" s="680">
        <f t="shared" si="1"/>
        <v>0</v>
      </c>
      <c r="K7" s="680">
        <f t="shared" si="1"/>
        <v>9137553</v>
      </c>
      <c r="L7" s="680">
        <f t="shared" si="1"/>
        <v>658670</v>
      </c>
      <c r="M7" s="680">
        <f t="shared" si="1"/>
        <v>8478883</v>
      </c>
      <c r="N7" s="680">
        <f t="shared" si="1"/>
        <v>0</v>
      </c>
      <c r="O7" s="680">
        <f t="shared" si="1"/>
        <v>8478883</v>
      </c>
      <c r="P7" s="680">
        <f t="shared" si="1"/>
        <v>6164835</v>
      </c>
      <c r="Q7" s="680">
        <f t="shared" si="1"/>
        <v>2314048</v>
      </c>
      <c r="R7" s="680">
        <f t="shared" si="1"/>
        <v>3731315.9999999995</v>
      </c>
      <c r="S7" s="681"/>
    </row>
    <row r="8" spans="1:19" s="686" customFormat="1" ht="12.95" customHeight="1">
      <c r="A8" s="682" t="s">
        <v>126</v>
      </c>
      <c r="B8" s="1846" t="s">
        <v>2290</v>
      </c>
      <c r="C8" s="1846"/>
      <c r="D8" s="1846"/>
      <c r="E8" s="1846"/>
      <c r="F8" s="683">
        <v>1</v>
      </c>
      <c r="G8" s="683">
        <v>0</v>
      </c>
      <c r="H8" s="683">
        <v>0</v>
      </c>
      <c r="I8" s="683">
        <v>55891</v>
      </c>
      <c r="J8" s="683">
        <v>0</v>
      </c>
      <c r="K8" s="683">
        <v>55965</v>
      </c>
      <c r="L8" s="683">
        <v>9424</v>
      </c>
      <c r="M8" s="683">
        <v>46541</v>
      </c>
      <c r="N8" s="684"/>
      <c r="O8" s="683">
        <f>M8</f>
        <v>46541</v>
      </c>
      <c r="P8" s="683">
        <f>O8</f>
        <v>46541</v>
      </c>
      <c r="Q8" s="683"/>
      <c r="R8" s="685">
        <f>2.08*1390*12</f>
        <v>34694.400000000001</v>
      </c>
    </row>
    <row r="9" spans="1:19" s="686" customFormat="1" ht="12.95" customHeight="1">
      <c r="A9" s="682" t="s">
        <v>140</v>
      </c>
      <c r="B9" s="1846" t="s">
        <v>2291</v>
      </c>
      <c r="C9" s="1846"/>
      <c r="D9" s="1846"/>
      <c r="E9" s="1846"/>
      <c r="F9" s="683">
        <v>1</v>
      </c>
      <c r="G9" s="683">
        <v>0</v>
      </c>
      <c r="H9" s="683">
        <v>0</v>
      </c>
      <c r="I9" s="683">
        <v>82279</v>
      </c>
      <c r="J9" s="683">
        <v>0</v>
      </c>
      <c r="K9" s="683">
        <v>82279</v>
      </c>
      <c r="L9" s="683">
        <v>13886</v>
      </c>
      <c r="M9" s="683">
        <v>68393</v>
      </c>
      <c r="N9" s="684"/>
      <c r="O9" s="683">
        <f>M9</f>
        <v>68393</v>
      </c>
      <c r="P9" s="683">
        <f>O9</f>
        <v>68393</v>
      </c>
      <c r="Q9" s="683"/>
      <c r="R9" s="685">
        <f>3.33*1390*12</f>
        <v>55544.399999999994</v>
      </c>
    </row>
    <row r="10" spans="1:19" s="686" customFormat="1">
      <c r="A10" s="682" t="s">
        <v>152</v>
      </c>
      <c r="B10" s="1846" t="s">
        <v>2292</v>
      </c>
      <c r="C10" s="1846"/>
      <c r="D10" s="1846"/>
      <c r="E10" s="1846"/>
      <c r="F10" s="683">
        <f>F11+F12+F13</f>
        <v>17</v>
      </c>
      <c r="G10" s="683">
        <f t="shared" ref="G10:M10" si="2">G11+G12+G13</f>
        <v>2637098</v>
      </c>
      <c r="H10" s="683">
        <f t="shared" si="2"/>
        <v>0</v>
      </c>
      <c r="I10" s="683">
        <f t="shared" si="2"/>
        <v>225632</v>
      </c>
      <c r="J10" s="683">
        <f t="shared" si="2"/>
        <v>0</v>
      </c>
      <c r="K10" s="683">
        <f t="shared" si="2"/>
        <v>2862730</v>
      </c>
      <c r="L10" s="683">
        <f t="shared" si="2"/>
        <v>21617</v>
      </c>
      <c r="M10" s="683">
        <f t="shared" si="2"/>
        <v>2841113</v>
      </c>
      <c r="N10" s="684"/>
      <c r="O10" s="683">
        <f>740284+1918559+182270</f>
        <v>2841113</v>
      </c>
      <c r="P10" s="683">
        <f>740284+1564183</f>
        <v>2304467</v>
      </c>
      <c r="Q10" s="683">
        <f>O10-P10</f>
        <v>536646</v>
      </c>
      <c r="R10" s="685">
        <f>3.68*1390*12*17</f>
        <v>1043500.7999999999</v>
      </c>
    </row>
    <row r="11" spans="1:19" s="686" customFormat="1" ht="12.95" hidden="1" customHeight="1">
      <c r="A11" s="682" t="s">
        <v>165</v>
      </c>
      <c r="B11" s="1846"/>
      <c r="C11" s="1846"/>
      <c r="D11" s="1846"/>
      <c r="E11" s="1846"/>
      <c r="F11" s="683">
        <v>4</v>
      </c>
      <c r="G11" s="683">
        <v>740284</v>
      </c>
      <c r="H11" s="683">
        <v>0</v>
      </c>
      <c r="I11" s="683">
        <v>0</v>
      </c>
      <c r="J11" s="683">
        <v>0</v>
      </c>
      <c r="K11" s="683">
        <v>740284</v>
      </c>
      <c r="L11" s="683">
        <v>0</v>
      </c>
      <c r="M11" s="683">
        <v>740284</v>
      </c>
      <c r="N11" s="684"/>
      <c r="O11" s="683"/>
      <c r="P11" s="683"/>
      <c r="Q11" s="683"/>
      <c r="R11" s="685"/>
    </row>
    <row r="12" spans="1:19" s="686" customFormat="1" ht="12.95" hidden="1" customHeight="1">
      <c r="A12" s="682" t="s">
        <v>177</v>
      </c>
      <c r="B12" s="1846"/>
      <c r="C12" s="1846"/>
      <c r="D12" s="1846"/>
      <c r="E12" s="1846"/>
      <c r="F12" s="683">
        <v>1</v>
      </c>
      <c r="G12" s="683">
        <v>182270</v>
      </c>
      <c r="H12" s="683">
        <v>0</v>
      </c>
      <c r="I12" s="683">
        <v>0</v>
      </c>
      <c r="J12" s="683">
        <v>0</v>
      </c>
      <c r="K12" s="683">
        <v>182270</v>
      </c>
      <c r="L12" s="683">
        <v>0</v>
      </c>
      <c r="M12" s="683">
        <v>182270</v>
      </c>
      <c r="N12" s="684"/>
      <c r="O12" s="683"/>
      <c r="P12" s="683"/>
      <c r="Q12" s="683"/>
      <c r="R12" s="685"/>
    </row>
    <row r="13" spans="1:19" s="686" customFormat="1" ht="12.95" hidden="1" customHeight="1">
      <c r="A13" s="682" t="s">
        <v>191</v>
      </c>
      <c r="B13" s="1846"/>
      <c r="C13" s="1846"/>
      <c r="D13" s="1846"/>
      <c r="E13" s="1846"/>
      <c r="F13" s="683">
        <v>12</v>
      </c>
      <c r="G13" s="683">
        <v>1714544</v>
      </c>
      <c r="H13" s="683">
        <v>0</v>
      </c>
      <c r="I13" s="683">
        <v>225632</v>
      </c>
      <c r="J13" s="683">
        <v>0</v>
      </c>
      <c r="K13" s="683">
        <v>1940176</v>
      </c>
      <c r="L13" s="683">
        <v>21617</v>
      </c>
      <c r="M13" s="683">
        <v>1918559</v>
      </c>
      <c r="N13" s="684"/>
      <c r="O13" s="683"/>
      <c r="P13" s="683"/>
      <c r="Q13" s="683"/>
      <c r="R13" s="685"/>
    </row>
    <row r="14" spans="1:19" s="686" customFormat="1">
      <c r="A14" s="682">
        <v>4</v>
      </c>
      <c r="B14" s="1846" t="s">
        <v>2293</v>
      </c>
      <c r="C14" s="1846"/>
      <c r="D14" s="1846"/>
      <c r="E14" s="1846"/>
      <c r="F14" s="683">
        <f>F15+F16</f>
        <v>9</v>
      </c>
      <c r="G14" s="683">
        <f t="shared" ref="G14:M14" si="3">G15+G16</f>
        <v>813679</v>
      </c>
      <c r="H14" s="683">
        <f t="shared" si="3"/>
        <v>0</v>
      </c>
      <c r="I14" s="683">
        <f t="shared" si="3"/>
        <v>269373</v>
      </c>
      <c r="J14" s="683">
        <f t="shared" si="3"/>
        <v>0</v>
      </c>
      <c r="K14" s="683">
        <f t="shared" si="3"/>
        <v>1052639</v>
      </c>
      <c r="L14" s="683">
        <f t="shared" si="3"/>
        <v>19390</v>
      </c>
      <c r="M14" s="683">
        <f t="shared" si="3"/>
        <v>1033249</v>
      </c>
      <c r="N14" s="684"/>
      <c r="O14" s="683">
        <f>301942+731307</f>
        <v>1033249</v>
      </c>
      <c r="P14" s="683">
        <f>301942+731307</f>
        <v>1033249</v>
      </c>
      <c r="Q14" s="683"/>
      <c r="R14" s="685">
        <f>3.12*1390*12*9</f>
        <v>468374.4</v>
      </c>
    </row>
    <row r="15" spans="1:19" s="686" customFormat="1" ht="12.95" hidden="1" customHeight="1">
      <c r="A15" s="682" t="s">
        <v>213</v>
      </c>
      <c r="B15" s="1846"/>
      <c r="C15" s="1846"/>
      <c r="D15" s="1846"/>
      <c r="E15" s="1846"/>
      <c r="F15" s="683">
        <v>4</v>
      </c>
      <c r="G15" s="683">
        <v>332355</v>
      </c>
      <c r="H15" s="683">
        <v>0</v>
      </c>
      <c r="I15" s="683">
        <v>0</v>
      </c>
      <c r="J15" s="683">
        <v>0</v>
      </c>
      <c r="K15" s="683">
        <v>301942</v>
      </c>
      <c r="L15" s="683">
        <v>0</v>
      </c>
      <c r="M15" s="683">
        <v>301942</v>
      </c>
      <c r="N15" s="684"/>
      <c r="O15" s="683"/>
      <c r="P15" s="683"/>
      <c r="Q15" s="683"/>
      <c r="R15" s="685"/>
    </row>
    <row r="16" spans="1:19" s="686" customFormat="1" ht="12.95" hidden="1" customHeight="1">
      <c r="A16" s="682" t="s">
        <v>220</v>
      </c>
      <c r="B16" s="1846"/>
      <c r="C16" s="1846"/>
      <c r="D16" s="1846"/>
      <c r="E16" s="1846"/>
      <c r="F16" s="683">
        <v>5</v>
      </c>
      <c r="G16" s="683">
        <v>481324</v>
      </c>
      <c r="H16" s="683">
        <v>0</v>
      </c>
      <c r="I16" s="683">
        <v>269373</v>
      </c>
      <c r="J16" s="683">
        <v>0</v>
      </c>
      <c r="K16" s="683">
        <v>750697</v>
      </c>
      <c r="L16" s="683">
        <v>19390</v>
      </c>
      <c r="M16" s="683">
        <v>731307</v>
      </c>
      <c r="N16" s="684"/>
      <c r="O16" s="683"/>
      <c r="P16" s="683"/>
      <c r="Q16" s="683"/>
      <c r="R16" s="685"/>
    </row>
    <row r="17" spans="1:18" s="686" customFormat="1" ht="20.100000000000001" customHeight="1">
      <c r="A17" s="682">
        <v>5</v>
      </c>
      <c r="B17" s="1846" t="s">
        <v>2294</v>
      </c>
      <c r="C17" s="1846"/>
      <c r="D17" s="1846"/>
      <c r="E17" s="1846"/>
      <c r="F17" s="683">
        <v>1</v>
      </c>
      <c r="G17" s="683">
        <v>0</v>
      </c>
      <c r="H17" s="683">
        <v>0</v>
      </c>
      <c r="I17" s="683">
        <v>228693</v>
      </c>
      <c r="J17" s="683">
        <v>0</v>
      </c>
      <c r="K17" s="683">
        <v>228693</v>
      </c>
      <c r="L17" s="683">
        <v>18792</v>
      </c>
      <c r="M17" s="683">
        <v>209901</v>
      </c>
      <c r="N17" s="684"/>
      <c r="O17" s="683">
        <f>M17</f>
        <v>209901</v>
      </c>
      <c r="P17" s="683">
        <f>O17</f>
        <v>209901</v>
      </c>
      <c r="Q17" s="683"/>
      <c r="R17" s="685">
        <f>4.06*1390*12</f>
        <v>67720.799999999988</v>
      </c>
    </row>
    <row r="18" spans="1:18" s="691" customFormat="1" ht="26.25" customHeight="1">
      <c r="A18" s="687">
        <v>6</v>
      </c>
      <c r="B18" s="1850" t="s">
        <v>2295</v>
      </c>
      <c r="C18" s="1850"/>
      <c r="D18" s="1850"/>
      <c r="E18" s="1850"/>
      <c r="F18" s="688">
        <f>F19+F20</f>
        <v>3</v>
      </c>
      <c r="G18" s="688">
        <f t="shared" ref="G18:K18" si="4">G19+G20</f>
        <v>482897</v>
      </c>
      <c r="H18" s="688">
        <f t="shared" si="4"/>
        <v>0</v>
      </c>
      <c r="I18" s="688">
        <f t="shared" si="4"/>
        <v>0</v>
      </c>
      <c r="J18" s="688">
        <f t="shared" si="4"/>
        <v>0</v>
      </c>
      <c r="K18" s="688">
        <f t="shared" si="4"/>
        <v>482897</v>
      </c>
      <c r="L18" s="688">
        <f>K18</f>
        <v>482897</v>
      </c>
      <c r="M18" s="688">
        <v>0</v>
      </c>
      <c r="N18" s="689"/>
      <c r="O18" s="688"/>
      <c r="P18" s="688"/>
      <c r="Q18" s="688"/>
      <c r="R18" s="690">
        <v>0</v>
      </c>
    </row>
    <row r="19" spans="1:18" ht="12" hidden="1" customHeight="1">
      <c r="A19" s="692" t="s">
        <v>253</v>
      </c>
      <c r="B19" s="1850"/>
      <c r="C19" s="1850"/>
      <c r="D19" s="1850"/>
      <c r="E19" s="1850"/>
      <c r="F19" s="693">
        <v>2</v>
      </c>
      <c r="G19" s="693">
        <v>271756</v>
      </c>
      <c r="H19" s="693">
        <v>0</v>
      </c>
      <c r="I19" s="693">
        <v>0</v>
      </c>
      <c r="J19" s="693">
        <v>0</v>
      </c>
      <c r="K19" s="693">
        <v>271756</v>
      </c>
      <c r="L19" s="693">
        <v>271756</v>
      </c>
      <c r="M19" s="677"/>
      <c r="N19" s="677"/>
      <c r="O19" s="693"/>
      <c r="P19" s="693"/>
      <c r="Q19" s="693"/>
      <c r="R19" s="694"/>
    </row>
    <row r="20" spans="1:18" ht="18" hidden="1" customHeight="1">
      <c r="A20" s="692" t="s">
        <v>266</v>
      </c>
      <c r="B20" s="1850"/>
      <c r="C20" s="1850"/>
      <c r="D20" s="1850"/>
      <c r="E20" s="1850"/>
      <c r="F20" s="693">
        <v>1</v>
      </c>
      <c r="G20" s="693">
        <v>211141</v>
      </c>
      <c r="H20" s="693">
        <v>0</v>
      </c>
      <c r="I20" s="693">
        <v>0</v>
      </c>
      <c r="J20" s="693">
        <v>0</v>
      </c>
      <c r="K20" s="693">
        <v>211141</v>
      </c>
      <c r="L20" s="693">
        <v>211141</v>
      </c>
      <c r="M20" s="677"/>
      <c r="N20" s="677"/>
      <c r="O20" s="693"/>
      <c r="P20" s="693"/>
      <c r="Q20" s="693"/>
      <c r="R20" s="694"/>
    </row>
    <row r="21" spans="1:18" s="686" customFormat="1" ht="26.1" customHeight="1">
      <c r="A21" s="682">
        <v>7</v>
      </c>
      <c r="B21" s="1846" t="s">
        <v>2296</v>
      </c>
      <c r="C21" s="1846"/>
      <c r="D21" s="1846"/>
      <c r="E21" s="1846"/>
      <c r="F21" s="683">
        <v>1</v>
      </c>
      <c r="G21" s="683">
        <v>0</v>
      </c>
      <c r="H21" s="683">
        <v>0</v>
      </c>
      <c r="I21" s="683">
        <v>52467</v>
      </c>
      <c r="J21" s="683">
        <v>0</v>
      </c>
      <c r="K21" s="683">
        <v>53073</v>
      </c>
      <c r="L21" s="683">
        <v>11092</v>
      </c>
      <c r="M21" s="683">
        <v>41981</v>
      </c>
      <c r="N21" s="684"/>
      <c r="O21" s="683">
        <v>41981</v>
      </c>
      <c r="P21" s="683">
        <f>M21</f>
        <v>41981</v>
      </c>
      <c r="Q21" s="683"/>
      <c r="R21" s="685">
        <f>2.66*1390*12</f>
        <v>44368.800000000003</v>
      </c>
    </row>
    <row r="22" spans="1:18" s="686" customFormat="1" ht="12.95" customHeight="1">
      <c r="A22" s="682">
        <v>8</v>
      </c>
      <c r="B22" s="1846" t="s">
        <v>2297</v>
      </c>
      <c r="C22" s="1846"/>
      <c r="D22" s="1846"/>
      <c r="E22" s="1846"/>
      <c r="F22" s="683">
        <v>1</v>
      </c>
      <c r="G22" s="683">
        <v>99740</v>
      </c>
      <c r="H22" s="683">
        <v>0</v>
      </c>
      <c r="I22" s="683">
        <v>0</v>
      </c>
      <c r="J22" s="683">
        <v>0</v>
      </c>
      <c r="K22" s="683">
        <v>99740</v>
      </c>
      <c r="L22" s="683">
        <v>0</v>
      </c>
      <c r="M22" s="683">
        <v>99740</v>
      </c>
      <c r="N22" s="684"/>
      <c r="O22" s="683">
        <f t="shared" ref="O22:O28" si="5">M22</f>
        <v>99740</v>
      </c>
      <c r="P22" s="683">
        <f>O22</f>
        <v>99740</v>
      </c>
      <c r="Q22" s="683"/>
      <c r="R22" s="685">
        <f>3.66*1390*12</f>
        <v>61048.800000000003</v>
      </c>
    </row>
    <row r="23" spans="1:18" s="686" customFormat="1">
      <c r="A23" s="682">
        <v>9</v>
      </c>
      <c r="B23" s="1846" t="s">
        <v>2298</v>
      </c>
      <c r="C23" s="1846"/>
      <c r="D23" s="1846"/>
      <c r="E23" s="1846"/>
      <c r="F23" s="683">
        <v>3</v>
      </c>
      <c r="G23" s="683">
        <v>604035</v>
      </c>
      <c r="H23" s="683">
        <v>0</v>
      </c>
      <c r="I23" s="683">
        <v>0</v>
      </c>
      <c r="J23" s="683">
        <v>0</v>
      </c>
      <c r="K23" s="683">
        <v>604035</v>
      </c>
      <c r="L23" s="683">
        <v>0</v>
      </c>
      <c r="M23" s="683">
        <v>604035</v>
      </c>
      <c r="N23" s="684"/>
      <c r="O23" s="683">
        <f t="shared" si="5"/>
        <v>604035</v>
      </c>
      <c r="P23" s="683">
        <f>O23</f>
        <v>604035</v>
      </c>
      <c r="Q23" s="683"/>
      <c r="R23" s="685">
        <f>(6.78+4.98+5.42)*1390*12</f>
        <v>286562.40000000002</v>
      </c>
    </row>
    <row r="24" spans="1:18" s="686" customFormat="1">
      <c r="A24" s="682">
        <v>10</v>
      </c>
      <c r="B24" s="1846" t="s">
        <v>2299</v>
      </c>
      <c r="C24" s="1846"/>
      <c r="D24" s="1846"/>
      <c r="E24" s="1846"/>
      <c r="F24" s="683">
        <v>2</v>
      </c>
      <c r="G24" s="683">
        <v>0</v>
      </c>
      <c r="H24" s="683">
        <v>0</v>
      </c>
      <c r="I24" s="683">
        <v>199722</v>
      </c>
      <c r="J24" s="683">
        <v>0</v>
      </c>
      <c r="K24" s="683">
        <v>199722</v>
      </c>
      <c r="L24" s="683">
        <v>28786</v>
      </c>
      <c r="M24" s="683">
        <v>170936</v>
      </c>
      <c r="N24" s="684"/>
      <c r="O24" s="683">
        <f t="shared" si="5"/>
        <v>170936</v>
      </c>
      <c r="P24" s="683">
        <v>95418</v>
      </c>
      <c r="Q24" s="683">
        <f>O24-P24</f>
        <v>75518</v>
      </c>
      <c r="R24" s="685">
        <f>3.13*1390*12*2</f>
        <v>104416.79999999999</v>
      </c>
    </row>
    <row r="25" spans="1:18" s="686" customFormat="1">
      <c r="A25" s="682">
        <v>11</v>
      </c>
      <c r="B25" s="1846" t="s">
        <v>2300</v>
      </c>
      <c r="C25" s="1846"/>
      <c r="D25" s="1846"/>
      <c r="E25" s="1846"/>
      <c r="F25" s="683">
        <v>1</v>
      </c>
      <c r="G25" s="683">
        <v>123639</v>
      </c>
      <c r="H25" s="683">
        <v>0</v>
      </c>
      <c r="I25" s="683">
        <v>0</v>
      </c>
      <c r="J25" s="683">
        <v>0</v>
      </c>
      <c r="K25" s="683">
        <v>123639</v>
      </c>
      <c r="L25" s="683">
        <v>0</v>
      </c>
      <c r="M25" s="683">
        <v>123639</v>
      </c>
      <c r="N25" s="684"/>
      <c r="O25" s="683">
        <f t="shared" si="5"/>
        <v>123639</v>
      </c>
      <c r="P25" s="683">
        <f>O25</f>
        <v>123639</v>
      </c>
      <c r="Q25" s="683"/>
      <c r="R25" s="685">
        <f>4.03*1390*12</f>
        <v>67220.400000000009</v>
      </c>
    </row>
    <row r="26" spans="1:18" s="686" customFormat="1">
      <c r="A26" s="682">
        <v>12</v>
      </c>
      <c r="B26" s="1846" t="s">
        <v>2301</v>
      </c>
      <c r="C26" s="1846"/>
      <c r="D26" s="1846"/>
      <c r="E26" s="1846"/>
      <c r="F26" s="683">
        <v>1</v>
      </c>
      <c r="G26" s="683">
        <v>114275</v>
      </c>
      <c r="H26" s="683">
        <v>0</v>
      </c>
      <c r="I26" s="683">
        <v>0</v>
      </c>
      <c r="J26" s="683">
        <v>0</v>
      </c>
      <c r="K26" s="683">
        <v>114275</v>
      </c>
      <c r="L26" s="683">
        <v>0</v>
      </c>
      <c r="M26" s="683">
        <v>114275</v>
      </c>
      <c r="N26" s="684"/>
      <c r="O26" s="683">
        <f t="shared" si="5"/>
        <v>114275</v>
      </c>
      <c r="P26" s="683">
        <f>O26</f>
        <v>114275</v>
      </c>
      <c r="Q26" s="683"/>
      <c r="R26" s="685">
        <f>4.03*1390*12</f>
        <v>67220.400000000009</v>
      </c>
    </row>
    <row r="27" spans="1:18" s="686" customFormat="1">
      <c r="A27" s="682">
        <v>13</v>
      </c>
      <c r="B27" s="1846" t="s">
        <v>2302</v>
      </c>
      <c r="C27" s="1846"/>
      <c r="D27" s="1846"/>
      <c r="E27" s="1846"/>
      <c r="F27" s="683">
        <v>1</v>
      </c>
      <c r="G27" s="683">
        <v>103406</v>
      </c>
      <c r="H27" s="683">
        <v>0</v>
      </c>
      <c r="I27" s="683">
        <v>0</v>
      </c>
      <c r="J27" s="683">
        <v>0</v>
      </c>
      <c r="K27" s="683">
        <v>103406</v>
      </c>
      <c r="L27" s="683">
        <v>0</v>
      </c>
      <c r="M27" s="683">
        <v>103406</v>
      </c>
      <c r="N27" s="684"/>
      <c r="O27" s="683">
        <f t="shared" si="5"/>
        <v>103406</v>
      </c>
      <c r="P27" s="683">
        <f>O27</f>
        <v>103406</v>
      </c>
      <c r="Q27" s="683"/>
      <c r="R27" s="685">
        <f>4.32*1390*12</f>
        <v>72057.600000000006</v>
      </c>
    </row>
    <row r="28" spans="1:18" s="686" customFormat="1">
      <c r="A28" s="682">
        <v>14</v>
      </c>
      <c r="B28" s="1846" t="s">
        <v>2303</v>
      </c>
      <c r="C28" s="1846"/>
      <c r="D28" s="1846"/>
      <c r="E28" s="1846"/>
      <c r="F28" s="683">
        <v>1</v>
      </c>
      <c r="G28" s="683">
        <v>185105</v>
      </c>
      <c r="H28" s="683">
        <v>0</v>
      </c>
      <c r="I28" s="683">
        <v>0</v>
      </c>
      <c r="J28" s="683">
        <v>0</v>
      </c>
      <c r="K28" s="683">
        <v>185105</v>
      </c>
      <c r="L28" s="683">
        <v>0</v>
      </c>
      <c r="M28" s="683">
        <v>185105</v>
      </c>
      <c r="N28" s="684"/>
      <c r="O28" s="683">
        <f t="shared" si="5"/>
        <v>185105</v>
      </c>
      <c r="P28" s="683">
        <f>O28</f>
        <v>185105</v>
      </c>
      <c r="Q28" s="683"/>
      <c r="R28" s="685">
        <f>4.98*1390*12</f>
        <v>83066.400000000009</v>
      </c>
    </row>
    <row r="29" spans="1:18" s="686" customFormat="1" ht="27.95" customHeight="1">
      <c r="A29" s="682">
        <v>15</v>
      </c>
      <c r="B29" s="1846" t="s">
        <v>2304</v>
      </c>
      <c r="C29" s="1846"/>
      <c r="D29" s="1846"/>
      <c r="E29" s="1846"/>
      <c r="F29" s="683">
        <f>F30+F31</f>
        <v>20</v>
      </c>
      <c r="G29" s="683">
        <f t="shared" ref="G29:M29" si="6">G30+G31</f>
        <v>117371</v>
      </c>
      <c r="H29" s="683">
        <f t="shared" si="6"/>
        <v>0</v>
      </c>
      <c r="I29" s="683">
        <f t="shared" si="6"/>
        <v>2017480</v>
      </c>
      <c r="J29" s="683">
        <f t="shared" si="6"/>
        <v>0</v>
      </c>
      <c r="K29" s="683">
        <f t="shared" si="6"/>
        <v>2134851</v>
      </c>
      <c r="L29" s="683">
        <f t="shared" si="6"/>
        <v>32686</v>
      </c>
      <c r="M29" s="683">
        <f t="shared" si="6"/>
        <v>2102165</v>
      </c>
      <c r="N29" s="684"/>
      <c r="O29" s="683">
        <f>160369+1941796</f>
        <v>2102165</v>
      </c>
      <c r="P29" s="683">
        <f>160369+239912</f>
        <v>400281</v>
      </c>
      <c r="Q29" s="683">
        <f>O29-P29</f>
        <v>1701884</v>
      </c>
      <c r="R29" s="685">
        <f>3*1390*12*20</f>
        <v>1000800</v>
      </c>
    </row>
    <row r="30" spans="1:18" s="686" customFormat="1" ht="27.95" hidden="1" customHeight="1">
      <c r="A30" s="682" t="s">
        <v>373</v>
      </c>
      <c r="B30" s="1846"/>
      <c r="C30" s="1846"/>
      <c r="D30" s="1846"/>
      <c r="E30" s="1846"/>
      <c r="F30" s="683">
        <v>2</v>
      </c>
      <c r="G30" s="683">
        <v>117371</v>
      </c>
      <c r="H30" s="683">
        <v>0</v>
      </c>
      <c r="I30" s="683">
        <v>55508</v>
      </c>
      <c r="J30" s="683">
        <v>0</v>
      </c>
      <c r="K30" s="683">
        <v>172879</v>
      </c>
      <c r="L30" s="683">
        <v>12510</v>
      </c>
      <c r="M30" s="683">
        <v>160369</v>
      </c>
      <c r="N30" s="684"/>
      <c r="O30" s="683"/>
      <c r="P30" s="683"/>
      <c r="Q30" s="683"/>
      <c r="R30" s="685"/>
    </row>
    <row r="31" spans="1:18" s="686" customFormat="1" ht="27.95" hidden="1" customHeight="1">
      <c r="A31" s="682" t="s">
        <v>383</v>
      </c>
      <c r="B31" s="1846"/>
      <c r="C31" s="1846"/>
      <c r="D31" s="1846"/>
      <c r="E31" s="1846"/>
      <c r="F31" s="683">
        <v>18</v>
      </c>
      <c r="G31" s="683">
        <v>0</v>
      </c>
      <c r="H31" s="683">
        <v>0</v>
      </c>
      <c r="I31" s="683">
        <v>1961972</v>
      </c>
      <c r="J31" s="683">
        <v>0</v>
      </c>
      <c r="K31" s="683">
        <v>1961972</v>
      </c>
      <c r="L31" s="683">
        <v>20176</v>
      </c>
      <c r="M31" s="683">
        <v>1941796</v>
      </c>
      <c r="N31" s="684"/>
      <c r="O31" s="683"/>
      <c r="P31" s="683"/>
      <c r="Q31" s="683"/>
      <c r="R31" s="685"/>
    </row>
    <row r="32" spans="1:18" s="686" customFormat="1">
      <c r="A32" s="682">
        <v>16</v>
      </c>
      <c r="B32" s="1846" t="s">
        <v>2305</v>
      </c>
      <c r="C32" s="1846"/>
      <c r="D32" s="1846"/>
      <c r="E32" s="1846"/>
      <c r="F32" s="683">
        <v>1</v>
      </c>
      <c r="G32" s="683">
        <v>89957</v>
      </c>
      <c r="H32" s="683">
        <v>0</v>
      </c>
      <c r="I32" s="683">
        <v>0</v>
      </c>
      <c r="J32" s="683">
        <v>0</v>
      </c>
      <c r="K32" s="683">
        <v>89957</v>
      </c>
      <c r="L32" s="683">
        <v>0</v>
      </c>
      <c r="M32" s="683">
        <v>89957</v>
      </c>
      <c r="N32" s="684"/>
      <c r="O32" s="683">
        <f>M32</f>
        <v>89957</v>
      </c>
      <c r="P32" s="683">
        <f>O32</f>
        <v>89957</v>
      </c>
      <c r="Q32" s="683"/>
      <c r="R32" s="685">
        <f>4.03*1390*12</f>
        <v>67220.400000000009</v>
      </c>
    </row>
    <row r="33" spans="1:18" s="686" customFormat="1">
      <c r="A33" s="682">
        <v>17</v>
      </c>
      <c r="B33" s="1846" t="s">
        <v>2306</v>
      </c>
      <c r="C33" s="1846"/>
      <c r="D33" s="1846"/>
      <c r="E33" s="1846"/>
      <c r="F33" s="683">
        <v>1</v>
      </c>
      <c r="G33" s="683">
        <v>0</v>
      </c>
      <c r="H33" s="683">
        <v>0</v>
      </c>
      <c r="I33" s="683">
        <v>214433</v>
      </c>
      <c r="J33" s="683">
        <v>0</v>
      </c>
      <c r="K33" s="683">
        <v>214433</v>
      </c>
      <c r="L33" s="683">
        <v>20100</v>
      </c>
      <c r="M33" s="683">
        <v>194333</v>
      </c>
      <c r="N33" s="684"/>
      <c r="O33" s="683">
        <f>M33</f>
        <v>194333</v>
      </c>
      <c r="P33" s="683">
        <f>O33</f>
        <v>194333</v>
      </c>
      <c r="Q33" s="683"/>
      <c r="R33" s="685">
        <f>4.32*1390*12</f>
        <v>72057.600000000006</v>
      </c>
    </row>
    <row r="34" spans="1:18" s="686" customFormat="1" ht="36.950000000000003" customHeight="1">
      <c r="A34" s="682">
        <v>18</v>
      </c>
      <c r="B34" s="1846" t="s">
        <v>2307</v>
      </c>
      <c r="C34" s="1846"/>
      <c r="D34" s="1846"/>
      <c r="E34" s="1846"/>
      <c r="F34" s="683">
        <v>2</v>
      </c>
      <c r="G34" s="683">
        <v>181993</v>
      </c>
      <c r="H34" s="683">
        <v>0</v>
      </c>
      <c r="I34" s="683">
        <v>0</v>
      </c>
      <c r="J34" s="683">
        <v>0</v>
      </c>
      <c r="K34" s="683">
        <v>181993</v>
      </c>
      <c r="L34" s="683">
        <v>0</v>
      </c>
      <c r="M34" s="683">
        <v>181993</v>
      </c>
      <c r="N34" s="684"/>
      <c r="O34" s="683">
        <f>M34</f>
        <v>181993</v>
      </c>
      <c r="P34" s="683">
        <f>O34</f>
        <v>181993</v>
      </c>
      <c r="Q34" s="683"/>
      <c r="R34" s="685">
        <f>4.06*1390*12</f>
        <v>67720.799999999988</v>
      </c>
    </row>
    <row r="35" spans="1:18" s="686" customFormat="1" ht="12.95" customHeight="1">
      <c r="A35" s="682">
        <v>19</v>
      </c>
      <c r="B35" s="1846" t="s">
        <v>2308</v>
      </c>
      <c r="C35" s="1846"/>
      <c r="D35" s="1846"/>
      <c r="E35" s="1846"/>
      <c r="F35" s="683">
        <v>1</v>
      </c>
      <c r="G35" s="683">
        <v>147282</v>
      </c>
      <c r="H35" s="683">
        <v>0</v>
      </c>
      <c r="I35" s="683">
        <v>0</v>
      </c>
      <c r="J35" s="683">
        <v>0</v>
      </c>
      <c r="K35" s="683">
        <v>147282</v>
      </c>
      <c r="L35" s="683">
        <v>0</v>
      </c>
      <c r="M35" s="683">
        <v>147282</v>
      </c>
      <c r="N35" s="684"/>
      <c r="O35" s="683">
        <f>M35</f>
        <v>147282</v>
      </c>
      <c r="P35" s="683">
        <f>O35</f>
        <v>147282</v>
      </c>
      <c r="Q35" s="683"/>
      <c r="R35" s="685">
        <v>0</v>
      </c>
    </row>
    <row r="36" spans="1:18" s="686" customFormat="1" ht="12.95" customHeight="1">
      <c r="A36" s="682">
        <v>20</v>
      </c>
      <c r="B36" s="1846" t="s">
        <v>2309</v>
      </c>
      <c r="C36" s="1846"/>
      <c r="D36" s="1846"/>
      <c r="E36" s="1846"/>
      <c r="F36" s="683">
        <v>1</v>
      </c>
      <c r="G36" s="683">
        <v>120839</v>
      </c>
      <c r="H36" s="683">
        <v>0</v>
      </c>
      <c r="I36" s="683">
        <v>0</v>
      </c>
      <c r="J36" s="683">
        <v>0</v>
      </c>
      <c r="K36" s="683">
        <v>120839</v>
      </c>
      <c r="L36" s="683">
        <v>0</v>
      </c>
      <c r="M36" s="683">
        <v>120839</v>
      </c>
      <c r="N36" s="684"/>
      <c r="O36" s="683">
        <f>M36</f>
        <v>120839</v>
      </c>
      <c r="P36" s="683">
        <f>O36</f>
        <v>120839</v>
      </c>
      <c r="Q36" s="683"/>
      <c r="R36" s="685">
        <f>4.06*1390*12</f>
        <v>67720.799999999988</v>
      </c>
    </row>
    <row r="37" spans="1:18" s="673" customFormat="1">
      <c r="A37" s="1151" t="s">
        <v>65</v>
      </c>
      <c r="B37" s="1851" t="s">
        <v>2310</v>
      </c>
      <c r="C37" s="1851"/>
      <c r="D37" s="1851"/>
      <c r="E37" s="1851"/>
      <c r="F37" s="680">
        <f>F38+F44+F50+F58+F61+F66+F72+F77+F81</f>
        <v>262</v>
      </c>
      <c r="G37" s="680">
        <f t="shared" ref="G37:Q37" si="7">G38+G44+G50+G58+G61+G66+G72+G77+G81</f>
        <v>30578777.854000002</v>
      </c>
      <c r="H37" s="680">
        <f t="shared" si="7"/>
        <v>0</v>
      </c>
      <c r="I37" s="680">
        <f t="shared" si="7"/>
        <v>8076255</v>
      </c>
      <c r="J37" s="680">
        <f t="shared" si="7"/>
        <v>186478.7</v>
      </c>
      <c r="K37" s="680">
        <f t="shared" si="7"/>
        <v>38841512</v>
      </c>
      <c r="L37" s="680">
        <f t="shared" si="7"/>
        <v>1299714.2</v>
      </c>
      <c r="M37" s="680">
        <f t="shared" si="7"/>
        <v>38074802.354000002</v>
      </c>
      <c r="N37" s="680">
        <f t="shared" si="7"/>
        <v>6787023</v>
      </c>
      <c r="O37" s="680">
        <f t="shared" si="7"/>
        <v>31287779</v>
      </c>
      <c r="P37" s="680">
        <f t="shared" si="7"/>
        <v>23504241</v>
      </c>
      <c r="Q37" s="680">
        <f t="shared" si="7"/>
        <v>7783538</v>
      </c>
      <c r="R37" s="695"/>
    </row>
    <row r="38" spans="1:18" s="673" customFormat="1" ht="12.95" customHeight="1">
      <c r="A38" s="1151">
        <v>1</v>
      </c>
      <c r="B38" s="1850" t="s">
        <v>39</v>
      </c>
      <c r="C38" s="1850"/>
      <c r="D38" s="1850"/>
      <c r="E38" s="1850"/>
      <c r="F38" s="693">
        <f>F39+F40+F41+F42+F43</f>
        <v>6</v>
      </c>
      <c r="G38" s="693">
        <f t="shared" ref="G38:M38" si="8">G39+G40+G41+G42+G43</f>
        <v>899511</v>
      </c>
      <c r="H38" s="693">
        <f t="shared" si="8"/>
        <v>0</v>
      </c>
      <c r="I38" s="693">
        <f t="shared" si="8"/>
        <v>0</v>
      </c>
      <c r="J38" s="693">
        <f t="shared" si="8"/>
        <v>0</v>
      </c>
      <c r="K38" s="693">
        <f t="shared" si="8"/>
        <v>899511</v>
      </c>
      <c r="L38" s="693">
        <f t="shared" si="8"/>
        <v>0</v>
      </c>
      <c r="M38" s="696">
        <f t="shared" si="8"/>
        <v>899511</v>
      </c>
      <c r="N38" s="693">
        <f>108478</f>
        <v>108478</v>
      </c>
      <c r="O38" s="693">
        <f>241920+253026+103684+192403</f>
        <v>791033</v>
      </c>
      <c r="P38" s="693">
        <f>241920+103684+253026</f>
        <v>598630</v>
      </c>
      <c r="Q38" s="693">
        <f t="shared" ref="Q38:Q84" si="9">O38-P38</f>
        <v>192403</v>
      </c>
      <c r="R38" s="695"/>
    </row>
    <row r="39" spans="1:18" ht="12.95" hidden="1" customHeight="1">
      <c r="A39" s="697"/>
      <c r="B39" s="1850"/>
      <c r="C39" s="1850"/>
      <c r="D39" s="1850"/>
      <c r="E39" s="1850"/>
      <c r="F39" s="693">
        <v>1</v>
      </c>
      <c r="G39" s="693">
        <v>73991</v>
      </c>
      <c r="H39" s="693">
        <v>0</v>
      </c>
      <c r="I39" s="693">
        <v>0</v>
      </c>
      <c r="J39" s="693">
        <v>0</v>
      </c>
      <c r="K39" s="693">
        <v>73991</v>
      </c>
      <c r="L39" s="693">
        <v>0</v>
      </c>
      <c r="M39" s="696">
        <v>73991</v>
      </c>
      <c r="N39" s="693"/>
      <c r="O39" s="693"/>
      <c r="P39" s="693"/>
      <c r="Q39" s="693">
        <f t="shared" si="9"/>
        <v>0</v>
      </c>
      <c r="R39" s="694"/>
    </row>
    <row r="40" spans="1:18" ht="12.95" hidden="1" customHeight="1">
      <c r="A40" s="697"/>
      <c r="B40" s="1850"/>
      <c r="C40" s="1850"/>
      <c r="D40" s="1850"/>
      <c r="E40" s="1850"/>
      <c r="F40" s="693">
        <v>1</v>
      </c>
      <c r="G40" s="693">
        <v>125345</v>
      </c>
      <c r="H40" s="693">
        <v>0</v>
      </c>
      <c r="I40" s="693">
        <v>0</v>
      </c>
      <c r="J40" s="693">
        <v>0</v>
      </c>
      <c r="K40" s="693">
        <v>125345</v>
      </c>
      <c r="L40" s="693">
        <v>0</v>
      </c>
      <c r="M40" s="696">
        <v>125345</v>
      </c>
      <c r="N40" s="693"/>
      <c r="O40" s="693"/>
      <c r="P40" s="693"/>
      <c r="Q40" s="693">
        <f t="shared" si="9"/>
        <v>0</v>
      </c>
      <c r="R40" s="694"/>
    </row>
    <row r="41" spans="1:18" ht="12.95" hidden="1" customHeight="1">
      <c r="A41" s="697"/>
      <c r="B41" s="1850"/>
      <c r="C41" s="1850"/>
      <c r="D41" s="1850"/>
      <c r="E41" s="1850"/>
      <c r="F41" s="693">
        <v>1</v>
      </c>
      <c r="G41" s="693">
        <v>168900</v>
      </c>
      <c r="H41" s="693">
        <v>0</v>
      </c>
      <c r="I41" s="693">
        <v>0</v>
      </c>
      <c r="J41" s="693">
        <v>0</v>
      </c>
      <c r="K41" s="693">
        <v>168900</v>
      </c>
      <c r="L41" s="693">
        <v>0</v>
      </c>
      <c r="M41" s="696">
        <v>168900</v>
      </c>
      <c r="N41" s="693"/>
      <c r="O41" s="693"/>
      <c r="P41" s="693"/>
      <c r="Q41" s="693">
        <f t="shared" si="9"/>
        <v>0</v>
      </c>
      <c r="R41" s="694"/>
    </row>
    <row r="42" spans="1:18" ht="12.95" hidden="1" customHeight="1">
      <c r="A42" s="697"/>
      <c r="B42" s="1850"/>
      <c r="C42" s="1850"/>
      <c r="D42" s="1850"/>
      <c r="E42" s="1850"/>
      <c r="F42" s="693">
        <v>2</v>
      </c>
      <c r="G42" s="693">
        <v>385007</v>
      </c>
      <c r="H42" s="693">
        <v>0</v>
      </c>
      <c r="I42" s="693">
        <v>0</v>
      </c>
      <c r="J42" s="693">
        <v>0</v>
      </c>
      <c r="K42" s="693">
        <v>385007</v>
      </c>
      <c r="L42" s="693">
        <v>0</v>
      </c>
      <c r="M42" s="696">
        <v>385007</v>
      </c>
      <c r="N42" s="693"/>
      <c r="O42" s="693"/>
      <c r="P42" s="693"/>
      <c r="Q42" s="693">
        <f t="shared" si="9"/>
        <v>0</v>
      </c>
      <c r="R42" s="694"/>
    </row>
    <row r="43" spans="1:18" ht="12.95" hidden="1" customHeight="1">
      <c r="A43" s="697"/>
      <c r="B43" s="1850" t="s">
        <v>2311</v>
      </c>
      <c r="C43" s="1850"/>
      <c r="D43" s="1850"/>
      <c r="E43" s="1850"/>
      <c r="F43" s="693">
        <v>1</v>
      </c>
      <c r="G43" s="693">
        <v>146268</v>
      </c>
      <c r="H43" s="693">
        <v>0</v>
      </c>
      <c r="I43" s="693">
        <v>0</v>
      </c>
      <c r="J43" s="693">
        <v>0</v>
      </c>
      <c r="K43" s="693">
        <v>146268</v>
      </c>
      <c r="L43" s="693">
        <v>0</v>
      </c>
      <c r="M43" s="696">
        <v>146268</v>
      </c>
      <c r="N43" s="693"/>
      <c r="O43" s="693"/>
      <c r="P43" s="693"/>
      <c r="Q43" s="693">
        <f t="shared" si="9"/>
        <v>0</v>
      </c>
      <c r="R43" s="694"/>
    </row>
    <row r="44" spans="1:18">
      <c r="A44" s="697">
        <v>2</v>
      </c>
      <c r="B44" s="1850" t="s">
        <v>35</v>
      </c>
      <c r="C44" s="1850"/>
      <c r="D44" s="1850"/>
      <c r="E44" s="1850"/>
      <c r="F44" s="696">
        <f t="shared" ref="F44:M44" si="10">F45+F46+F47+F48+F49</f>
        <v>12</v>
      </c>
      <c r="G44" s="696">
        <f t="shared" si="10"/>
        <v>717654.85400000005</v>
      </c>
      <c r="H44" s="696">
        <f t="shared" si="10"/>
        <v>0</v>
      </c>
      <c r="I44" s="696">
        <f t="shared" si="10"/>
        <v>242878</v>
      </c>
      <c r="J44" s="696">
        <f t="shared" si="10"/>
        <v>186478.7</v>
      </c>
      <c r="K44" s="696">
        <f t="shared" si="10"/>
        <v>1147012</v>
      </c>
      <c r="L44" s="696">
        <f t="shared" si="10"/>
        <v>71245.2</v>
      </c>
      <c r="M44" s="696">
        <f t="shared" si="10"/>
        <v>1075766.3540000001</v>
      </c>
      <c r="N44" s="693">
        <f>67087+400759-172700+351</f>
        <v>295497</v>
      </c>
      <c r="O44" s="693">
        <f>118907+156537+75828+260891+168106</f>
        <v>780269</v>
      </c>
      <c r="P44" s="693">
        <f>118907+75828+156537</f>
        <v>351272</v>
      </c>
      <c r="Q44" s="693">
        <f t="shared" si="9"/>
        <v>428997</v>
      </c>
      <c r="R44" s="694"/>
    </row>
    <row r="45" spans="1:18" ht="12.95" hidden="1" customHeight="1">
      <c r="A45" s="697"/>
      <c r="B45" s="1850"/>
      <c r="C45" s="1850"/>
      <c r="D45" s="1850"/>
      <c r="E45" s="1850"/>
      <c r="F45" s="693">
        <v>1</v>
      </c>
      <c r="G45" s="693">
        <v>173954</v>
      </c>
      <c r="H45" s="693">
        <v>0</v>
      </c>
      <c r="I45" s="693">
        <v>0</v>
      </c>
      <c r="J45" s="693">
        <v>0</v>
      </c>
      <c r="K45" s="693">
        <v>173954</v>
      </c>
      <c r="L45" s="693">
        <v>0</v>
      </c>
      <c r="M45" s="696">
        <v>173954</v>
      </c>
      <c r="N45" s="693"/>
      <c r="O45" s="693"/>
      <c r="P45" s="693"/>
      <c r="Q45" s="693">
        <f t="shared" si="9"/>
        <v>0</v>
      </c>
      <c r="R45" s="694"/>
    </row>
    <row r="46" spans="1:18" ht="12.95" hidden="1" customHeight="1">
      <c r="A46" s="697"/>
      <c r="B46" s="1850"/>
      <c r="C46" s="1850"/>
      <c r="D46" s="1850"/>
      <c r="E46" s="1850"/>
      <c r="F46" s="693">
        <v>3</v>
      </c>
      <c r="G46" s="693">
        <v>0</v>
      </c>
      <c r="H46" s="693">
        <v>0</v>
      </c>
      <c r="I46" s="693">
        <v>37627</v>
      </c>
      <c r="J46" s="693">
        <v>0</v>
      </c>
      <c r="K46" s="693">
        <v>37627</v>
      </c>
      <c r="L46" s="693">
        <v>16846</v>
      </c>
      <c r="M46" s="696">
        <v>20781</v>
      </c>
      <c r="N46" s="693"/>
      <c r="O46" s="693"/>
      <c r="P46" s="693"/>
      <c r="Q46" s="693">
        <f t="shared" si="9"/>
        <v>0</v>
      </c>
      <c r="R46" s="694"/>
    </row>
    <row r="47" spans="1:18" ht="12.95" hidden="1" customHeight="1">
      <c r="A47" s="697"/>
      <c r="B47" s="1850"/>
      <c r="C47" s="1850"/>
      <c r="D47" s="1850"/>
      <c r="E47" s="1850"/>
      <c r="F47" s="693">
        <v>2</v>
      </c>
      <c r="G47" s="693">
        <v>59185.853999999999</v>
      </c>
      <c r="H47" s="693">
        <v>0</v>
      </c>
      <c r="I47" s="693">
        <v>0</v>
      </c>
      <c r="J47" s="693">
        <v>186478.7</v>
      </c>
      <c r="K47" s="693">
        <v>245665</v>
      </c>
      <c r="L47" s="693">
        <v>17254.2</v>
      </c>
      <c r="M47" s="696">
        <v>228410.35399999999</v>
      </c>
      <c r="N47" s="693"/>
      <c r="O47" s="693"/>
      <c r="P47" s="693"/>
      <c r="Q47" s="693">
        <f t="shared" si="9"/>
        <v>0</v>
      </c>
      <c r="R47" s="694"/>
    </row>
    <row r="48" spans="1:18" ht="12.95" hidden="1" customHeight="1">
      <c r="A48" s="697"/>
      <c r="B48" s="1850"/>
      <c r="C48" s="1850"/>
      <c r="D48" s="1850"/>
      <c r="E48" s="1850"/>
      <c r="F48" s="693">
        <v>4</v>
      </c>
      <c r="G48" s="693">
        <v>169374</v>
      </c>
      <c r="H48" s="693">
        <v>0</v>
      </c>
      <c r="I48" s="693">
        <v>205251</v>
      </c>
      <c r="J48" s="693">
        <v>0</v>
      </c>
      <c r="K48" s="693">
        <v>374625</v>
      </c>
      <c r="L48" s="693">
        <v>37145</v>
      </c>
      <c r="M48" s="696">
        <v>337480</v>
      </c>
      <c r="N48" s="693"/>
      <c r="O48" s="693"/>
      <c r="P48" s="693"/>
      <c r="Q48" s="693">
        <f t="shared" si="9"/>
        <v>0</v>
      </c>
      <c r="R48" s="694"/>
    </row>
    <row r="49" spans="1:18" ht="12.95" hidden="1" customHeight="1">
      <c r="A49" s="697"/>
      <c r="B49" s="1850"/>
      <c r="C49" s="1850"/>
      <c r="D49" s="1850"/>
      <c r="E49" s="1850"/>
      <c r="F49" s="693">
        <v>2</v>
      </c>
      <c r="G49" s="693">
        <v>315141</v>
      </c>
      <c r="H49" s="693">
        <v>0</v>
      </c>
      <c r="I49" s="693">
        <v>0</v>
      </c>
      <c r="J49" s="693">
        <v>0</v>
      </c>
      <c r="K49" s="693">
        <v>315141</v>
      </c>
      <c r="L49" s="693">
        <v>0</v>
      </c>
      <c r="M49" s="696">
        <v>315141</v>
      </c>
      <c r="N49" s="693"/>
      <c r="O49" s="693"/>
      <c r="P49" s="693"/>
      <c r="Q49" s="693">
        <f t="shared" si="9"/>
        <v>0</v>
      </c>
      <c r="R49" s="694"/>
    </row>
    <row r="50" spans="1:18">
      <c r="A50" s="697">
        <v>3</v>
      </c>
      <c r="B50" s="1850" t="s">
        <v>33</v>
      </c>
      <c r="C50" s="1850"/>
      <c r="D50" s="1850"/>
      <c r="E50" s="1850"/>
      <c r="F50" s="693">
        <f>F51+F52+F53+F54+F55+F56+F57</f>
        <v>73</v>
      </c>
      <c r="G50" s="693">
        <f t="shared" ref="G50:M50" si="11">G51+G52+G53+G54+G55+G56+G57</f>
        <v>6313816</v>
      </c>
      <c r="H50" s="693">
        <f t="shared" si="11"/>
        <v>0</v>
      </c>
      <c r="I50" s="693">
        <f t="shared" si="11"/>
        <v>4666614</v>
      </c>
      <c r="J50" s="693">
        <f t="shared" si="11"/>
        <v>0</v>
      </c>
      <c r="K50" s="693">
        <f t="shared" si="11"/>
        <v>10980430</v>
      </c>
      <c r="L50" s="693">
        <f t="shared" si="11"/>
        <v>653742</v>
      </c>
      <c r="M50" s="696">
        <f t="shared" si="11"/>
        <v>10326687</v>
      </c>
      <c r="N50" s="693">
        <f>3032282+516519+11199</f>
        <v>3560000</v>
      </c>
      <c r="O50" s="693">
        <f>2593825+935992+71195+2020574+1145101</f>
        <v>6766687</v>
      </c>
      <c r="P50" s="693">
        <f>2593825+1145101+2091769+935992</f>
        <v>6766687</v>
      </c>
      <c r="Q50" s="693">
        <f t="shared" si="9"/>
        <v>0</v>
      </c>
      <c r="R50" s="694"/>
    </row>
    <row r="51" spans="1:18" ht="12.95" hidden="1" customHeight="1">
      <c r="A51" s="697"/>
      <c r="B51" s="1850"/>
      <c r="C51" s="1850"/>
      <c r="D51" s="1850"/>
      <c r="E51" s="1850"/>
      <c r="F51" s="693">
        <v>4</v>
      </c>
      <c r="G51" s="693">
        <v>324932</v>
      </c>
      <c r="H51" s="693">
        <v>0</v>
      </c>
      <c r="I51" s="693">
        <v>250388</v>
      </c>
      <c r="J51" s="693">
        <v>0</v>
      </c>
      <c r="K51" s="693">
        <v>575320</v>
      </c>
      <c r="L51" s="693">
        <v>23018</v>
      </c>
      <c r="M51" s="696">
        <v>552302</v>
      </c>
      <c r="N51" s="693"/>
      <c r="O51" s="693"/>
      <c r="P51" s="693"/>
      <c r="Q51" s="693">
        <f t="shared" si="9"/>
        <v>0</v>
      </c>
      <c r="R51" s="694"/>
    </row>
    <row r="52" spans="1:18" ht="12.95" hidden="1" customHeight="1">
      <c r="A52" s="697"/>
      <c r="B52" s="1850"/>
      <c r="C52" s="1850"/>
      <c r="D52" s="1850"/>
      <c r="E52" s="1850"/>
      <c r="F52" s="693">
        <v>2</v>
      </c>
      <c r="G52" s="693">
        <v>332732</v>
      </c>
      <c r="H52" s="693">
        <v>0</v>
      </c>
      <c r="I52" s="693">
        <v>0</v>
      </c>
      <c r="J52" s="693">
        <v>0</v>
      </c>
      <c r="K52" s="693">
        <v>332732</v>
      </c>
      <c r="L52" s="693">
        <v>0</v>
      </c>
      <c r="M52" s="696">
        <v>332732</v>
      </c>
      <c r="N52" s="693"/>
      <c r="O52" s="693"/>
      <c r="P52" s="693"/>
      <c r="Q52" s="693">
        <f t="shared" si="9"/>
        <v>0</v>
      </c>
      <c r="R52" s="694"/>
    </row>
    <row r="53" spans="1:18" ht="12.95" hidden="1" customHeight="1">
      <c r="A53" s="697"/>
      <c r="B53" s="1850"/>
      <c r="C53" s="1850"/>
      <c r="D53" s="1850"/>
      <c r="E53" s="1850"/>
      <c r="F53" s="693">
        <v>21</v>
      </c>
      <c r="G53" s="693">
        <v>2853892</v>
      </c>
      <c r="H53" s="693">
        <v>0</v>
      </c>
      <c r="I53" s="693">
        <v>0</v>
      </c>
      <c r="J53" s="693">
        <v>0</v>
      </c>
      <c r="K53" s="693">
        <v>2853892</v>
      </c>
      <c r="L53" s="693">
        <v>0</v>
      </c>
      <c r="M53" s="696">
        <v>2853891</v>
      </c>
      <c r="N53" s="693"/>
      <c r="O53" s="693"/>
      <c r="P53" s="693"/>
      <c r="Q53" s="693">
        <f t="shared" si="9"/>
        <v>0</v>
      </c>
      <c r="R53" s="694"/>
    </row>
    <row r="54" spans="1:18" ht="12.95" hidden="1" customHeight="1">
      <c r="A54" s="697"/>
      <c r="B54" s="1850"/>
      <c r="C54" s="1850"/>
      <c r="D54" s="1850"/>
      <c r="E54" s="1850"/>
      <c r="F54" s="693">
        <v>3</v>
      </c>
      <c r="G54" s="693">
        <v>0</v>
      </c>
      <c r="H54" s="693">
        <v>0</v>
      </c>
      <c r="I54" s="693">
        <v>358375</v>
      </c>
      <c r="J54" s="693">
        <v>0</v>
      </c>
      <c r="K54" s="693">
        <v>358375</v>
      </c>
      <c r="L54" s="693">
        <v>41351</v>
      </c>
      <c r="M54" s="696">
        <v>317024</v>
      </c>
      <c r="N54" s="693"/>
      <c r="O54" s="693"/>
      <c r="P54" s="693"/>
      <c r="Q54" s="693">
        <f t="shared" si="9"/>
        <v>0</v>
      </c>
      <c r="R54" s="694"/>
    </row>
    <row r="55" spans="1:18" ht="12.95" hidden="1" customHeight="1">
      <c r="A55" s="697"/>
      <c r="B55" s="1850"/>
      <c r="C55" s="1850"/>
      <c r="D55" s="1850"/>
      <c r="E55" s="1850"/>
      <c r="F55" s="693">
        <v>6</v>
      </c>
      <c r="G55" s="693">
        <v>191468</v>
      </c>
      <c r="H55" s="693">
        <v>0</v>
      </c>
      <c r="I55" s="693">
        <v>713448</v>
      </c>
      <c r="J55" s="693">
        <v>0</v>
      </c>
      <c r="K55" s="693">
        <v>904916</v>
      </c>
      <c r="L55" s="693">
        <v>30543</v>
      </c>
      <c r="M55" s="696">
        <v>874373</v>
      </c>
      <c r="N55" s="693"/>
      <c r="O55" s="693"/>
      <c r="P55" s="693"/>
      <c r="Q55" s="693">
        <f t="shared" si="9"/>
        <v>0</v>
      </c>
      <c r="R55" s="694"/>
    </row>
    <row r="56" spans="1:18" ht="12.95" hidden="1" customHeight="1">
      <c r="A56" s="697"/>
      <c r="B56" s="1850"/>
      <c r="C56" s="1850"/>
      <c r="D56" s="1850"/>
      <c r="E56" s="1850"/>
      <c r="F56" s="693">
        <v>36</v>
      </c>
      <c r="G56" s="693">
        <v>2463282</v>
      </c>
      <c r="H56" s="693">
        <v>0</v>
      </c>
      <c r="I56" s="693">
        <v>3344403</v>
      </c>
      <c r="J56" s="693">
        <v>0</v>
      </c>
      <c r="K56" s="693">
        <v>5807685</v>
      </c>
      <c r="L56" s="693">
        <v>411320</v>
      </c>
      <c r="M56" s="696">
        <v>5396365</v>
      </c>
      <c r="N56" s="693"/>
      <c r="O56" s="693"/>
      <c r="P56" s="693"/>
      <c r="Q56" s="693">
        <f t="shared" si="9"/>
        <v>0</v>
      </c>
      <c r="R56" s="694"/>
    </row>
    <row r="57" spans="1:18" ht="12.95" hidden="1" customHeight="1">
      <c r="A57" s="697"/>
      <c r="B57" s="1850"/>
      <c r="C57" s="1850"/>
      <c r="D57" s="1850"/>
      <c r="E57" s="1850"/>
      <c r="F57" s="693">
        <v>1</v>
      </c>
      <c r="G57" s="693">
        <v>147510</v>
      </c>
      <c r="H57" s="693">
        <v>0</v>
      </c>
      <c r="I57" s="693">
        <v>0</v>
      </c>
      <c r="J57" s="693">
        <v>0</v>
      </c>
      <c r="K57" s="693">
        <v>147510</v>
      </c>
      <c r="L57" s="693">
        <v>147510</v>
      </c>
      <c r="M57" s="696">
        <v>0</v>
      </c>
      <c r="N57" s="693"/>
      <c r="O57" s="693"/>
      <c r="P57" s="693"/>
      <c r="Q57" s="693">
        <f t="shared" si="9"/>
        <v>0</v>
      </c>
      <c r="R57" s="694"/>
    </row>
    <row r="58" spans="1:18">
      <c r="A58" s="697">
        <v>4</v>
      </c>
      <c r="B58" s="1850" t="s">
        <v>318</v>
      </c>
      <c r="C58" s="1850"/>
      <c r="D58" s="1850"/>
      <c r="E58" s="1850"/>
      <c r="F58" s="693">
        <f>F59+F60</f>
        <v>4</v>
      </c>
      <c r="G58" s="693">
        <f t="shared" ref="G58:M58" si="12">G59+G60</f>
        <v>323067</v>
      </c>
      <c r="H58" s="693">
        <f t="shared" si="12"/>
        <v>0</v>
      </c>
      <c r="I58" s="693">
        <f t="shared" si="12"/>
        <v>24135</v>
      </c>
      <c r="J58" s="693">
        <f t="shared" si="12"/>
        <v>0</v>
      </c>
      <c r="K58" s="693">
        <f t="shared" si="12"/>
        <v>347202</v>
      </c>
      <c r="L58" s="693">
        <f t="shared" si="12"/>
        <v>24135</v>
      </c>
      <c r="M58" s="696">
        <f t="shared" si="12"/>
        <v>323067</v>
      </c>
      <c r="N58" s="693">
        <v>32992</v>
      </c>
      <c r="O58" s="693">
        <f>141552+87857+60666</f>
        <v>290075</v>
      </c>
      <c r="P58" s="693">
        <f>141552+60666+87857</f>
        <v>290075</v>
      </c>
      <c r="Q58" s="693">
        <f t="shared" si="9"/>
        <v>0</v>
      </c>
      <c r="R58" s="694"/>
    </row>
    <row r="59" spans="1:18" ht="12.95" hidden="1" customHeight="1">
      <c r="A59" s="697"/>
      <c r="B59" s="1850"/>
      <c r="C59" s="1850"/>
      <c r="D59" s="1850"/>
      <c r="E59" s="1850"/>
      <c r="F59" s="693">
        <v>2</v>
      </c>
      <c r="G59" s="693">
        <v>202218</v>
      </c>
      <c r="H59" s="693">
        <v>0</v>
      </c>
      <c r="I59" s="693">
        <v>0</v>
      </c>
      <c r="J59" s="693">
        <v>0</v>
      </c>
      <c r="K59" s="693">
        <v>202218</v>
      </c>
      <c r="L59" s="693">
        <v>0</v>
      </c>
      <c r="M59" s="696">
        <v>202218</v>
      </c>
      <c r="N59" s="693"/>
      <c r="O59" s="693"/>
      <c r="P59" s="693"/>
      <c r="Q59" s="693">
        <f t="shared" si="9"/>
        <v>0</v>
      </c>
      <c r="R59" s="694"/>
    </row>
    <row r="60" spans="1:18" ht="12.95" hidden="1" customHeight="1">
      <c r="A60" s="697"/>
      <c r="B60" s="1850"/>
      <c r="C60" s="1850"/>
      <c r="D60" s="1850"/>
      <c r="E60" s="1850"/>
      <c r="F60" s="693">
        <v>2</v>
      </c>
      <c r="G60" s="693">
        <v>120849</v>
      </c>
      <c r="H60" s="693">
        <v>0</v>
      </c>
      <c r="I60" s="693">
        <v>24135</v>
      </c>
      <c r="J60" s="693">
        <v>0</v>
      </c>
      <c r="K60" s="693">
        <v>144984</v>
      </c>
      <c r="L60" s="693">
        <v>24135</v>
      </c>
      <c r="M60" s="696">
        <v>120849</v>
      </c>
      <c r="N60" s="693"/>
      <c r="O60" s="693"/>
      <c r="P60" s="693"/>
      <c r="Q60" s="693">
        <f t="shared" si="9"/>
        <v>0</v>
      </c>
      <c r="R60" s="694"/>
    </row>
    <row r="61" spans="1:18">
      <c r="A61" s="697">
        <v>5</v>
      </c>
      <c r="B61" s="1850" t="s">
        <v>32</v>
      </c>
      <c r="C61" s="1850"/>
      <c r="D61" s="1850"/>
      <c r="E61" s="1850"/>
      <c r="F61" s="693">
        <f t="shared" ref="F61:M61" si="13">F62+F63+F64+F65</f>
        <v>58</v>
      </c>
      <c r="G61" s="693">
        <f t="shared" si="13"/>
        <v>7998303</v>
      </c>
      <c r="H61" s="693">
        <f t="shared" si="13"/>
        <v>0</v>
      </c>
      <c r="I61" s="693">
        <f t="shared" si="13"/>
        <v>140852</v>
      </c>
      <c r="J61" s="693">
        <f t="shared" si="13"/>
        <v>0</v>
      </c>
      <c r="K61" s="693">
        <f t="shared" si="13"/>
        <v>8139155</v>
      </c>
      <c r="L61" s="693">
        <f t="shared" si="13"/>
        <v>140852</v>
      </c>
      <c r="M61" s="696">
        <f t="shared" si="13"/>
        <v>7998303</v>
      </c>
      <c r="N61" s="693">
        <v>2260689</v>
      </c>
      <c r="O61" s="693">
        <f>801772+271229+607214+363934+3913860-220395</f>
        <v>5737614</v>
      </c>
      <c r="P61" s="693">
        <f>801772+363934+607214+271229</f>
        <v>2044149</v>
      </c>
      <c r="Q61" s="693">
        <f t="shared" si="9"/>
        <v>3693465</v>
      </c>
      <c r="R61" s="694"/>
    </row>
    <row r="62" spans="1:18" ht="12.95" hidden="1" customHeight="1">
      <c r="A62" s="697"/>
      <c r="B62" s="1850"/>
      <c r="C62" s="1850"/>
      <c r="D62" s="1850"/>
      <c r="E62" s="1850"/>
      <c r="F62" s="693">
        <v>1</v>
      </c>
      <c r="G62" s="693">
        <v>135799</v>
      </c>
      <c r="H62" s="693">
        <v>0</v>
      </c>
      <c r="I62" s="693">
        <v>0</v>
      </c>
      <c r="J62" s="693">
        <v>0</v>
      </c>
      <c r="K62" s="693">
        <v>135799</v>
      </c>
      <c r="L62" s="693">
        <v>0</v>
      </c>
      <c r="M62" s="696">
        <v>135799</v>
      </c>
      <c r="N62" s="693"/>
      <c r="O62" s="693"/>
      <c r="P62" s="693"/>
      <c r="Q62" s="693">
        <f t="shared" si="9"/>
        <v>0</v>
      </c>
      <c r="R62" s="694"/>
    </row>
    <row r="63" spans="1:18" ht="12.95" hidden="1" customHeight="1">
      <c r="A63" s="697"/>
      <c r="B63" s="1850"/>
      <c r="C63" s="1850"/>
      <c r="D63" s="1850"/>
      <c r="E63" s="1850"/>
      <c r="F63" s="693">
        <v>7</v>
      </c>
      <c r="G63" s="693">
        <v>1029907</v>
      </c>
      <c r="H63" s="693">
        <v>0</v>
      </c>
      <c r="I63" s="693">
        <v>0</v>
      </c>
      <c r="J63" s="693">
        <v>0</v>
      </c>
      <c r="K63" s="693">
        <v>1029907</v>
      </c>
      <c r="L63" s="693">
        <v>0</v>
      </c>
      <c r="M63" s="696">
        <v>1029907</v>
      </c>
      <c r="N63" s="693"/>
      <c r="O63" s="693"/>
      <c r="P63" s="693"/>
      <c r="Q63" s="693">
        <f t="shared" si="9"/>
        <v>0</v>
      </c>
      <c r="R63" s="694"/>
    </row>
    <row r="64" spans="1:18" ht="12.95" hidden="1" customHeight="1">
      <c r="A64" s="697"/>
      <c r="B64" s="1850"/>
      <c r="C64" s="1850"/>
      <c r="D64" s="1850"/>
      <c r="E64" s="1850"/>
      <c r="F64" s="693">
        <v>2</v>
      </c>
      <c r="G64" s="693">
        <v>367827</v>
      </c>
      <c r="H64" s="693">
        <v>0</v>
      </c>
      <c r="I64" s="693">
        <v>0</v>
      </c>
      <c r="J64" s="693">
        <v>0</v>
      </c>
      <c r="K64" s="693">
        <v>367827</v>
      </c>
      <c r="L64" s="693">
        <v>0</v>
      </c>
      <c r="M64" s="696">
        <v>367827</v>
      </c>
      <c r="N64" s="693"/>
      <c r="O64" s="693"/>
      <c r="P64" s="693"/>
      <c r="Q64" s="693">
        <f t="shared" si="9"/>
        <v>0</v>
      </c>
      <c r="R64" s="694"/>
    </row>
    <row r="65" spans="1:18" ht="12.95" hidden="1" customHeight="1">
      <c r="A65" s="697"/>
      <c r="B65" s="1850"/>
      <c r="C65" s="1850"/>
      <c r="D65" s="1850"/>
      <c r="E65" s="1850"/>
      <c r="F65" s="693">
        <v>48</v>
      </c>
      <c r="G65" s="693">
        <v>6464770</v>
      </c>
      <c r="H65" s="693">
        <v>0</v>
      </c>
      <c r="I65" s="693">
        <v>140852</v>
      </c>
      <c r="J65" s="693">
        <v>0</v>
      </c>
      <c r="K65" s="693">
        <v>6605622</v>
      </c>
      <c r="L65" s="693">
        <v>140852</v>
      </c>
      <c r="M65" s="696">
        <v>6464770</v>
      </c>
      <c r="N65" s="693"/>
      <c r="O65" s="693"/>
      <c r="P65" s="693"/>
      <c r="Q65" s="693">
        <f t="shared" si="9"/>
        <v>0</v>
      </c>
      <c r="R65" s="694"/>
    </row>
    <row r="66" spans="1:18">
      <c r="A66" s="697">
        <v>6</v>
      </c>
      <c r="B66" s="1850" t="s">
        <v>34</v>
      </c>
      <c r="C66" s="1850"/>
      <c r="D66" s="1850"/>
      <c r="E66" s="1850"/>
      <c r="F66" s="693">
        <f>F67+F68+F69+F70+F71</f>
        <v>65</v>
      </c>
      <c r="G66" s="693">
        <f t="shared" ref="G66:M66" si="14">G67+G68+G69+G70+G71</f>
        <v>9036510</v>
      </c>
      <c r="H66" s="693">
        <f t="shared" si="14"/>
        <v>0</v>
      </c>
      <c r="I66" s="693">
        <f t="shared" si="14"/>
        <v>1480722</v>
      </c>
      <c r="J66" s="693">
        <f t="shared" si="14"/>
        <v>0</v>
      </c>
      <c r="K66" s="693">
        <f t="shared" si="14"/>
        <v>10517232</v>
      </c>
      <c r="L66" s="693">
        <f t="shared" si="14"/>
        <v>113409</v>
      </c>
      <c r="M66" s="696">
        <f t="shared" si="14"/>
        <v>10403823</v>
      </c>
      <c r="N66" s="693">
        <f>461761-104988</f>
        <v>356773</v>
      </c>
      <c r="O66" s="693">
        <f>1445015+1352173+104959+3055604+620626+3468673</f>
        <v>10047050</v>
      </c>
      <c r="P66" s="693">
        <f>1445015+620626+3160563+1352173</f>
        <v>6578377</v>
      </c>
      <c r="Q66" s="693">
        <f t="shared" si="9"/>
        <v>3468673</v>
      </c>
      <c r="R66" s="694"/>
    </row>
    <row r="67" spans="1:18" ht="12.95" hidden="1" customHeight="1">
      <c r="A67" s="697"/>
      <c r="B67" s="1850"/>
      <c r="C67" s="1850"/>
      <c r="D67" s="1850"/>
      <c r="E67" s="1850"/>
      <c r="F67" s="693">
        <v>2</v>
      </c>
      <c r="G67" s="693">
        <v>265324</v>
      </c>
      <c r="H67" s="693">
        <v>0</v>
      </c>
      <c r="I67" s="693">
        <v>0</v>
      </c>
      <c r="J67" s="693">
        <v>0</v>
      </c>
      <c r="K67" s="693">
        <v>265324</v>
      </c>
      <c r="L67" s="693">
        <v>0</v>
      </c>
      <c r="M67" s="696">
        <v>265324</v>
      </c>
      <c r="N67" s="693"/>
      <c r="O67" s="693"/>
      <c r="P67" s="693"/>
      <c r="Q67" s="693">
        <f t="shared" si="9"/>
        <v>0</v>
      </c>
      <c r="R67" s="694"/>
    </row>
    <row r="68" spans="1:18" ht="12.95" hidden="1" customHeight="1">
      <c r="A68" s="697"/>
      <c r="B68" s="1850"/>
      <c r="C68" s="1850"/>
      <c r="D68" s="1850"/>
      <c r="E68" s="1850"/>
      <c r="F68" s="693">
        <v>13</v>
      </c>
      <c r="G68" s="693">
        <v>1800317</v>
      </c>
      <c r="H68" s="693">
        <v>0</v>
      </c>
      <c r="I68" s="693">
        <v>0</v>
      </c>
      <c r="J68" s="693">
        <v>0</v>
      </c>
      <c r="K68" s="693">
        <v>1800317</v>
      </c>
      <c r="L68" s="693">
        <v>0</v>
      </c>
      <c r="M68" s="696">
        <v>1800317</v>
      </c>
      <c r="N68" s="693"/>
      <c r="O68" s="693"/>
      <c r="P68" s="693"/>
      <c r="Q68" s="693">
        <f t="shared" si="9"/>
        <v>0</v>
      </c>
      <c r="R68" s="694"/>
    </row>
    <row r="69" spans="1:18" ht="12.95" hidden="1" customHeight="1">
      <c r="A69" s="697"/>
      <c r="B69" s="1850"/>
      <c r="C69" s="1850"/>
      <c r="D69" s="1850"/>
      <c r="E69" s="1850"/>
      <c r="F69" s="693">
        <v>1</v>
      </c>
      <c r="G69" s="693">
        <v>0</v>
      </c>
      <c r="H69" s="693">
        <v>0</v>
      </c>
      <c r="I69" s="693">
        <v>51216</v>
      </c>
      <c r="J69" s="693">
        <v>0</v>
      </c>
      <c r="K69" s="693">
        <v>51216</v>
      </c>
      <c r="L69" s="693">
        <v>8548</v>
      </c>
      <c r="M69" s="696">
        <v>42668</v>
      </c>
      <c r="N69" s="693"/>
      <c r="O69" s="693"/>
      <c r="P69" s="693"/>
      <c r="Q69" s="693">
        <f t="shared" si="9"/>
        <v>0</v>
      </c>
      <c r="R69" s="694"/>
    </row>
    <row r="70" spans="1:18" ht="12.95" hidden="1" customHeight="1">
      <c r="A70" s="697"/>
      <c r="B70" s="1850"/>
      <c r="C70" s="1850"/>
      <c r="D70" s="1850"/>
      <c r="E70" s="1850"/>
      <c r="F70" s="693">
        <v>1</v>
      </c>
      <c r="G70" s="693">
        <v>94807</v>
      </c>
      <c r="H70" s="693">
        <v>0</v>
      </c>
      <c r="I70" s="693">
        <v>0</v>
      </c>
      <c r="J70" s="693">
        <v>0</v>
      </c>
      <c r="K70" s="693">
        <v>94807</v>
      </c>
      <c r="L70" s="693">
        <v>0</v>
      </c>
      <c r="M70" s="696">
        <v>94807</v>
      </c>
      <c r="N70" s="693"/>
      <c r="O70" s="693"/>
      <c r="P70" s="693"/>
      <c r="Q70" s="693">
        <f t="shared" si="9"/>
        <v>0</v>
      </c>
      <c r="R70" s="694"/>
    </row>
    <row r="71" spans="1:18" ht="12.95" hidden="1" customHeight="1">
      <c r="A71" s="697"/>
      <c r="B71" s="1850"/>
      <c r="C71" s="1850"/>
      <c r="D71" s="1850"/>
      <c r="E71" s="1850"/>
      <c r="F71" s="693">
        <v>48</v>
      </c>
      <c r="G71" s="693">
        <v>6876062</v>
      </c>
      <c r="H71" s="693">
        <v>0</v>
      </c>
      <c r="I71" s="693">
        <v>1429506</v>
      </c>
      <c r="J71" s="693">
        <v>0</v>
      </c>
      <c r="K71" s="693">
        <v>8305568</v>
      </c>
      <c r="L71" s="693">
        <v>104861</v>
      </c>
      <c r="M71" s="696">
        <v>8200707</v>
      </c>
      <c r="N71" s="693"/>
      <c r="O71" s="693"/>
      <c r="P71" s="693"/>
      <c r="Q71" s="693">
        <f t="shared" si="9"/>
        <v>0</v>
      </c>
      <c r="R71" s="694"/>
    </row>
    <row r="72" spans="1:18">
      <c r="A72" s="697">
        <v>7</v>
      </c>
      <c r="B72" s="1850" t="s">
        <v>36</v>
      </c>
      <c r="C72" s="1850"/>
      <c r="D72" s="1850"/>
      <c r="E72" s="1850"/>
      <c r="F72" s="696">
        <f>F73+F74+F75+F76</f>
        <v>8</v>
      </c>
      <c r="G72" s="696">
        <f t="shared" ref="G72:M72" si="15">G73+G74+G75+G76</f>
        <v>316738</v>
      </c>
      <c r="H72" s="696">
        <f t="shared" si="15"/>
        <v>0</v>
      </c>
      <c r="I72" s="696">
        <f t="shared" si="15"/>
        <v>335795</v>
      </c>
      <c r="J72" s="696">
        <f t="shared" si="15"/>
        <v>0</v>
      </c>
      <c r="K72" s="696">
        <f t="shared" si="15"/>
        <v>652533</v>
      </c>
      <c r="L72" s="696">
        <f t="shared" si="15"/>
        <v>201245</v>
      </c>
      <c r="M72" s="696">
        <f t="shared" si="15"/>
        <v>451288</v>
      </c>
      <c r="N72" s="693">
        <v>61635</v>
      </c>
      <c r="O72" s="693">
        <f>183906+143815+61932</f>
        <v>389653</v>
      </c>
      <c r="P72" s="693">
        <f>183906+61932+143815</f>
        <v>389653</v>
      </c>
      <c r="Q72" s="693">
        <f t="shared" si="9"/>
        <v>0</v>
      </c>
      <c r="R72" s="694"/>
    </row>
    <row r="73" spans="1:18" ht="12.95" hidden="1" customHeight="1">
      <c r="A73" s="697"/>
      <c r="B73" s="1850"/>
      <c r="C73" s="1850"/>
      <c r="D73" s="1850"/>
      <c r="E73" s="1850"/>
      <c r="F73" s="693">
        <v>1</v>
      </c>
      <c r="G73" s="693">
        <v>0</v>
      </c>
      <c r="H73" s="693">
        <v>0</v>
      </c>
      <c r="I73" s="693">
        <v>126950</v>
      </c>
      <c r="J73" s="693">
        <v>0</v>
      </c>
      <c r="K73" s="693">
        <v>126950</v>
      </c>
      <c r="L73" s="693">
        <v>14219</v>
      </c>
      <c r="M73" s="696">
        <v>112731</v>
      </c>
      <c r="N73" s="693"/>
      <c r="O73" s="693"/>
      <c r="P73" s="693"/>
      <c r="Q73" s="693">
        <f t="shared" si="9"/>
        <v>0</v>
      </c>
      <c r="R73" s="694"/>
    </row>
    <row r="74" spans="1:18" ht="12.95" hidden="1" customHeight="1">
      <c r="A74" s="697"/>
      <c r="B74" s="1850"/>
      <c r="C74" s="1850"/>
      <c r="D74" s="1850"/>
      <c r="E74" s="1850"/>
      <c r="F74" s="693">
        <v>1</v>
      </c>
      <c r="G74" s="693">
        <v>133107</v>
      </c>
      <c r="H74" s="693">
        <v>0</v>
      </c>
      <c r="I74" s="693">
        <v>0</v>
      </c>
      <c r="J74" s="693">
        <v>0</v>
      </c>
      <c r="K74" s="693">
        <v>133107</v>
      </c>
      <c r="L74" s="693">
        <v>0</v>
      </c>
      <c r="M74" s="696">
        <v>133107</v>
      </c>
      <c r="N74" s="693"/>
      <c r="O74" s="693"/>
      <c r="P74" s="693"/>
      <c r="Q74" s="693">
        <f t="shared" si="9"/>
        <v>0</v>
      </c>
      <c r="R74" s="694"/>
    </row>
    <row r="75" spans="1:18" ht="12.95" hidden="1" customHeight="1">
      <c r="A75" s="697"/>
      <c r="B75" s="1153"/>
      <c r="C75" s="1153"/>
      <c r="D75" s="1153"/>
      <c r="E75" s="1153"/>
      <c r="F75" s="693" t="s">
        <v>126</v>
      </c>
      <c r="G75" s="693">
        <v>183631</v>
      </c>
      <c r="H75" s="693">
        <v>0</v>
      </c>
      <c r="I75" s="693">
        <v>0</v>
      </c>
      <c r="J75" s="693">
        <v>0</v>
      </c>
      <c r="K75" s="693">
        <v>183631</v>
      </c>
      <c r="L75" s="693">
        <v>0</v>
      </c>
      <c r="M75" s="696">
        <v>183631</v>
      </c>
      <c r="N75" s="693"/>
      <c r="O75" s="693"/>
      <c r="P75" s="693"/>
      <c r="Q75" s="693">
        <f t="shared" si="9"/>
        <v>0</v>
      </c>
      <c r="R75" s="694"/>
    </row>
    <row r="76" spans="1:18" ht="12.95" hidden="1" customHeight="1">
      <c r="A76" s="697"/>
      <c r="B76" s="1850"/>
      <c r="C76" s="1850"/>
      <c r="D76" s="1850"/>
      <c r="E76" s="1850"/>
      <c r="F76" s="693">
        <v>5</v>
      </c>
      <c r="G76" s="693">
        <v>0</v>
      </c>
      <c r="H76" s="693">
        <v>0</v>
      </c>
      <c r="I76" s="693">
        <v>208845</v>
      </c>
      <c r="J76" s="693">
        <v>0</v>
      </c>
      <c r="K76" s="693">
        <v>208845</v>
      </c>
      <c r="L76" s="693">
        <v>187026</v>
      </c>
      <c r="M76" s="696">
        <v>21819</v>
      </c>
      <c r="N76" s="693"/>
      <c r="O76" s="693"/>
      <c r="P76" s="693"/>
      <c r="Q76" s="693">
        <f t="shared" si="9"/>
        <v>0</v>
      </c>
      <c r="R76" s="694"/>
    </row>
    <row r="77" spans="1:18">
      <c r="A77" s="697">
        <v>8</v>
      </c>
      <c r="B77" s="1850" t="s">
        <v>37</v>
      </c>
      <c r="C77" s="1850"/>
      <c r="D77" s="1850"/>
      <c r="E77" s="1850"/>
      <c r="F77" s="693">
        <f>F78+F79+F80</f>
        <v>25</v>
      </c>
      <c r="G77" s="693">
        <f t="shared" ref="G77:M77" si="16">G78+G79+G80</f>
        <v>3048652</v>
      </c>
      <c r="H77" s="693">
        <f t="shared" si="16"/>
        <v>0</v>
      </c>
      <c r="I77" s="693">
        <f t="shared" si="16"/>
        <v>1185259</v>
      </c>
      <c r="J77" s="693">
        <f t="shared" si="16"/>
        <v>0</v>
      </c>
      <c r="K77" s="693">
        <f t="shared" si="16"/>
        <v>4233911</v>
      </c>
      <c r="L77" s="693">
        <f t="shared" si="16"/>
        <v>95086</v>
      </c>
      <c r="M77" s="696">
        <f t="shared" si="16"/>
        <v>4138825</v>
      </c>
      <c r="N77" s="693">
        <f>94863+16096</f>
        <v>110959</v>
      </c>
      <c r="O77" s="693">
        <f>1501597+563126+1320351+650539-7747</f>
        <v>4027866</v>
      </c>
      <c r="P77" s="693">
        <f>1501597+642792+1320351+563126</f>
        <v>4027866</v>
      </c>
      <c r="Q77" s="693">
        <f t="shared" si="9"/>
        <v>0</v>
      </c>
      <c r="R77" s="694"/>
    </row>
    <row r="78" spans="1:18" ht="12.95" hidden="1" customHeight="1">
      <c r="A78" s="697"/>
      <c r="B78" s="1850"/>
      <c r="C78" s="1850"/>
      <c r="D78" s="1850"/>
      <c r="E78" s="1850"/>
      <c r="F78" s="693">
        <v>12</v>
      </c>
      <c r="G78" s="693">
        <v>1544821</v>
      </c>
      <c r="H78" s="693">
        <v>0</v>
      </c>
      <c r="I78" s="693">
        <v>659797</v>
      </c>
      <c r="J78" s="693">
        <v>0</v>
      </c>
      <c r="K78" s="693">
        <v>2204618</v>
      </c>
      <c r="L78" s="693">
        <v>60229</v>
      </c>
      <c r="M78" s="696">
        <v>2144389</v>
      </c>
      <c r="N78" s="693"/>
      <c r="O78" s="693"/>
      <c r="P78" s="693"/>
      <c r="Q78" s="693">
        <f t="shared" si="9"/>
        <v>0</v>
      </c>
      <c r="R78" s="694"/>
    </row>
    <row r="79" spans="1:18" ht="12.95" hidden="1" customHeight="1">
      <c r="A79" s="697"/>
      <c r="B79" s="1153"/>
      <c r="C79" s="1153"/>
      <c r="D79" s="1153"/>
      <c r="E79" s="1153"/>
      <c r="F79" s="693">
        <v>2</v>
      </c>
      <c r="G79" s="698">
        <v>0</v>
      </c>
      <c r="H79" s="698">
        <v>0</v>
      </c>
      <c r="I79" s="698">
        <v>256598</v>
      </c>
      <c r="J79" s="698">
        <v>0</v>
      </c>
      <c r="K79" s="698">
        <v>256598</v>
      </c>
      <c r="L79" s="698">
        <v>15466</v>
      </c>
      <c r="M79" s="699">
        <v>241132</v>
      </c>
      <c r="N79" s="693"/>
      <c r="O79" s="693"/>
      <c r="P79" s="693"/>
      <c r="Q79" s="693">
        <f t="shared" si="9"/>
        <v>0</v>
      </c>
      <c r="R79" s="694"/>
    </row>
    <row r="80" spans="1:18" ht="12.95" hidden="1" customHeight="1">
      <c r="A80" s="697"/>
      <c r="B80" s="1850"/>
      <c r="C80" s="1850"/>
      <c r="D80" s="1850"/>
      <c r="E80" s="1850"/>
      <c r="F80" s="700">
        <v>11</v>
      </c>
      <c r="G80" s="701">
        <v>1503831</v>
      </c>
      <c r="H80" s="701">
        <v>0</v>
      </c>
      <c r="I80" s="698">
        <v>268864</v>
      </c>
      <c r="J80" s="701">
        <v>0</v>
      </c>
      <c r="K80" s="698">
        <v>1772695</v>
      </c>
      <c r="L80" s="698">
        <v>19391</v>
      </c>
      <c r="M80" s="699">
        <v>1753304</v>
      </c>
      <c r="N80" s="693"/>
      <c r="O80" s="693"/>
      <c r="P80" s="693"/>
      <c r="Q80" s="693">
        <f t="shared" si="9"/>
        <v>0</v>
      </c>
      <c r="R80" s="694"/>
    </row>
    <row r="81" spans="1:18">
      <c r="A81" s="702">
        <v>9</v>
      </c>
      <c r="B81" s="1852" t="s">
        <v>38</v>
      </c>
      <c r="C81" s="1852"/>
      <c r="D81" s="1852"/>
      <c r="E81" s="1852"/>
      <c r="F81" s="703">
        <f>F82+F83</f>
        <v>11</v>
      </c>
      <c r="G81" s="703">
        <f t="shared" ref="G81:L81" si="17">G82+G83</f>
        <v>1924526</v>
      </c>
      <c r="H81" s="703">
        <f t="shared" si="17"/>
        <v>0</v>
      </c>
      <c r="I81" s="703">
        <f t="shared" si="17"/>
        <v>0</v>
      </c>
      <c r="J81" s="703">
        <f t="shared" si="17"/>
        <v>0</v>
      </c>
      <c r="K81" s="703">
        <f t="shared" si="17"/>
        <v>1924526</v>
      </c>
      <c r="L81" s="703">
        <f t="shared" si="17"/>
        <v>0</v>
      </c>
      <c r="M81" s="704">
        <f>M82+M83+M84</f>
        <v>2457532</v>
      </c>
      <c r="N81" s="705"/>
      <c r="O81" s="705">
        <f>372660+585877+1338649+160346</f>
        <v>2457532</v>
      </c>
      <c r="P81" s="705">
        <f>372660+160346+1338649+585877</f>
        <v>2457532</v>
      </c>
      <c r="Q81" s="705">
        <f t="shared" si="9"/>
        <v>0</v>
      </c>
      <c r="R81" s="706"/>
    </row>
    <row r="82" spans="1:18" hidden="1">
      <c r="F82" s="674">
        <v>1</v>
      </c>
      <c r="G82" s="707">
        <v>159569</v>
      </c>
      <c r="H82" s="707">
        <v>0</v>
      </c>
      <c r="I82" s="707">
        <v>0</v>
      </c>
      <c r="J82" s="707">
        <v>0</v>
      </c>
      <c r="K82" s="707">
        <v>159569</v>
      </c>
      <c r="L82" s="707">
        <v>0</v>
      </c>
      <c r="M82" s="707">
        <v>159569</v>
      </c>
      <c r="N82" s="708"/>
      <c r="Q82" s="709">
        <f t="shared" si="9"/>
        <v>0</v>
      </c>
    </row>
    <row r="83" spans="1:18" hidden="1">
      <c r="F83" s="674">
        <v>10</v>
      </c>
      <c r="G83" s="710">
        <v>1764957</v>
      </c>
      <c r="H83" s="710">
        <v>0</v>
      </c>
      <c r="I83" s="710">
        <v>0</v>
      </c>
      <c r="J83" s="710">
        <v>0</v>
      </c>
      <c r="K83" s="710">
        <v>1764957</v>
      </c>
      <c r="L83" s="710">
        <v>0</v>
      </c>
      <c r="M83" s="710">
        <v>1764957</v>
      </c>
      <c r="N83" s="708"/>
      <c r="Q83" s="711">
        <f t="shared" si="9"/>
        <v>0</v>
      </c>
    </row>
    <row r="84" spans="1:18" hidden="1">
      <c r="F84" s="674">
        <v>4</v>
      </c>
      <c r="G84" s="710">
        <v>533006</v>
      </c>
      <c r="H84" s="710">
        <v>0</v>
      </c>
      <c r="I84" s="710">
        <v>0</v>
      </c>
      <c r="J84" s="710">
        <v>0</v>
      </c>
      <c r="K84" s="710">
        <v>533006</v>
      </c>
      <c r="L84" s="710">
        <v>0</v>
      </c>
      <c r="M84" s="710">
        <v>533006</v>
      </c>
      <c r="N84" s="708"/>
      <c r="Q84" s="711">
        <f t="shared" si="9"/>
        <v>0</v>
      </c>
    </row>
    <row r="86" spans="1:18">
      <c r="P86" s="712"/>
    </row>
    <row r="87" spans="1:18">
      <c r="P87" s="712"/>
    </row>
    <row r="89" spans="1:18">
      <c r="M89" s="712"/>
      <c r="N89" s="712"/>
    </row>
  </sheetData>
  <mergeCells count="86">
    <mergeCell ref="B76:E76"/>
    <mergeCell ref="B77:E77"/>
    <mergeCell ref="B78:E78"/>
    <mergeCell ref="B80:E80"/>
    <mergeCell ref="B81:E81"/>
    <mergeCell ref="B74:E74"/>
    <mergeCell ref="B63:E63"/>
    <mergeCell ref="B64:E64"/>
    <mergeCell ref="B65:E65"/>
    <mergeCell ref="B66:E66"/>
    <mergeCell ref="B67:E67"/>
    <mergeCell ref="B68:E68"/>
    <mergeCell ref="B69:E69"/>
    <mergeCell ref="B70:E70"/>
    <mergeCell ref="B71:E71"/>
    <mergeCell ref="B72:E72"/>
    <mergeCell ref="B73:E73"/>
    <mergeCell ref="B62:E62"/>
    <mergeCell ref="B51:E51"/>
    <mergeCell ref="B52:E52"/>
    <mergeCell ref="B53:E53"/>
    <mergeCell ref="B54:E54"/>
    <mergeCell ref="B55:E55"/>
    <mergeCell ref="B56:E56"/>
    <mergeCell ref="B57:E57"/>
    <mergeCell ref="B58:E58"/>
    <mergeCell ref="B59:E59"/>
    <mergeCell ref="B60:E60"/>
    <mergeCell ref="B61:E61"/>
    <mergeCell ref="B50:E50"/>
    <mergeCell ref="B39:E39"/>
    <mergeCell ref="B40:E40"/>
    <mergeCell ref="B41:E41"/>
    <mergeCell ref="B42:E42"/>
    <mergeCell ref="B43:E43"/>
    <mergeCell ref="B44:E44"/>
    <mergeCell ref="B45:E45"/>
    <mergeCell ref="B46:E46"/>
    <mergeCell ref="B47:E47"/>
    <mergeCell ref="B48:E48"/>
    <mergeCell ref="B49:E49"/>
    <mergeCell ref="B38:E38"/>
    <mergeCell ref="B27:E27"/>
    <mergeCell ref="B28:E28"/>
    <mergeCell ref="B29:E29"/>
    <mergeCell ref="B30:E30"/>
    <mergeCell ref="B31:E31"/>
    <mergeCell ref="B32:E32"/>
    <mergeCell ref="B33:E33"/>
    <mergeCell ref="B34:E34"/>
    <mergeCell ref="B35:E35"/>
    <mergeCell ref="B36:E36"/>
    <mergeCell ref="B37:E37"/>
    <mergeCell ref="B26:E26"/>
    <mergeCell ref="B15:E15"/>
    <mergeCell ref="B16:E16"/>
    <mergeCell ref="B17:E17"/>
    <mergeCell ref="B18:E18"/>
    <mergeCell ref="B19:E19"/>
    <mergeCell ref="B20:E20"/>
    <mergeCell ref="B21:E21"/>
    <mergeCell ref="B22:E22"/>
    <mergeCell ref="B23:E23"/>
    <mergeCell ref="B24:E24"/>
    <mergeCell ref="B25:E25"/>
    <mergeCell ref="B14:E14"/>
    <mergeCell ref="R3:R5"/>
    <mergeCell ref="N4:N5"/>
    <mergeCell ref="O4:Q4"/>
    <mergeCell ref="B6:E6"/>
    <mergeCell ref="B7:E7"/>
    <mergeCell ref="B8:E8"/>
    <mergeCell ref="B9:E9"/>
    <mergeCell ref="B10:E10"/>
    <mergeCell ref="B11:E11"/>
    <mergeCell ref="B12:E12"/>
    <mergeCell ref="B13:E13"/>
    <mergeCell ref="A1:Q1"/>
    <mergeCell ref="L2:Q2"/>
    <mergeCell ref="A3:A5"/>
    <mergeCell ref="B3:E5"/>
    <mergeCell ref="F3:F5"/>
    <mergeCell ref="K3:K5"/>
    <mergeCell ref="L3:L5"/>
    <mergeCell ref="M3:M5"/>
    <mergeCell ref="N3:Q3"/>
  </mergeCells>
  <pageMargins left="0.90551181102362199" right="0.70866141732283505" top="0.74803149606299202" bottom="0.74803149606299202" header="0.31496062992126" footer="0.31496062992126"/>
  <pageSetup paperSize="9" orientation="landscape"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18"/>
  <sheetViews>
    <sheetView workbookViewId="0">
      <selection activeCell="F104" sqref="F104:I104"/>
    </sheetView>
  </sheetViews>
  <sheetFormatPr defaultRowHeight="15"/>
  <cols>
    <col min="1" max="1" width="9.140625" style="596"/>
    <col min="2" max="2" width="35.140625" style="596" customWidth="1"/>
    <col min="3" max="3" width="12" style="596" customWidth="1"/>
    <col min="4" max="7" width="10.42578125" style="596" bestFit="1" customWidth="1"/>
    <col min="8" max="8" width="15.85546875" style="596" customWidth="1"/>
    <col min="9" max="16384" width="9.140625" style="596"/>
  </cols>
  <sheetData>
    <row r="1" spans="1:8">
      <c r="H1" s="598" t="s">
        <v>2312</v>
      </c>
    </row>
    <row r="2" spans="1:8">
      <c r="A2" s="1853" t="s">
        <v>2313</v>
      </c>
      <c r="B2" s="1853"/>
      <c r="C2" s="1853"/>
      <c r="D2" s="1853"/>
      <c r="E2" s="1853"/>
      <c r="F2" s="1853"/>
      <c r="G2" s="1853"/>
      <c r="H2" s="1853"/>
    </row>
    <row r="3" spans="1:8">
      <c r="G3" s="1854" t="s">
        <v>2314</v>
      </c>
      <c r="H3" s="1854"/>
    </row>
    <row r="4" spans="1:8" s="597" customFormat="1" ht="14.25">
      <c r="A4" s="1855" t="s">
        <v>3</v>
      </c>
      <c r="B4" s="1855" t="s">
        <v>4</v>
      </c>
      <c r="C4" s="1857" t="s">
        <v>2315</v>
      </c>
      <c r="D4" s="1855" t="s">
        <v>107</v>
      </c>
      <c r="E4" s="1855"/>
      <c r="F4" s="1855"/>
      <c r="G4" s="1855"/>
      <c r="H4" s="1857" t="s">
        <v>2316</v>
      </c>
    </row>
    <row r="5" spans="1:8" s="597" customFormat="1" ht="19.5" customHeight="1">
      <c r="A5" s="1856"/>
      <c r="B5" s="1856"/>
      <c r="C5" s="1856"/>
      <c r="D5" s="644" t="s">
        <v>2317</v>
      </c>
      <c r="E5" s="644" t="s">
        <v>2318</v>
      </c>
      <c r="F5" s="644" t="s">
        <v>2319</v>
      </c>
      <c r="G5" s="644" t="s">
        <v>2320</v>
      </c>
      <c r="H5" s="1856"/>
    </row>
    <row r="6" spans="1:8" s="646" customFormat="1" ht="12">
      <c r="A6" s="645">
        <v>1</v>
      </c>
      <c r="B6" s="645">
        <v>2</v>
      </c>
      <c r="C6" s="645">
        <v>3</v>
      </c>
      <c r="D6" s="645">
        <v>4</v>
      </c>
      <c r="E6" s="645">
        <v>5</v>
      </c>
      <c r="F6" s="645">
        <v>6</v>
      </c>
      <c r="G6" s="645">
        <v>7</v>
      </c>
      <c r="H6" s="645">
        <v>8</v>
      </c>
    </row>
    <row r="7" spans="1:8" ht="42.75">
      <c r="A7" s="1154" t="s">
        <v>5</v>
      </c>
      <c r="B7" s="647" t="s">
        <v>2321</v>
      </c>
      <c r="C7" s="648">
        <f>C8+C9+C10+C13</f>
        <v>525464</v>
      </c>
      <c r="D7" s="648">
        <f t="shared" ref="D7:H7" si="0">D8+D9+D10+D13</f>
        <v>123320</v>
      </c>
      <c r="E7" s="648">
        <f t="shared" si="0"/>
        <v>147651</v>
      </c>
      <c r="F7" s="648">
        <f t="shared" si="0"/>
        <v>130439</v>
      </c>
      <c r="G7" s="648">
        <f t="shared" si="0"/>
        <v>124054</v>
      </c>
      <c r="H7" s="648">
        <f t="shared" si="0"/>
        <v>570000</v>
      </c>
    </row>
    <row r="8" spans="1:8" ht="30">
      <c r="A8" s="649"/>
      <c r="B8" s="650" t="s">
        <v>2322</v>
      </c>
      <c r="C8" s="651">
        <f>SUM(D8:G8)</f>
        <v>24332</v>
      </c>
      <c r="D8" s="651">
        <v>4236</v>
      </c>
      <c r="E8" s="651">
        <v>7359</v>
      </c>
      <c r="F8" s="651">
        <v>8091</v>
      </c>
      <c r="G8" s="651">
        <v>4646</v>
      </c>
      <c r="H8" s="651">
        <v>50000</v>
      </c>
    </row>
    <row r="9" spans="1:8" ht="30">
      <c r="A9" s="649"/>
      <c r="B9" s="650" t="s">
        <v>2323</v>
      </c>
      <c r="C9" s="651">
        <f t="shared" ref="C9:C10" si="1">SUM(D9:G9)</f>
        <v>9698</v>
      </c>
      <c r="D9" s="651"/>
      <c r="E9" s="651">
        <v>2930</v>
      </c>
      <c r="F9" s="651">
        <v>3223</v>
      </c>
      <c r="G9" s="651">
        <v>3545</v>
      </c>
      <c r="H9" s="651">
        <v>20000</v>
      </c>
    </row>
    <row r="10" spans="1:8" ht="30">
      <c r="A10" s="649"/>
      <c r="B10" s="650" t="s">
        <v>2324</v>
      </c>
      <c r="C10" s="651">
        <f t="shared" si="1"/>
        <v>491434</v>
      </c>
      <c r="D10" s="651">
        <v>119084</v>
      </c>
      <c r="E10" s="651">
        <v>137362</v>
      </c>
      <c r="F10" s="651">
        <v>119125</v>
      </c>
      <c r="G10" s="651">
        <v>115863</v>
      </c>
      <c r="H10" s="651">
        <v>500000</v>
      </c>
    </row>
    <row r="11" spans="1:8" s="655" customFormat="1" ht="45">
      <c r="A11" s="652"/>
      <c r="B11" s="653" t="s">
        <v>2325</v>
      </c>
      <c r="C11" s="654"/>
      <c r="D11" s="654"/>
      <c r="E11" s="654"/>
      <c r="F11" s="654">
        <v>45430</v>
      </c>
      <c r="G11" s="654"/>
      <c r="H11" s="654"/>
    </row>
    <row r="12" spans="1:8" s="655" customFormat="1" ht="30">
      <c r="A12" s="652"/>
      <c r="B12" s="653" t="s">
        <v>2326</v>
      </c>
      <c r="C12" s="654"/>
      <c r="D12" s="654"/>
      <c r="E12" s="654"/>
      <c r="F12" s="654">
        <f>F10-F11</f>
        <v>73695</v>
      </c>
      <c r="G12" s="654"/>
      <c r="H12" s="654"/>
    </row>
    <row r="13" spans="1:8" ht="30">
      <c r="A13" s="649"/>
      <c r="B13" s="650" t="s">
        <v>2327</v>
      </c>
      <c r="C13" s="651"/>
      <c r="D13" s="651"/>
      <c r="E13" s="651"/>
      <c r="F13" s="651"/>
      <c r="G13" s="651"/>
      <c r="H13" s="651"/>
    </row>
    <row r="14" spans="1:8" ht="42.75">
      <c r="A14" s="1154" t="s">
        <v>12</v>
      </c>
      <c r="B14" s="647" t="s">
        <v>2328</v>
      </c>
      <c r="C14" s="648">
        <f>C7</f>
        <v>525464</v>
      </c>
      <c r="D14" s="648">
        <f t="shared" ref="D14:H14" si="2">D7</f>
        <v>123320</v>
      </c>
      <c r="E14" s="648">
        <f t="shared" si="2"/>
        <v>147651</v>
      </c>
      <c r="F14" s="648">
        <f t="shared" si="2"/>
        <v>130439</v>
      </c>
      <c r="G14" s="648">
        <f t="shared" si="2"/>
        <v>124054</v>
      </c>
      <c r="H14" s="648">
        <f t="shared" si="2"/>
        <v>570000</v>
      </c>
    </row>
    <row r="15" spans="1:8" ht="45">
      <c r="A15" s="649"/>
      <c r="B15" s="650" t="s">
        <v>2329</v>
      </c>
      <c r="C15" s="651">
        <f>C14/2</f>
        <v>262732</v>
      </c>
      <c r="D15" s="651">
        <f t="shared" ref="D15:H15" si="3">D14/2</f>
        <v>61660</v>
      </c>
      <c r="E15" s="651">
        <f t="shared" si="3"/>
        <v>73825.5</v>
      </c>
      <c r="F15" s="651">
        <f t="shared" si="3"/>
        <v>65219.5</v>
      </c>
      <c r="G15" s="651">
        <f t="shared" si="3"/>
        <v>62027</v>
      </c>
      <c r="H15" s="651">
        <f t="shared" si="3"/>
        <v>285000</v>
      </c>
    </row>
    <row r="16" spans="1:8" ht="60">
      <c r="A16" s="656"/>
      <c r="B16" s="657" t="s">
        <v>2330</v>
      </c>
      <c r="C16" s="658">
        <f>C14/2</f>
        <v>262732</v>
      </c>
      <c r="D16" s="658">
        <f t="shared" ref="D16:H16" si="4">D14/2</f>
        <v>61660</v>
      </c>
      <c r="E16" s="658">
        <f t="shared" si="4"/>
        <v>73825.5</v>
      </c>
      <c r="F16" s="658">
        <f t="shared" si="4"/>
        <v>65219.5</v>
      </c>
      <c r="G16" s="658">
        <f t="shared" si="4"/>
        <v>62027</v>
      </c>
      <c r="H16" s="658">
        <f t="shared" si="4"/>
        <v>285000</v>
      </c>
    </row>
    <row r="17" spans="6:6">
      <c r="F17" s="596" t="s">
        <v>22</v>
      </c>
    </row>
    <row r="18" spans="6:6">
      <c r="F18" s="597" t="s">
        <v>23</v>
      </c>
    </row>
  </sheetData>
  <mergeCells count="7">
    <mergeCell ref="A2:H2"/>
    <mergeCell ref="G3:H3"/>
    <mergeCell ref="A4:A5"/>
    <mergeCell ref="B4:B5"/>
    <mergeCell ref="C4:C5"/>
    <mergeCell ref="D4:G4"/>
    <mergeCell ref="H4:H5"/>
  </mergeCells>
  <pageMargins left="0.45" right="0.45" top="0.75" bottom="0.75" header="0.3" footer="0.3"/>
  <pageSetup paperSize="9" scale="8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H24"/>
  <sheetViews>
    <sheetView workbookViewId="0">
      <selection activeCell="F104" sqref="F104:I104"/>
    </sheetView>
  </sheetViews>
  <sheetFormatPr defaultRowHeight="15"/>
  <cols>
    <col min="1" max="1" width="4.140625" customWidth="1"/>
    <col min="2" max="2" width="54.7109375" customWidth="1"/>
    <col min="3" max="8" width="10" customWidth="1"/>
    <col min="257" max="257" width="4.140625" customWidth="1"/>
    <col min="258" max="258" width="54.7109375" customWidth="1"/>
    <col min="259" max="264" width="10" customWidth="1"/>
    <col min="513" max="513" width="4.140625" customWidth="1"/>
    <col min="514" max="514" width="54.7109375" customWidth="1"/>
    <col min="515" max="520" width="10" customWidth="1"/>
    <col min="769" max="769" width="4.140625" customWidth="1"/>
    <col min="770" max="770" width="54.7109375" customWidth="1"/>
    <col min="771" max="776" width="10" customWidth="1"/>
    <col min="1025" max="1025" width="4.140625" customWidth="1"/>
    <col min="1026" max="1026" width="54.7109375" customWidth="1"/>
    <col min="1027" max="1032" width="10" customWidth="1"/>
    <col min="1281" max="1281" width="4.140625" customWidth="1"/>
    <col min="1282" max="1282" width="54.7109375" customWidth="1"/>
    <col min="1283" max="1288" width="10" customWidth="1"/>
    <col min="1537" max="1537" width="4.140625" customWidth="1"/>
    <col min="1538" max="1538" width="54.7109375" customWidth="1"/>
    <col min="1539" max="1544" width="10" customWidth="1"/>
    <col min="1793" max="1793" width="4.140625" customWidth="1"/>
    <col min="1794" max="1794" width="54.7109375" customWidth="1"/>
    <col min="1795" max="1800" width="10" customWidth="1"/>
    <col min="2049" max="2049" width="4.140625" customWidth="1"/>
    <col min="2050" max="2050" width="54.7109375" customWidth="1"/>
    <col min="2051" max="2056" width="10" customWidth="1"/>
    <col min="2305" max="2305" width="4.140625" customWidth="1"/>
    <col min="2306" max="2306" width="54.7109375" customWidth="1"/>
    <col min="2307" max="2312" width="10" customWidth="1"/>
    <col min="2561" max="2561" width="4.140625" customWidth="1"/>
    <col min="2562" max="2562" width="54.7109375" customWidth="1"/>
    <col min="2563" max="2568" width="10" customWidth="1"/>
    <col min="2817" max="2817" width="4.140625" customWidth="1"/>
    <col min="2818" max="2818" width="54.7109375" customWidth="1"/>
    <col min="2819" max="2824" width="10" customWidth="1"/>
    <col min="3073" max="3073" width="4.140625" customWidth="1"/>
    <col min="3074" max="3074" width="54.7109375" customWidth="1"/>
    <col min="3075" max="3080" width="10" customWidth="1"/>
    <col min="3329" max="3329" width="4.140625" customWidth="1"/>
    <col min="3330" max="3330" width="54.7109375" customWidth="1"/>
    <col min="3331" max="3336" width="10" customWidth="1"/>
    <col min="3585" max="3585" width="4.140625" customWidth="1"/>
    <col min="3586" max="3586" width="54.7109375" customWidth="1"/>
    <col min="3587" max="3592" width="10" customWidth="1"/>
    <col min="3841" max="3841" width="4.140625" customWidth="1"/>
    <col min="3842" max="3842" width="54.7109375" customWidth="1"/>
    <col min="3843" max="3848" width="10" customWidth="1"/>
    <col min="4097" max="4097" width="4.140625" customWidth="1"/>
    <col min="4098" max="4098" width="54.7109375" customWidth="1"/>
    <col min="4099" max="4104" width="10" customWidth="1"/>
    <col min="4353" max="4353" width="4.140625" customWidth="1"/>
    <col min="4354" max="4354" width="54.7109375" customWidth="1"/>
    <col min="4355" max="4360" width="10" customWidth="1"/>
    <col min="4609" max="4609" width="4.140625" customWidth="1"/>
    <col min="4610" max="4610" width="54.7109375" customWidth="1"/>
    <col min="4611" max="4616" width="10" customWidth="1"/>
    <col min="4865" max="4865" width="4.140625" customWidth="1"/>
    <col min="4866" max="4866" width="54.7109375" customWidth="1"/>
    <col min="4867" max="4872" width="10" customWidth="1"/>
    <col min="5121" max="5121" width="4.140625" customWidth="1"/>
    <col min="5122" max="5122" width="54.7109375" customWidth="1"/>
    <col min="5123" max="5128" width="10" customWidth="1"/>
    <col min="5377" max="5377" width="4.140625" customWidth="1"/>
    <col min="5378" max="5378" width="54.7109375" customWidth="1"/>
    <col min="5379" max="5384" width="10" customWidth="1"/>
    <col min="5633" max="5633" width="4.140625" customWidth="1"/>
    <col min="5634" max="5634" width="54.7109375" customWidth="1"/>
    <col min="5635" max="5640" width="10" customWidth="1"/>
    <col min="5889" max="5889" width="4.140625" customWidth="1"/>
    <col min="5890" max="5890" width="54.7109375" customWidth="1"/>
    <col min="5891" max="5896" width="10" customWidth="1"/>
    <col min="6145" max="6145" width="4.140625" customWidth="1"/>
    <col min="6146" max="6146" width="54.7109375" customWidth="1"/>
    <col min="6147" max="6152" width="10" customWidth="1"/>
    <col min="6401" max="6401" width="4.140625" customWidth="1"/>
    <col min="6402" max="6402" width="54.7109375" customWidth="1"/>
    <col min="6403" max="6408" width="10" customWidth="1"/>
    <col min="6657" max="6657" width="4.140625" customWidth="1"/>
    <col min="6658" max="6658" width="54.7109375" customWidth="1"/>
    <col min="6659" max="6664" width="10" customWidth="1"/>
    <col min="6913" max="6913" width="4.140625" customWidth="1"/>
    <col min="6914" max="6914" width="54.7109375" customWidth="1"/>
    <col min="6915" max="6920" width="10" customWidth="1"/>
    <col min="7169" max="7169" width="4.140625" customWidth="1"/>
    <col min="7170" max="7170" width="54.7109375" customWidth="1"/>
    <col min="7171" max="7176" width="10" customWidth="1"/>
    <col min="7425" max="7425" width="4.140625" customWidth="1"/>
    <col min="7426" max="7426" width="54.7109375" customWidth="1"/>
    <col min="7427" max="7432" width="10" customWidth="1"/>
    <col min="7681" max="7681" width="4.140625" customWidth="1"/>
    <col min="7682" max="7682" width="54.7109375" customWidth="1"/>
    <col min="7683" max="7688" width="10" customWidth="1"/>
    <col min="7937" max="7937" width="4.140625" customWidth="1"/>
    <col min="7938" max="7938" width="54.7109375" customWidth="1"/>
    <col min="7939" max="7944" width="10" customWidth="1"/>
    <col min="8193" max="8193" width="4.140625" customWidth="1"/>
    <col min="8194" max="8194" width="54.7109375" customWidth="1"/>
    <col min="8195" max="8200" width="10" customWidth="1"/>
    <col min="8449" max="8449" width="4.140625" customWidth="1"/>
    <col min="8450" max="8450" width="54.7109375" customWidth="1"/>
    <col min="8451" max="8456" width="10" customWidth="1"/>
    <col min="8705" max="8705" width="4.140625" customWidth="1"/>
    <col min="8706" max="8706" width="54.7109375" customWidth="1"/>
    <col min="8707" max="8712" width="10" customWidth="1"/>
    <col min="8961" max="8961" width="4.140625" customWidth="1"/>
    <col min="8962" max="8962" width="54.7109375" customWidth="1"/>
    <col min="8963" max="8968" width="10" customWidth="1"/>
    <col min="9217" max="9217" width="4.140625" customWidth="1"/>
    <col min="9218" max="9218" width="54.7109375" customWidth="1"/>
    <col min="9219" max="9224" width="10" customWidth="1"/>
    <col min="9473" max="9473" width="4.140625" customWidth="1"/>
    <col min="9474" max="9474" width="54.7109375" customWidth="1"/>
    <col min="9475" max="9480" width="10" customWidth="1"/>
    <col min="9729" max="9729" width="4.140625" customWidth="1"/>
    <col min="9730" max="9730" width="54.7109375" customWidth="1"/>
    <col min="9731" max="9736" width="10" customWidth="1"/>
    <col min="9985" max="9985" width="4.140625" customWidth="1"/>
    <col min="9986" max="9986" width="54.7109375" customWidth="1"/>
    <col min="9987" max="9992" width="10" customWidth="1"/>
    <col min="10241" max="10241" width="4.140625" customWidth="1"/>
    <col min="10242" max="10242" width="54.7109375" customWidth="1"/>
    <col min="10243" max="10248" width="10" customWidth="1"/>
    <col min="10497" max="10497" width="4.140625" customWidth="1"/>
    <col min="10498" max="10498" width="54.7109375" customWidth="1"/>
    <col min="10499" max="10504" width="10" customWidth="1"/>
    <col min="10753" max="10753" width="4.140625" customWidth="1"/>
    <col min="10754" max="10754" width="54.7109375" customWidth="1"/>
    <col min="10755" max="10760" width="10" customWidth="1"/>
    <col min="11009" max="11009" width="4.140625" customWidth="1"/>
    <col min="11010" max="11010" width="54.7109375" customWidth="1"/>
    <col min="11011" max="11016" width="10" customWidth="1"/>
    <col min="11265" max="11265" width="4.140625" customWidth="1"/>
    <col min="11266" max="11266" width="54.7109375" customWidth="1"/>
    <col min="11267" max="11272" width="10" customWidth="1"/>
    <col min="11521" max="11521" width="4.140625" customWidth="1"/>
    <col min="11522" max="11522" width="54.7109375" customWidth="1"/>
    <col min="11523" max="11528" width="10" customWidth="1"/>
    <col min="11777" max="11777" width="4.140625" customWidth="1"/>
    <col min="11778" max="11778" width="54.7109375" customWidth="1"/>
    <col min="11779" max="11784" width="10" customWidth="1"/>
    <col min="12033" max="12033" width="4.140625" customWidth="1"/>
    <col min="12034" max="12034" width="54.7109375" customWidth="1"/>
    <col min="12035" max="12040" width="10" customWidth="1"/>
    <col min="12289" max="12289" width="4.140625" customWidth="1"/>
    <col min="12290" max="12290" width="54.7109375" customWidth="1"/>
    <col min="12291" max="12296" width="10" customWidth="1"/>
    <col min="12545" max="12545" width="4.140625" customWidth="1"/>
    <col min="12546" max="12546" width="54.7109375" customWidth="1"/>
    <col min="12547" max="12552" width="10" customWidth="1"/>
    <col min="12801" max="12801" width="4.140625" customWidth="1"/>
    <col min="12802" max="12802" width="54.7109375" customWidth="1"/>
    <col min="12803" max="12808" width="10" customWidth="1"/>
    <col min="13057" max="13057" width="4.140625" customWidth="1"/>
    <col min="13058" max="13058" width="54.7109375" customWidth="1"/>
    <col min="13059" max="13064" width="10" customWidth="1"/>
    <col min="13313" max="13313" width="4.140625" customWidth="1"/>
    <col min="13314" max="13314" width="54.7109375" customWidth="1"/>
    <col min="13315" max="13320" width="10" customWidth="1"/>
    <col min="13569" max="13569" width="4.140625" customWidth="1"/>
    <col min="13570" max="13570" width="54.7109375" customWidth="1"/>
    <col min="13571" max="13576" width="10" customWidth="1"/>
    <col min="13825" max="13825" width="4.140625" customWidth="1"/>
    <col min="13826" max="13826" width="54.7109375" customWidth="1"/>
    <col min="13827" max="13832" width="10" customWidth="1"/>
    <col min="14081" max="14081" width="4.140625" customWidth="1"/>
    <col min="14082" max="14082" width="54.7109375" customWidth="1"/>
    <col min="14083" max="14088" width="10" customWidth="1"/>
    <col min="14337" max="14337" width="4.140625" customWidth="1"/>
    <col min="14338" max="14338" width="54.7109375" customWidth="1"/>
    <col min="14339" max="14344" width="10" customWidth="1"/>
    <col min="14593" max="14593" width="4.140625" customWidth="1"/>
    <col min="14594" max="14594" width="54.7109375" customWidth="1"/>
    <col min="14595" max="14600" width="10" customWidth="1"/>
    <col min="14849" max="14849" width="4.140625" customWidth="1"/>
    <col min="14850" max="14850" width="54.7109375" customWidth="1"/>
    <col min="14851" max="14856" width="10" customWidth="1"/>
    <col min="15105" max="15105" width="4.140625" customWidth="1"/>
    <col min="15106" max="15106" width="54.7109375" customWidth="1"/>
    <col min="15107" max="15112" width="10" customWidth="1"/>
    <col min="15361" max="15361" width="4.140625" customWidth="1"/>
    <col min="15362" max="15362" width="54.7109375" customWidth="1"/>
    <col min="15363" max="15368" width="10" customWidth="1"/>
    <col min="15617" max="15617" width="4.140625" customWidth="1"/>
    <col min="15618" max="15618" width="54.7109375" customWidth="1"/>
    <col min="15619" max="15624" width="10" customWidth="1"/>
    <col min="15873" max="15873" width="4.140625" customWidth="1"/>
    <col min="15874" max="15874" width="54.7109375" customWidth="1"/>
    <col min="15875" max="15880" width="10" customWidth="1"/>
    <col min="16129" max="16129" width="4.140625" customWidth="1"/>
    <col min="16130" max="16130" width="54.7109375" customWidth="1"/>
    <col min="16131" max="16136" width="10" customWidth="1"/>
  </cols>
  <sheetData>
    <row r="2" spans="1:8">
      <c r="A2" s="1853" t="s">
        <v>2331</v>
      </c>
      <c r="B2" s="1853"/>
      <c r="C2" s="1853"/>
      <c r="D2" s="1853"/>
      <c r="E2" s="1853"/>
      <c r="F2" s="1853"/>
      <c r="G2" s="1853"/>
      <c r="H2" s="1853"/>
    </row>
    <row r="4" spans="1:8">
      <c r="G4" s="1858" t="s">
        <v>2332</v>
      </c>
      <c r="H4" s="1858"/>
    </row>
    <row r="5" spans="1:8">
      <c r="A5" s="1859"/>
      <c r="B5" s="1859" t="s">
        <v>28</v>
      </c>
      <c r="C5" s="1861" t="s">
        <v>2333</v>
      </c>
      <c r="D5" s="1863" t="s">
        <v>107</v>
      </c>
      <c r="E5" s="1864"/>
      <c r="F5" s="1864"/>
      <c r="G5" s="1865"/>
      <c r="H5" s="1861" t="s">
        <v>2316</v>
      </c>
    </row>
    <row r="6" spans="1:8" ht="45.75" customHeight="1">
      <c r="A6" s="1860"/>
      <c r="B6" s="1860"/>
      <c r="C6" s="1862"/>
      <c r="D6" s="659" t="s">
        <v>2317</v>
      </c>
      <c r="E6" s="659" t="s">
        <v>2318</v>
      </c>
      <c r="F6" s="659" t="s">
        <v>2319</v>
      </c>
      <c r="G6" s="659" t="s">
        <v>2320</v>
      </c>
      <c r="H6" s="1862"/>
    </row>
    <row r="7" spans="1:8" ht="28.5">
      <c r="A7" s="660" t="s">
        <v>5</v>
      </c>
      <c r="B7" s="661" t="s">
        <v>2321</v>
      </c>
      <c r="C7" s="662"/>
      <c r="D7" s="662"/>
      <c r="E7" s="662"/>
      <c r="F7" s="662"/>
      <c r="G7" s="662"/>
      <c r="H7" s="662"/>
    </row>
    <row r="8" spans="1:8" ht="18" customHeight="1">
      <c r="A8" s="663"/>
      <c r="B8" s="663" t="s">
        <v>2322</v>
      </c>
      <c r="C8" s="664">
        <f>SUM(D8:G8)</f>
        <v>24332</v>
      </c>
      <c r="D8" s="665">
        <v>4236</v>
      </c>
      <c r="E8" s="665">
        <v>7359</v>
      </c>
      <c r="F8" s="665">
        <v>8091</v>
      </c>
      <c r="G8" s="665">
        <v>4646</v>
      </c>
      <c r="H8" s="663"/>
    </row>
    <row r="9" spans="1:8" ht="18" customHeight="1">
      <c r="A9" s="663"/>
      <c r="B9" s="663" t="s">
        <v>2323</v>
      </c>
      <c r="C9" s="663"/>
      <c r="D9" s="663"/>
      <c r="E9" s="663"/>
      <c r="F9" s="663"/>
      <c r="G9" s="663"/>
      <c r="H9" s="663"/>
    </row>
    <row r="10" spans="1:8" ht="18" customHeight="1">
      <c r="A10" s="663"/>
      <c r="B10" s="662" t="s">
        <v>2324</v>
      </c>
      <c r="C10" s="666">
        <f>SUM(C11:C17)</f>
        <v>491434</v>
      </c>
      <c r="D10" s="666">
        <f>SUM(D11:D17)</f>
        <v>119084</v>
      </c>
      <c r="E10" s="666">
        <f>SUM(E11:E17)</f>
        <v>137362</v>
      </c>
      <c r="F10" s="666">
        <f>SUM(F11:F17)</f>
        <v>119125</v>
      </c>
      <c r="G10" s="666">
        <f>SUM(G11:G17)</f>
        <v>115863</v>
      </c>
      <c r="H10" s="662"/>
    </row>
    <row r="11" spans="1:8" ht="18" customHeight="1">
      <c r="A11" s="663"/>
      <c r="B11" s="667" t="s">
        <v>2334</v>
      </c>
      <c r="C11" s="668">
        <f t="shared" ref="C11:C17" si="0">SUM(D11:G11)</f>
        <v>47991</v>
      </c>
      <c r="D11" s="668">
        <v>24398</v>
      </c>
      <c r="E11" s="668">
        <v>14507</v>
      </c>
      <c r="F11" s="668">
        <v>5586</v>
      </c>
      <c r="G11" s="669">
        <v>3500</v>
      </c>
      <c r="H11" s="667"/>
    </row>
    <row r="12" spans="1:8" ht="18" customHeight="1">
      <c r="A12" s="663"/>
      <c r="B12" s="667" t="s">
        <v>2335</v>
      </c>
      <c r="C12" s="668">
        <f t="shared" si="0"/>
        <v>3550</v>
      </c>
      <c r="D12" s="668"/>
      <c r="E12" s="668">
        <v>3550</v>
      </c>
      <c r="F12" s="668"/>
      <c r="G12" s="669"/>
      <c r="H12" s="667"/>
    </row>
    <row r="13" spans="1:8" ht="18" customHeight="1">
      <c r="A13" s="663"/>
      <c r="B13" s="667" t="s">
        <v>2336</v>
      </c>
      <c r="C13" s="668">
        <f t="shared" si="0"/>
        <v>1106</v>
      </c>
      <c r="D13" s="668"/>
      <c r="E13" s="668">
        <v>565</v>
      </c>
      <c r="F13" s="668">
        <v>291</v>
      </c>
      <c r="G13" s="669">
        <v>250</v>
      </c>
      <c r="H13" s="667"/>
    </row>
    <row r="14" spans="1:8" ht="18" customHeight="1">
      <c r="A14" s="663"/>
      <c r="B14" s="667" t="s">
        <v>2337</v>
      </c>
      <c r="C14" s="668">
        <f t="shared" si="0"/>
        <v>10016</v>
      </c>
      <c r="D14" s="668"/>
      <c r="E14" s="668"/>
      <c r="F14" s="668">
        <v>5008</v>
      </c>
      <c r="G14" s="669">
        <v>5008</v>
      </c>
      <c r="H14" s="667"/>
    </row>
    <row r="15" spans="1:8" ht="18" customHeight="1">
      <c r="A15" s="663"/>
      <c r="B15" s="667" t="s">
        <v>2338</v>
      </c>
      <c r="C15" s="668">
        <f t="shared" si="0"/>
        <v>846</v>
      </c>
      <c r="D15" s="668"/>
      <c r="E15" s="668"/>
      <c r="F15" s="668">
        <v>423</v>
      </c>
      <c r="G15" s="669">
        <v>423</v>
      </c>
      <c r="H15" s="667"/>
    </row>
    <row r="16" spans="1:8" ht="18" customHeight="1">
      <c r="A16" s="663"/>
      <c r="B16" s="667" t="s">
        <v>2339</v>
      </c>
      <c r="C16" s="668">
        <f t="shared" si="0"/>
        <v>1135</v>
      </c>
      <c r="D16" s="668"/>
      <c r="E16" s="668"/>
      <c r="F16" s="668">
        <v>1135</v>
      </c>
      <c r="G16" s="669"/>
      <c r="H16" s="667"/>
    </row>
    <row r="17" spans="1:8" ht="18" customHeight="1">
      <c r="A17" s="663"/>
      <c r="B17" s="667" t="s">
        <v>2293</v>
      </c>
      <c r="C17" s="668">
        <f t="shared" si="0"/>
        <v>426790</v>
      </c>
      <c r="D17" s="668">
        <v>94686</v>
      </c>
      <c r="E17" s="668">
        <v>118740</v>
      </c>
      <c r="F17" s="668">
        <v>106682</v>
      </c>
      <c r="G17" s="669">
        <v>106682</v>
      </c>
      <c r="H17" s="667"/>
    </row>
    <row r="18" spans="1:8" ht="18" customHeight="1">
      <c r="A18" s="663"/>
      <c r="B18" s="663" t="s">
        <v>2327</v>
      </c>
      <c r="C18" s="670"/>
      <c r="D18" s="670"/>
      <c r="E18" s="670"/>
      <c r="F18" s="670"/>
      <c r="G18" s="663"/>
      <c r="H18" s="663"/>
    </row>
    <row r="19" spans="1:8" ht="33" customHeight="1">
      <c r="A19" s="660" t="s">
        <v>12</v>
      </c>
      <c r="B19" s="661" t="s">
        <v>2328</v>
      </c>
      <c r="C19" s="662"/>
      <c r="D19" s="662"/>
      <c r="E19" s="662"/>
      <c r="F19" s="662"/>
      <c r="G19" s="662"/>
      <c r="H19" s="662"/>
    </row>
    <row r="20" spans="1:8" ht="30">
      <c r="A20" s="663"/>
      <c r="B20" s="671" t="s">
        <v>2340</v>
      </c>
      <c r="C20" s="663"/>
      <c r="D20" s="663"/>
      <c r="E20" s="663"/>
      <c r="F20" s="663"/>
      <c r="G20" s="663"/>
      <c r="H20" s="663"/>
    </row>
    <row r="21" spans="1:8" ht="45">
      <c r="A21" s="663"/>
      <c r="B21" s="671" t="s">
        <v>2330</v>
      </c>
      <c r="C21" s="663"/>
      <c r="D21" s="663"/>
      <c r="E21" s="663"/>
      <c r="F21" s="663"/>
      <c r="G21" s="663"/>
      <c r="H21" s="663"/>
    </row>
    <row r="23" spans="1:8">
      <c r="E23" t="s">
        <v>2341</v>
      </c>
    </row>
    <row r="24" spans="1:8">
      <c r="E24" s="1049" t="s">
        <v>23</v>
      </c>
    </row>
  </sheetData>
  <mergeCells count="7">
    <mergeCell ref="A2:H2"/>
    <mergeCell ref="G4:H4"/>
    <mergeCell ref="A5:A6"/>
    <mergeCell ref="B5:B6"/>
    <mergeCell ref="C5:C6"/>
    <mergeCell ref="D5:G5"/>
    <mergeCell ref="H5:H6"/>
  </mergeCells>
  <pageMargins left="0.7" right="0.7" top="0.75" bottom="0.75"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110"/>
  <sheetViews>
    <sheetView topLeftCell="D9" zoomScale="89" zoomScaleNormal="89" workbookViewId="0">
      <selection activeCell="F104" sqref="F104:I104"/>
    </sheetView>
  </sheetViews>
  <sheetFormatPr defaultRowHeight="15"/>
  <cols>
    <col min="1" max="1" width="9.140625" style="596"/>
    <col min="2" max="2" width="24.28515625" style="596" customWidth="1"/>
    <col min="3" max="3" width="32" style="716" customWidth="1"/>
    <col min="4" max="4" width="21.140625" style="596" customWidth="1"/>
    <col min="5" max="7" width="21.140625" style="717" customWidth="1"/>
    <col min="8" max="8" width="11.85546875" style="717" customWidth="1"/>
    <col min="9" max="9" width="22.140625" style="718" customWidth="1"/>
    <col min="10" max="10" width="17.85546875" style="717" customWidth="1"/>
    <col min="11" max="11" width="23" style="717" customWidth="1"/>
    <col min="12" max="13" width="23" style="596" customWidth="1"/>
    <col min="14" max="16384" width="9.140625" style="596"/>
  </cols>
  <sheetData>
    <row r="1" spans="1:13" ht="24" customHeight="1">
      <c r="A1" s="1853" t="s">
        <v>2342</v>
      </c>
      <c r="B1" s="1853"/>
      <c r="C1" s="1853"/>
      <c r="D1" s="1853"/>
      <c r="E1" s="1853"/>
      <c r="F1" s="1853"/>
      <c r="G1" s="1853"/>
      <c r="H1" s="1853"/>
      <c r="I1" s="1853"/>
      <c r="J1" s="1853"/>
      <c r="K1" s="1853"/>
      <c r="L1" s="713"/>
      <c r="M1" s="713"/>
    </row>
    <row r="2" spans="1:13" ht="24" customHeight="1">
      <c r="A2" s="1141"/>
      <c r="B2" s="1141"/>
      <c r="C2" s="714"/>
      <c r="D2" s="1141"/>
      <c r="E2" s="1140"/>
      <c r="F2" s="1140"/>
      <c r="G2" s="1140"/>
      <c r="H2" s="1140"/>
      <c r="I2" s="715"/>
      <c r="J2" s="1140">
        <f>J6+K6</f>
        <v>97264.06666666668</v>
      </c>
      <c r="K2" s="1140"/>
      <c r="L2" s="713"/>
      <c r="M2" s="713"/>
    </row>
    <row r="3" spans="1:13">
      <c r="J3" s="1870" t="s">
        <v>2343</v>
      </c>
      <c r="K3" s="1870"/>
    </row>
    <row r="4" spans="1:13" ht="51" customHeight="1">
      <c r="A4" s="719" t="s">
        <v>3</v>
      </c>
      <c r="B4" s="719" t="s">
        <v>2344</v>
      </c>
      <c r="C4" s="720" t="s">
        <v>2345</v>
      </c>
      <c r="D4" s="720" t="s">
        <v>103</v>
      </c>
      <c r="E4" s="721" t="s">
        <v>2346</v>
      </c>
      <c r="F4" s="721" t="s">
        <v>2347</v>
      </c>
      <c r="G4" s="721" t="s">
        <v>2348</v>
      </c>
      <c r="H4" s="721" t="s">
        <v>2349</v>
      </c>
      <c r="I4" s="722" t="s">
        <v>109</v>
      </c>
      <c r="J4" s="721" t="s">
        <v>123</v>
      </c>
      <c r="K4" s="721" t="s">
        <v>124</v>
      </c>
      <c r="L4" s="720" t="s">
        <v>2350</v>
      </c>
      <c r="M4" s="599"/>
    </row>
    <row r="5" spans="1:13" s="597" customFormat="1" ht="51" customHeight="1">
      <c r="A5" s="723" t="s">
        <v>5</v>
      </c>
      <c r="B5" s="724" t="s">
        <v>2351</v>
      </c>
      <c r="C5" s="725">
        <f>COUNTA(C6:C105)</f>
        <v>71</v>
      </c>
      <c r="D5" s="725"/>
      <c r="E5" s="726"/>
      <c r="F5" s="726"/>
      <c r="G5" s="726"/>
      <c r="H5" s="726"/>
      <c r="I5" s="727"/>
      <c r="J5" s="726"/>
      <c r="K5" s="726"/>
      <c r="L5" s="725"/>
      <c r="M5" s="728"/>
    </row>
    <row r="6" spans="1:13" s="597" customFormat="1" ht="46.5" customHeight="1">
      <c r="A6" s="729"/>
      <c r="B6" s="730" t="s">
        <v>2352</v>
      </c>
      <c r="C6" s="731"/>
      <c r="D6" s="732"/>
      <c r="E6" s="733">
        <v>959462</v>
      </c>
      <c r="F6" s="733">
        <v>921252</v>
      </c>
      <c r="G6" s="733">
        <v>38210</v>
      </c>
      <c r="H6" s="733">
        <v>26</v>
      </c>
      <c r="I6" s="733">
        <v>90231.566666666666</v>
      </c>
      <c r="J6" s="733">
        <v>86847.400000000009</v>
      </c>
      <c r="K6" s="733">
        <v>10416.666666666668</v>
      </c>
      <c r="L6" s="647"/>
      <c r="M6" s="728"/>
    </row>
    <row r="7" spans="1:13" ht="46.5" customHeight="1">
      <c r="A7" s="734" t="s">
        <v>2353</v>
      </c>
      <c r="B7" s="735" t="s">
        <v>2354</v>
      </c>
      <c r="C7" s="736"/>
      <c r="D7" s="734"/>
      <c r="E7" s="737">
        <v>959462</v>
      </c>
      <c r="F7" s="737">
        <v>921252</v>
      </c>
      <c r="G7" s="737">
        <v>38210</v>
      </c>
      <c r="H7" s="737">
        <v>26</v>
      </c>
      <c r="I7" s="738">
        <v>90231.566666666666</v>
      </c>
      <c r="J7" s="737">
        <v>86847.400000000009</v>
      </c>
      <c r="K7" s="737">
        <v>10416.666666666668</v>
      </c>
      <c r="L7" s="649"/>
    </row>
    <row r="8" spans="1:13" ht="46.5" customHeight="1">
      <c r="A8" s="739"/>
      <c r="B8" s="740" t="s">
        <v>2355</v>
      </c>
      <c r="C8" s="741"/>
      <c r="D8" s="739"/>
      <c r="E8" s="742">
        <v>55965</v>
      </c>
      <c r="F8" s="742">
        <v>46541</v>
      </c>
      <c r="G8" s="742">
        <v>9424</v>
      </c>
      <c r="H8" s="742">
        <v>12</v>
      </c>
      <c r="I8" s="743">
        <v>25270.400000000001</v>
      </c>
      <c r="J8" s="742">
        <v>25270.400000000001</v>
      </c>
      <c r="K8" s="742">
        <v>0</v>
      </c>
      <c r="L8" s="649"/>
    </row>
    <row r="9" spans="1:13" ht="46.5" customHeight="1">
      <c r="A9" s="744">
        <v>1</v>
      </c>
      <c r="B9" s="745"/>
      <c r="C9" s="746" t="s">
        <v>2356</v>
      </c>
      <c r="D9" s="747" t="s">
        <v>139</v>
      </c>
      <c r="E9" s="748">
        <v>55965</v>
      </c>
      <c r="F9" s="748">
        <v>46541</v>
      </c>
      <c r="G9" s="748">
        <v>9424</v>
      </c>
      <c r="H9" s="748">
        <v>12</v>
      </c>
      <c r="I9" s="749">
        <v>25270.400000000001</v>
      </c>
      <c r="J9" s="750">
        <v>25270.400000000001</v>
      </c>
      <c r="K9" s="751">
        <v>0</v>
      </c>
      <c r="L9" s="649"/>
    </row>
    <row r="10" spans="1:13" ht="46.5" customHeight="1">
      <c r="A10" s="752"/>
      <c r="B10" s="753" t="s">
        <v>2357</v>
      </c>
      <c r="C10" s="754"/>
      <c r="D10" s="755"/>
      <c r="E10" s="742">
        <v>99740</v>
      </c>
      <c r="F10" s="742">
        <v>99740</v>
      </c>
      <c r="G10" s="742">
        <v>0</v>
      </c>
      <c r="H10" s="742">
        <v>6</v>
      </c>
      <c r="I10" s="743">
        <v>34691.066666666666</v>
      </c>
      <c r="J10" s="742">
        <v>30524.400000000001</v>
      </c>
      <c r="K10" s="742">
        <v>4166.666666666667</v>
      </c>
      <c r="L10" s="649"/>
    </row>
    <row r="11" spans="1:13" ht="46.5" customHeight="1">
      <c r="A11" s="744"/>
      <c r="B11" s="649"/>
      <c r="C11" s="756" t="s">
        <v>2358</v>
      </c>
      <c r="D11" s="757" t="s">
        <v>252</v>
      </c>
      <c r="E11" s="758">
        <v>99740</v>
      </c>
      <c r="F11" s="758">
        <v>99740</v>
      </c>
      <c r="G11" s="758"/>
      <c r="H11" s="758">
        <v>6</v>
      </c>
      <c r="I11" s="759">
        <v>34691.066666666666</v>
      </c>
      <c r="J11" s="751">
        <v>30524.400000000001</v>
      </c>
      <c r="K11" s="751">
        <v>4166.666666666667</v>
      </c>
      <c r="L11" s="649"/>
    </row>
    <row r="12" spans="1:13" ht="46.5" customHeight="1">
      <c r="A12" s="744"/>
      <c r="B12" s="760" t="s">
        <v>2359</v>
      </c>
      <c r="C12" s="761"/>
      <c r="D12" s="762"/>
      <c r="E12" s="763">
        <v>604035</v>
      </c>
      <c r="F12" s="763">
        <v>604035</v>
      </c>
      <c r="G12" s="763">
        <v>0</v>
      </c>
      <c r="H12" s="763">
        <v>3</v>
      </c>
      <c r="I12" s="743">
        <v>37302.6</v>
      </c>
      <c r="J12" s="763">
        <v>31052.600000000002</v>
      </c>
      <c r="K12" s="763">
        <v>6250</v>
      </c>
      <c r="L12" s="649"/>
    </row>
    <row r="13" spans="1:13" ht="46.5" customHeight="1">
      <c r="A13" s="744"/>
      <c r="B13" s="649"/>
      <c r="C13" s="764" t="s">
        <v>2360</v>
      </c>
      <c r="D13" s="765">
        <v>43800</v>
      </c>
      <c r="E13" s="766">
        <v>195393</v>
      </c>
      <c r="F13" s="766">
        <v>195393</v>
      </c>
      <c r="G13" s="767"/>
      <c r="H13" s="767">
        <v>1</v>
      </c>
      <c r="I13" s="749">
        <v>11507.533333333335</v>
      </c>
      <c r="J13" s="751">
        <v>9424.2000000000007</v>
      </c>
      <c r="K13" s="751">
        <v>2083.3333333333335</v>
      </c>
      <c r="L13" s="649"/>
    </row>
    <row r="14" spans="1:13" ht="46.5" customHeight="1">
      <c r="A14" s="744"/>
      <c r="B14" s="649"/>
      <c r="C14" s="764" t="s">
        <v>2361</v>
      </c>
      <c r="D14" s="765">
        <v>43800</v>
      </c>
      <c r="E14" s="766">
        <v>208655</v>
      </c>
      <c r="F14" s="766">
        <v>208655</v>
      </c>
      <c r="G14" s="767"/>
      <c r="H14" s="767">
        <v>1</v>
      </c>
      <c r="I14" s="749">
        <v>16177.933333333334</v>
      </c>
      <c r="J14" s="751">
        <v>14094.6</v>
      </c>
      <c r="K14" s="751">
        <v>2083.3333333333335</v>
      </c>
      <c r="L14" s="649"/>
    </row>
    <row r="15" spans="1:13" ht="46.5" customHeight="1">
      <c r="A15" s="744"/>
      <c r="B15" s="649"/>
      <c r="C15" s="764" t="s">
        <v>2362</v>
      </c>
      <c r="D15" s="765">
        <v>43800</v>
      </c>
      <c r="E15" s="766">
        <v>199987</v>
      </c>
      <c r="F15" s="766">
        <v>199987</v>
      </c>
      <c r="G15" s="767"/>
      <c r="H15" s="767">
        <v>1</v>
      </c>
      <c r="I15" s="749">
        <v>9617.1333333333332</v>
      </c>
      <c r="J15" s="751">
        <v>7533.8</v>
      </c>
      <c r="K15" s="751">
        <v>2083.3333333333335</v>
      </c>
      <c r="L15" s="649"/>
    </row>
    <row r="16" spans="1:13" ht="46.5" customHeight="1">
      <c r="A16" s="752"/>
      <c r="B16" s="760" t="s">
        <v>2363</v>
      </c>
      <c r="C16" s="761"/>
      <c r="D16" s="768"/>
      <c r="E16" s="763">
        <v>199722</v>
      </c>
      <c r="F16" s="763">
        <v>170936</v>
      </c>
      <c r="G16" s="763">
        <v>28786</v>
      </c>
      <c r="H16" s="763">
        <v>5</v>
      </c>
      <c r="I16" s="743">
        <v>-7032.5000000000018</v>
      </c>
      <c r="J16" s="763">
        <v>0</v>
      </c>
      <c r="K16" s="763">
        <v>0</v>
      </c>
      <c r="L16" s="649"/>
    </row>
    <row r="17" spans="1:12" ht="46.5" customHeight="1">
      <c r="A17" s="744"/>
      <c r="B17" s="649"/>
      <c r="C17" s="764" t="s">
        <v>2364</v>
      </c>
      <c r="D17" s="765">
        <v>43739</v>
      </c>
      <c r="E17" s="766">
        <v>110213</v>
      </c>
      <c r="F17" s="766">
        <v>95418</v>
      </c>
      <c r="G17" s="748">
        <v>14795</v>
      </c>
      <c r="H17" s="748">
        <v>3</v>
      </c>
      <c r="I17" s="749">
        <v>-1742.9000000000015</v>
      </c>
      <c r="J17" s="751">
        <v>0</v>
      </c>
      <c r="K17" s="751">
        <v>0</v>
      </c>
      <c r="L17" s="650" t="s">
        <v>2365</v>
      </c>
    </row>
    <row r="18" spans="1:12" ht="46.5" customHeight="1">
      <c r="A18" s="744"/>
      <c r="B18" s="649"/>
      <c r="C18" s="769" t="s">
        <v>2366</v>
      </c>
      <c r="D18" s="770" t="s">
        <v>265</v>
      </c>
      <c r="E18" s="766">
        <v>89509</v>
      </c>
      <c r="F18" s="771">
        <v>75518</v>
      </c>
      <c r="G18" s="771">
        <v>13991</v>
      </c>
      <c r="H18" s="771">
        <v>2</v>
      </c>
      <c r="I18" s="772">
        <v>-5289.6</v>
      </c>
      <c r="J18" s="751">
        <v>0</v>
      </c>
      <c r="K18" s="751">
        <v>0</v>
      </c>
      <c r="L18" s="649"/>
    </row>
    <row r="19" spans="1:12" ht="46.5" customHeight="1">
      <c r="A19" s="773"/>
      <c r="B19" s="730" t="s">
        <v>2367</v>
      </c>
      <c r="C19" s="774"/>
      <c r="D19" s="773"/>
      <c r="E19" s="738">
        <v>8586851</v>
      </c>
      <c r="F19" s="738">
        <v>7676330</v>
      </c>
      <c r="G19" s="738">
        <v>786882</v>
      </c>
      <c r="H19" s="738">
        <v>188</v>
      </c>
      <c r="I19" s="738">
        <v>1805772.0163753503</v>
      </c>
      <c r="J19" s="738">
        <v>1520470.3440000005</v>
      </c>
      <c r="K19" s="738">
        <v>285301.67237535014</v>
      </c>
      <c r="L19" s="649"/>
    </row>
    <row r="20" spans="1:12" ht="46.5" customHeight="1">
      <c r="A20" s="775"/>
      <c r="B20" s="775"/>
      <c r="C20" s="776"/>
      <c r="D20" s="775"/>
      <c r="E20" s="777"/>
      <c r="F20" s="777"/>
      <c r="G20" s="777"/>
      <c r="H20" s="777"/>
      <c r="I20" s="778"/>
      <c r="J20" s="751"/>
      <c r="K20" s="751"/>
      <c r="L20" s="649"/>
    </row>
    <row r="21" spans="1:12" ht="46.5" customHeight="1">
      <c r="A21" s="734" t="s">
        <v>2353</v>
      </c>
      <c r="B21" s="735" t="s">
        <v>2354</v>
      </c>
      <c r="C21" s="736"/>
      <c r="D21" s="734"/>
      <c r="E21" s="737">
        <v>1540979</v>
      </c>
      <c r="F21" s="737">
        <v>1347472</v>
      </c>
      <c r="G21" s="737">
        <v>69868</v>
      </c>
      <c r="H21" s="737">
        <v>45</v>
      </c>
      <c r="I21" s="738">
        <v>469053.4913165266</v>
      </c>
      <c r="J21" s="737">
        <v>395639.36</v>
      </c>
      <c r="K21" s="737">
        <v>73414.131316526618</v>
      </c>
      <c r="L21" s="649"/>
    </row>
    <row r="22" spans="1:12" ht="46.5" customHeight="1">
      <c r="A22" s="779"/>
      <c r="B22" s="740" t="s">
        <v>2368</v>
      </c>
      <c r="C22" s="741"/>
      <c r="D22" s="779"/>
      <c r="E22" s="780">
        <v>82279</v>
      </c>
      <c r="F22" s="780">
        <v>68393</v>
      </c>
      <c r="G22" s="780">
        <v>13886</v>
      </c>
      <c r="H22" s="780"/>
      <c r="I22" s="781">
        <v>80544.399999999994</v>
      </c>
      <c r="J22" s="782">
        <v>55544.399999999994</v>
      </c>
      <c r="K22" s="782">
        <v>25000</v>
      </c>
      <c r="L22" s="649"/>
    </row>
    <row r="23" spans="1:12" ht="46.5" customHeight="1">
      <c r="A23" s="783">
        <v>1</v>
      </c>
      <c r="B23" s="649"/>
      <c r="C23" s="784" t="s">
        <v>2369</v>
      </c>
      <c r="D23" s="785" t="s">
        <v>139</v>
      </c>
      <c r="E23" s="766">
        <v>82279</v>
      </c>
      <c r="F23" s="758">
        <v>68393</v>
      </c>
      <c r="G23" s="758">
        <v>13886</v>
      </c>
      <c r="H23" s="758">
        <v>12</v>
      </c>
      <c r="I23" s="749">
        <v>80544.399999999994</v>
      </c>
      <c r="J23" s="751">
        <v>55544.399999999994</v>
      </c>
      <c r="K23" s="751">
        <v>25000</v>
      </c>
      <c r="L23" s="649"/>
    </row>
    <row r="24" spans="1:12" ht="46.5" customHeight="1">
      <c r="A24" s="786"/>
      <c r="B24" s="787" t="s">
        <v>2370</v>
      </c>
      <c r="C24" s="788"/>
      <c r="D24" s="789"/>
      <c r="E24" s="763">
        <v>103406</v>
      </c>
      <c r="F24" s="763">
        <v>103406</v>
      </c>
      <c r="G24" s="763">
        <v>0</v>
      </c>
      <c r="H24" s="763">
        <v>6</v>
      </c>
      <c r="I24" s="743">
        <v>40195.466666666667</v>
      </c>
      <c r="J24" s="763">
        <v>36028.800000000003</v>
      </c>
      <c r="K24" s="763">
        <v>4166.666666666667</v>
      </c>
      <c r="L24" s="649"/>
    </row>
    <row r="25" spans="1:12" ht="46.5" customHeight="1">
      <c r="A25" s="790">
        <v>2</v>
      </c>
      <c r="B25" s="649"/>
      <c r="C25" s="764" t="s">
        <v>2371</v>
      </c>
      <c r="D25" s="791" t="s">
        <v>252</v>
      </c>
      <c r="E25" s="766">
        <v>103406</v>
      </c>
      <c r="F25" s="766">
        <v>103406</v>
      </c>
      <c r="G25" s="767"/>
      <c r="H25" s="767">
        <v>6</v>
      </c>
      <c r="I25" s="749">
        <v>40195.466666666667</v>
      </c>
      <c r="J25" s="751">
        <v>36028.800000000003</v>
      </c>
      <c r="K25" s="751">
        <v>4166.666666666667</v>
      </c>
      <c r="L25" s="649"/>
    </row>
    <row r="26" spans="1:12" ht="46.5" customHeight="1">
      <c r="A26" s="786"/>
      <c r="B26" s="792" t="s">
        <v>2372</v>
      </c>
      <c r="C26" s="793"/>
      <c r="D26" s="789"/>
      <c r="E26" s="763">
        <v>185105</v>
      </c>
      <c r="F26" s="763">
        <v>185105</v>
      </c>
      <c r="G26" s="763">
        <v>0</v>
      </c>
      <c r="H26" s="763"/>
      <c r="I26" s="743">
        <v>81805</v>
      </c>
      <c r="J26" s="763">
        <v>71389</v>
      </c>
      <c r="K26" s="763">
        <v>10416</v>
      </c>
      <c r="L26" s="649"/>
    </row>
    <row r="27" spans="1:12" ht="46.5" customHeight="1">
      <c r="A27" s="790">
        <v>3</v>
      </c>
      <c r="B27" s="649"/>
      <c r="C27" s="764" t="s">
        <v>2373</v>
      </c>
      <c r="D27" s="791" t="s">
        <v>521</v>
      </c>
      <c r="E27" s="766">
        <v>185105</v>
      </c>
      <c r="F27" s="766">
        <v>185105</v>
      </c>
      <c r="G27" s="767"/>
      <c r="H27" s="767">
        <v>5</v>
      </c>
      <c r="I27" s="794">
        <v>81805</v>
      </c>
      <c r="J27" s="795">
        <v>71389</v>
      </c>
      <c r="K27" s="795">
        <v>10416</v>
      </c>
      <c r="L27" s="649"/>
    </row>
    <row r="28" spans="1:12" ht="46.5" customHeight="1">
      <c r="A28" s="786"/>
      <c r="B28" s="792" t="s">
        <v>2374</v>
      </c>
      <c r="C28" s="793"/>
      <c r="D28" s="789"/>
      <c r="E28" s="763">
        <v>172879</v>
      </c>
      <c r="F28" s="763">
        <v>160369</v>
      </c>
      <c r="G28" s="763">
        <v>12510</v>
      </c>
      <c r="H28" s="763">
        <v>11</v>
      </c>
      <c r="I28" s="743">
        <v>67369.095238095237</v>
      </c>
      <c r="J28" s="763">
        <v>59631</v>
      </c>
      <c r="K28" s="763">
        <v>7738.0952380952385</v>
      </c>
      <c r="L28" s="649"/>
    </row>
    <row r="29" spans="1:12" ht="46.5" customHeight="1">
      <c r="A29" s="790">
        <v>4</v>
      </c>
      <c r="B29" s="649"/>
      <c r="C29" s="764" t="s">
        <v>2375</v>
      </c>
      <c r="D29" s="765" t="s">
        <v>521</v>
      </c>
      <c r="E29" s="766">
        <v>117371</v>
      </c>
      <c r="F29" s="766">
        <v>117371</v>
      </c>
      <c r="G29" s="767"/>
      <c r="H29" s="767">
        <v>5</v>
      </c>
      <c r="I29" s="749">
        <v>38182.428571428572</v>
      </c>
      <c r="J29" s="751">
        <v>34611</v>
      </c>
      <c r="K29" s="751">
        <v>3571.4285714285716</v>
      </c>
      <c r="L29" s="649"/>
    </row>
    <row r="30" spans="1:12" ht="46.5" customHeight="1">
      <c r="A30" s="783">
        <v>5</v>
      </c>
      <c r="B30" s="649"/>
      <c r="C30" s="756" t="s">
        <v>2376</v>
      </c>
      <c r="D30" s="757" t="s">
        <v>252</v>
      </c>
      <c r="E30" s="758">
        <v>55508</v>
      </c>
      <c r="F30" s="758">
        <v>42998</v>
      </c>
      <c r="G30" s="758">
        <v>12510</v>
      </c>
      <c r="H30" s="758">
        <v>6</v>
      </c>
      <c r="I30" s="749">
        <v>29186.666666666668</v>
      </c>
      <c r="J30" s="751">
        <v>25020</v>
      </c>
      <c r="K30" s="751">
        <v>4166.666666666667</v>
      </c>
      <c r="L30" s="649"/>
    </row>
    <row r="31" spans="1:12" ht="46.5" customHeight="1">
      <c r="A31" s="786"/>
      <c r="B31" s="760" t="s">
        <v>2377</v>
      </c>
      <c r="C31" s="761"/>
      <c r="D31" s="768"/>
      <c r="E31" s="763">
        <v>182270</v>
      </c>
      <c r="F31" s="763">
        <v>182270</v>
      </c>
      <c r="G31" s="763">
        <v>0</v>
      </c>
      <c r="H31" s="763">
        <v>3</v>
      </c>
      <c r="I31" s="743">
        <v>26629.129411764708</v>
      </c>
      <c r="J31" s="763">
        <v>22634.760000000002</v>
      </c>
      <c r="K31" s="763">
        <v>3994.369411764706</v>
      </c>
      <c r="L31" s="649"/>
    </row>
    <row r="32" spans="1:12" ht="46.5" customHeight="1">
      <c r="A32" s="790">
        <v>6</v>
      </c>
      <c r="B32" s="649"/>
      <c r="C32" s="764" t="s">
        <v>2378</v>
      </c>
      <c r="D32" s="765" t="s">
        <v>564</v>
      </c>
      <c r="E32" s="766">
        <v>182270</v>
      </c>
      <c r="F32" s="766">
        <v>182270</v>
      </c>
      <c r="G32" s="767"/>
      <c r="H32" s="767">
        <v>3</v>
      </c>
      <c r="I32" s="749">
        <v>26629.129411764708</v>
      </c>
      <c r="J32" s="751">
        <v>22634.760000000002</v>
      </c>
      <c r="K32" s="751">
        <v>3994.369411764706</v>
      </c>
      <c r="L32" s="649"/>
    </row>
    <row r="33" spans="1:12" ht="46.5" customHeight="1">
      <c r="A33" s="786"/>
      <c r="B33" s="760" t="s">
        <v>2379</v>
      </c>
      <c r="C33" s="761"/>
      <c r="D33" s="768"/>
      <c r="E33" s="763">
        <v>89957</v>
      </c>
      <c r="F33" s="763">
        <v>89957</v>
      </c>
      <c r="G33" s="763">
        <v>0</v>
      </c>
      <c r="H33" s="763">
        <v>6</v>
      </c>
      <c r="I33" s="743">
        <v>74387.8</v>
      </c>
      <c r="J33" s="763">
        <v>68137.8</v>
      </c>
      <c r="K33" s="763">
        <v>6250</v>
      </c>
      <c r="L33" s="649"/>
    </row>
    <row r="34" spans="1:12" ht="46.5" customHeight="1">
      <c r="A34" s="790">
        <v>7</v>
      </c>
      <c r="B34" s="649"/>
      <c r="C34" s="796" t="s">
        <v>2380</v>
      </c>
      <c r="D34" s="765" t="s">
        <v>252</v>
      </c>
      <c r="E34" s="766">
        <v>89957</v>
      </c>
      <c r="F34" s="766">
        <v>89957</v>
      </c>
      <c r="G34" s="767"/>
      <c r="H34" s="767">
        <v>6</v>
      </c>
      <c r="I34" s="749">
        <v>74387.8</v>
      </c>
      <c r="J34" s="751">
        <v>68137.8</v>
      </c>
      <c r="K34" s="751">
        <v>6250</v>
      </c>
      <c r="L34" s="649"/>
    </row>
    <row r="35" spans="1:12" ht="46.5" customHeight="1">
      <c r="A35" s="786"/>
      <c r="B35" s="787" t="s">
        <v>2381</v>
      </c>
      <c r="C35" s="788"/>
      <c r="D35" s="797"/>
      <c r="E35" s="763">
        <v>214433</v>
      </c>
      <c r="F35" s="763">
        <v>194334</v>
      </c>
      <c r="G35" s="763">
        <v>20099</v>
      </c>
      <c r="H35" s="763">
        <v>6</v>
      </c>
      <c r="I35" s="743">
        <v>48528.800000000003</v>
      </c>
      <c r="J35" s="763">
        <v>36028.800000000003</v>
      </c>
      <c r="K35" s="763">
        <v>12500</v>
      </c>
      <c r="L35" s="649"/>
    </row>
    <row r="36" spans="1:12" ht="46.5" customHeight="1">
      <c r="A36" s="783">
        <v>8</v>
      </c>
      <c r="B36" s="649"/>
      <c r="C36" s="756" t="s">
        <v>2382</v>
      </c>
      <c r="D36" s="757" t="s">
        <v>252</v>
      </c>
      <c r="E36" s="758">
        <v>214433</v>
      </c>
      <c r="F36" s="758">
        <v>194334</v>
      </c>
      <c r="G36" s="758">
        <v>20099</v>
      </c>
      <c r="H36" s="758">
        <v>6</v>
      </c>
      <c r="I36" s="749">
        <v>48528.800000000003</v>
      </c>
      <c r="J36" s="751">
        <v>36028.800000000003</v>
      </c>
      <c r="K36" s="751">
        <v>12500</v>
      </c>
      <c r="L36" s="649"/>
    </row>
    <row r="37" spans="1:12" ht="46.5" customHeight="1">
      <c r="A37" s="786"/>
      <c r="B37" s="798" t="s">
        <v>2383</v>
      </c>
      <c r="C37" s="799"/>
      <c r="D37" s="798"/>
      <c r="E37" s="800">
        <v>123639</v>
      </c>
      <c r="F37" s="800" t="s">
        <v>2384</v>
      </c>
      <c r="G37" s="800">
        <v>0</v>
      </c>
      <c r="H37" s="800">
        <v>5</v>
      </c>
      <c r="I37" s="781">
        <v>34958</v>
      </c>
      <c r="J37" s="800">
        <v>34958</v>
      </c>
      <c r="K37" s="800">
        <v>0</v>
      </c>
      <c r="L37" s="649"/>
    </row>
    <row r="38" spans="1:12" ht="46.5" customHeight="1">
      <c r="A38" s="790">
        <v>9</v>
      </c>
      <c r="B38" s="649"/>
      <c r="C38" s="756" t="s">
        <v>2384</v>
      </c>
      <c r="D38" s="757" t="s">
        <v>521</v>
      </c>
      <c r="E38" s="758">
        <v>123639</v>
      </c>
      <c r="F38" s="801" t="s">
        <v>2384</v>
      </c>
      <c r="G38" s="801"/>
      <c r="H38" s="801">
        <v>5</v>
      </c>
      <c r="I38" s="749">
        <v>34958</v>
      </c>
      <c r="J38" s="751">
        <v>34958</v>
      </c>
      <c r="K38" s="751"/>
      <c r="L38" s="649"/>
    </row>
    <row r="39" spans="1:12" ht="46.5" customHeight="1">
      <c r="A39" s="786"/>
      <c r="B39" s="798" t="s">
        <v>2385</v>
      </c>
      <c r="C39" s="799"/>
      <c r="D39" s="802"/>
      <c r="E39" s="742">
        <v>114275</v>
      </c>
      <c r="F39" s="742">
        <v>114275</v>
      </c>
      <c r="G39" s="742">
        <v>0</v>
      </c>
      <c r="H39" s="742">
        <v>6</v>
      </c>
      <c r="I39" s="743">
        <v>11286.8</v>
      </c>
      <c r="J39" s="742">
        <v>11286.8</v>
      </c>
      <c r="K39" s="742">
        <v>0</v>
      </c>
      <c r="L39" s="649"/>
    </row>
    <row r="40" spans="1:12" ht="46.5" customHeight="1">
      <c r="A40" s="790"/>
      <c r="B40" s="649"/>
      <c r="C40" s="746" t="s">
        <v>2386</v>
      </c>
      <c r="D40" s="757" t="s">
        <v>252</v>
      </c>
      <c r="E40" s="758">
        <v>114275</v>
      </c>
      <c r="F40" s="758">
        <v>114275</v>
      </c>
      <c r="G40" s="801"/>
      <c r="H40" s="801">
        <v>6</v>
      </c>
      <c r="I40" s="749">
        <v>11286.8</v>
      </c>
      <c r="J40" s="751">
        <v>11286.8</v>
      </c>
      <c r="K40" s="751"/>
      <c r="L40" s="649"/>
    </row>
    <row r="41" spans="1:12" ht="46.5" customHeight="1">
      <c r="A41" s="786"/>
      <c r="B41" s="787" t="s">
        <v>2387</v>
      </c>
      <c r="C41" s="788"/>
      <c r="D41" s="787"/>
      <c r="E41" s="803">
        <v>272736</v>
      </c>
      <c r="F41" s="803">
        <v>249363</v>
      </c>
      <c r="G41" s="803">
        <v>23373</v>
      </c>
      <c r="H41" s="803">
        <v>2</v>
      </c>
      <c r="I41" s="781">
        <v>3349</v>
      </c>
      <c r="J41" s="803">
        <v>0</v>
      </c>
      <c r="K41" s="803">
        <v>3349</v>
      </c>
      <c r="L41" s="649"/>
    </row>
    <row r="42" spans="1:12" ht="60">
      <c r="A42" s="790"/>
      <c r="B42" s="649"/>
      <c r="C42" s="776" t="s">
        <v>2388</v>
      </c>
      <c r="D42" s="804">
        <v>43770</v>
      </c>
      <c r="E42" s="805">
        <v>272736</v>
      </c>
      <c r="F42" s="805">
        <v>249363</v>
      </c>
      <c r="G42" s="805">
        <v>23373</v>
      </c>
      <c r="H42" s="805">
        <v>2</v>
      </c>
      <c r="I42" s="749">
        <v>3349</v>
      </c>
      <c r="J42" s="806">
        <v>0</v>
      </c>
      <c r="K42" s="806">
        <v>3349</v>
      </c>
      <c r="L42" s="650" t="s">
        <v>2389</v>
      </c>
    </row>
    <row r="43" spans="1:12" ht="46.5" customHeight="1">
      <c r="A43" s="734" t="s">
        <v>2390</v>
      </c>
      <c r="B43" s="735" t="s">
        <v>2391</v>
      </c>
      <c r="C43" s="736"/>
      <c r="D43" s="734"/>
      <c r="E43" s="737">
        <v>7045872</v>
      </c>
      <c r="F43" s="737">
        <v>6328858</v>
      </c>
      <c r="G43" s="737">
        <v>717014</v>
      </c>
      <c r="H43" s="737">
        <v>143</v>
      </c>
      <c r="I43" s="738">
        <v>1336718.5250588236</v>
      </c>
      <c r="J43" s="737">
        <v>1124830.9840000004</v>
      </c>
      <c r="K43" s="737">
        <v>211887.5410588235</v>
      </c>
      <c r="L43" s="649"/>
    </row>
    <row r="44" spans="1:12" ht="46.5" customHeight="1">
      <c r="A44" s="807"/>
      <c r="B44" s="808" t="s">
        <v>2392</v>
      </c>
      <c r="C44" s="809"/>
      <c r="D44" s="810"/>
      <c r="E44" s="780">
        <v>2680460</v>
      </c>
      <c r="F44" s="780">
        <v>2658843</v>
      </c>
      <c r="G44" s="780">
        <v>21617</v>
      </c>
      <c r="H44" s="780">
        <v>70</v>
      </c>
      <c r="I44" s="743">
        <v>952083.60705882357</v>
      </c>
      <c r="J44" s="780">
        <v>809271.06600000034</v>
      </c>
      <c r="K44" s="780">
        <v>142812.5410588235</v>
      </c>
      <c r="L44" s="649"/>
    </row>
    <row r="45" spans="1:12" ht="46.5" customHeight="1">
      <c r="A45" s="811">
        <v>1</v>
      </c>
      <c r="B45" s="649"/>
      <c r="C45" s="243" t="s">
        <v>2393</v>
      </c>
      <c r="D45" s="812" t="s">
        <v>659</v>
      </c>
      <c r="E45" s="581">
        <v>193574</v>
      </c>
      <c r="F45" s="581">
        <v>193574</v>
      </c>
      <c r="G45" s="581"/>
      <c r="H45" s="581">
        <v>11</v>
      </c>
      <c r="I45" s="749">
        <v>147845.30588235299</v>
      </c>
      <c r="J45" s="751">
        <v>125668.51000000002</v>
      </c>
      <c r="K45" s="751">
        <v>22176.795882352948</v>
      </c>
      <c r="L45" s="1868" t="s">
        <v>2394</v>
      </c>
    </row>
    <row r="46" spans="1:12" ht="46.5" customHeight="1">
      <c r="A46" s="811">
        <v>2</v>
      </c>
      <c r="B46" s="649"/>
      <c r="C46" s="243" t="s">
        <v>2395</v>
      </c>
      <c r="D46" s="812" t="s">
        <v>348</v>
      </c>
      <c r="E46" s="581">
        <v>137004</v>
      </c>
      <c r="F46" s="581">
        <v>137004</v>
      </c>
      <c r="G46" s="581"/>
      <c r="H46" s="581">
        <v>7</v>
      </c>
      <c r="I46" s="749">
        <v>64643.83058823528</v>
      </c>
      <c r="J46" s="751">
        <v>54947.255999999987</v>
      </c>
      <c r="K46" s="751">
        <v>9696.5745882352912</v>
      </c>
      <c r="L46" s="1868"/>
    </row>
    <row r="47" spans="1:12" ht="46.5" customHeight="1">
      <c r="A47" s="811">
        <v>3</v>
      </c>
      <c r="B47" s="649"/>
      <c r="C47" s="243" t="s">
        <v>2396</v>
      </c>
      <c r="D47" s="812" t="s">
        <v>139</v>
      </c>
      <c r="E47" s="581">
        <v>231510</v>
      </c>
      <c r="F47" s="581">
        <v>231510</v>
      </c>
      <c r="G47" s="581"/>
      <c r="H47" s="581">
        <v>12</v>
      </c>
      <c r="I47" s="749">
        <v>192750.15529411766</v>
      </c>
      <c r="J47" s="751">
        <v>163837.63200000001</v>
      </c>
      <c r="K47" s="751">
        <v>28912.523294117651</v>
      </c>
      <c r="L47" s="1868"/>
    </row>
    <row r="48" spans="1:12" ht="46.5" customHeight="1">
      <c r="A48" s="811">
        <v>4</v>
      </c>
      <c r="B48" s="649"/>
      <c r="C48" s="243" t="s">
        <v>2397</v>
      </c>
      <c r="D48" s="812" t="s">
        <v>139</v>
      </c>
      <c r="E48" s="581">
        <v>178196</v>
      </c>
      <c r="F48" s="581">
        <v>178196</v>
      </c>
      <c r="G48" s="581"/>
      <c r="H48" s="581">
        <v>12</v>
      </c>
      <c r="I48" s="749">
        <v>152455.20000000001</v>
      </c>
      <c r="J48" s="751">
        <v>129586.92</v>
      </c>
      <c r="K48" s="751">
        <v>22868.28</v>
      </c>
      <c r="L48" s="1868"/>
    </row>
    <row r="49" spans="1:13" ht="46.5" customHeight="1">
      <c r="A49" s="811"/>
      <c r="B49" s="649"/>
      <c r="C49" s="813" t="s">
        <v>2398</v>
      </c>
      <c r="D49" s="791" t="s">
        <v>252</v>
      </c>
      <c r="E49" s="766">
        <v>224670</v>
      </c>
      <c r="F49" s="766">
        <v>224670</v>
      </c>
      <c r="G49" s="767"/>
      <c r="H49" s="767">
        <v>6</v>
      </c>
      <c r="I49" s="749">
        <v>98589.592941176481</v>
      </c>
      <c r="J49" s="751">
        <v>83801.15400000001</v>
      </c>
      <c r="K49" s="751">
        <v>14788.438941176471</v>
      </c>
      <c r="L49" s="1868"/>
    </row>
    <row r="50" spans="1:13" ht="46.5" customHeight="1">
      <c r="A50" s="811"/>
      <c r="B50" s="649"/>
      <c r="C50" s="813" t="s">
        <v>2399</v>
      </c>
      <c r="D50" s="791" t="s">
        <v>2400</v>
      </c>
      <c r="E50" s="766">
        <v>166577</v>
      </c>
      <c r="F50" s="766">
        <v>166577</v>
      </c>
      <c r="G50" s="767"/>
      <c r="H50" s="767">
        <v>6</v>
      </c>
      <c r="I50" s="749">
        <v>87318.818823529407</v>
      </c>
      <c r="J50" s="751">
        <v>74220.995999999999</v>
      </c>
      <c r="K50" s="751">
        <v>13097.822823529412</v>
      </c>
      <c r="L50" s="1868"/>
    </row>
    <row r="51" spans="1:13" ht="46.5" customHeight="1">
      <c r="A51" s="811"/>
      <c r="B51" s="649"/>
      <c r="C51" s="813" t="s">
        <v>2401</v>
      </c>
      <c r="D51" s="791" t="s">
        <v>2402</v>
      </c>
      <c r="E51" s="766">
        <v>161547</v>
      </c>
      <c r="F51" s="766">
        <v>161547</v>
      </c>
      <c r="G51" s="767"/>
      <c r="H51" s="767">
        <v>2</v>
      </c>
      <c r="I51" s="749">
        <v>29155.331764705887</v>
      </c>
      <c r="J51" s="751">
        <v>24782.032000000003</v>
      </c>
      <c r="K51" s="751">
        <v>4373.2997647058828</v>
      </c>
      <c r="L51" s="1868"/>
    </row>
    <row r="52" spans="1:13" ht="46.5" customHeight="1">
      <c r="A52" s="811"/>
      <c r="B52" s="649"/>
      <c r="C52" s="813" t="s">
        <v>2403</v>
      </c>
      <c r="D52" s="814" t="s">
        <v>176</v>
      </c>
      <c r="E52" s="766">
        <v>225632</v>
      </c>
      <c r="F52" s="766">
        <v>204015</v>
      </c>
      <c r="G52" s="758">
        <v>21617</v>
      </c>
      <c r="H52" s="758">
        <v>1</v>
      </c>
      <c r="I52" s="749">
        <v>9721.8235294117658</v>
      </c>
      <c r="J52" s="751">
        <v>8263.5500000000011</v>
      </c>
      <c r="K52" s="751">
        <v>1458.2735294117649</v>
      </c>
      <c r="L52" s="1868"/>
    </row>
    <row r="53" spans="1:13" ht="46.5" customHeight="1">
      <c r="A53" s="811"/>
      <c r="B53" s="649"/>
      <c r="C53" s="815" t="s">
        <v>2404</v>
      </c>
      <c r="D53" s="816" t="s">
        <v>176</v>
      </c>
      <c r="E53" s="766">
        <v>81959</v>
      </c>
      <c r="F53" s="766">
        <v>81959</v>
      </c>
      <c r="G53" s="758"/>
      <c r="H53" s="758">
        <v>1</v>
      </c>
      <c r="I53" s="749">
        <v>8737.3764705882331</v>
      </c>
      <c r="J53" s="751">
        <v>7426.7699999999986</v>
      </c>
      <c r="K53" s="751">
        <v>1310.606470588235</v>
      </c>
      <c r="L53" s="1868"/>
    </row>
    <row r="54" spans="1:13" ht="46.5" customHeight="1">
      <c r="A54" s="811"/>
      <c r="B54" s="649"/>
      <c r="C54" s="815" t="s">
        <v>2405</v>
      </c>
      <c r="D54" s="816" t="s">
        <v>176</v>
      </c>
      <c r="E54" s="766">
        <v>123126</v>
      </c>
      <c r="F54" s="766">
        <v>123126</v>
      </c>
      <c r="G54" s="758"/>
      <c r="H54" s="758">
        <v>1</v>
      </c>
      <c r="I54" s="749">
        <v>12379.176470588236</v>
      </c>
      <c r="J54" s="751">
        <v>10522.300000000001</v>
      </c>
      <c r="K54" s="751">
        <v>1856.8764705882356</v>
      </c>
      <c r="L54" s="1868"/>
    </row>
    <row r="55" spans="1:13" ht="46.5" customHeight="1">
      <c r="A55" s="811"/>
      <c r="B55" s="649"/>
      <c r="C55" s="815" t="s">
        <v>2406</v>
      </c>
      <c r="D55" s="816" t="s">
        <v>176</v>
      </c>
      <c r="E55" s="766">
        <v>110111</v>
      </c>
      <c r="F55" s="766">
        <v>110111</v>
      </c>
      <c r="G55" s="758"/>
      <c r="H55" s="758">
        <v>1</v>
      </c>
      <c r="I55" s="749">
        <v>11558.25882352941</v>
      </c>
      <c r="J55" s="751">
        <v>9824.5199999999986</v>
      </c>
      <c r="K55" s="751">
        <v>1733.7388235294115</v>
      </c>
      <c r="L55" s="1868"/>
    </row>
    <row r="56" spans="1:13" ht="46.5" customHeight="1">
      <c r="A56" s="811"/>
      <c r="B56" s="649"/>
      <c r="C56" s="815" t="s">
        <v>2407</v>
      </c>
      <c r="D56" s="816" t="s">
        <v>564</v>
      </c>
      <c r="E56" s="766">
        <v>113619</v>
      </c>
      <c r="F56" s="766">
        <v>113619</v>
      </c>
      <c r="G56" s="758"/>
      <c r="H56" s="758">
        <v>3</v>
      </c>
      <c r="I56" s="749">
        <v>34601.188235294117</v>
      </c>
      <c r="J56" s="751">
        <v>29411.010000000002</v>
      </c>
      <c r="K56" s="751">
        <v>5190.1782352941182</v>
      </c>
      <c r="L56" s="1868"/>
    </row>
    <row r="57" spans="1:13" ht="46.5" customHeight="1">
      <c r="A57" s="811"/>
      <c r="B57" s="649"/>
      <c r="C57" s="815" t="s">
        <v>2408</v>
      </c>
      <c r="D57" s="816" t="s">
        <v>564</v>
      </c>
      <c r="E57" s="766">
        <v>205370</v>
      </c>
      <c r="F57" s="766">
        <v>205370</v>
      </c>
      <c r="G57" s="758"/>
      <c r="H57" s="758">
        <v>3</v>
      </c>
      <c r="I57" s="749">
        <v>45283.25647058824</v>
      </c>
      <c r="J57" s="751">
        <v>38490.768000000004</v>
      </c>
      <c r="K57" s="751">
        <v>6792.4884705882359</v>
      </c>
      <c r="L57" s="1868"/>
    </row>
    <row r="58" spans="1:13" ht="46.5" customHeight="1">
      <c r="A58" s="811"/>
      <c r="B58" s="649"/>
      <c r="C58" s="815" t="s">
        <v>2409</v>
      </c>
      <c r="D58" s="817" t="s">
        <v>265</v>
      </c>
      <c r="E58" s="766">
        <v>173189</v>
      </c>
      <c r="F58" s="766">
        <v>173189</v>
      </c>
      <c r="G58" s="758"/>
      <c r="H58" s="758">
        <v>2</v>
      </c>
      <c r="I58" s="749">
        <v>29188.037647058827</v>
      </c>
      <c r="J58" s="751">
        <v>24809.832000000002</v>
      </c>
      <c r="K58" s="751">
        <v>4378.2056470588241</v>
      </c>
      <c r="L58" s="1868"/>
    </row>
    <row r="59" spans="1:13" ht="46.5" customHeight="1">
      <c r="A59" s="811"/>
      <c r="B59" s="649"/>
      <c r="C59" s="756" t="s">
        <v>2410</v>
      </c>
      <c r="D59" s="818" t="s">
        <v>176</v>
      </c>
      <c r="E59" s="758">
        <v>211031</v>
      </c>
      <c r="F59" s="758">
        <v>211031</v>
      </c>
      <c r="G59" s="758">
        <v>0</v>
      </c>
      <c r="H59" s="758">
        <v>1</v>
      </c>
      <c r="I59" s="749">
        <v>14602.19529411765</v>
      </c>
      <c r="J59" s="751">
        <v>12411.866000000002</v>
      </c>
      <c r="K59" s="751">
        <v>2190.3292941176474</v>
      </c>
      <c r="L59" s="1868"/>
    </row>
    <row r="60" spans="1:13" ht="46.5" customHeight="1">
      <c r="A60" s="811"/>
      <c r="B60" s="649"/>
      <c r="C60" s="756" t="s">
        <v>2411</v>
      </c>
      <c r="D60" s="818" t="s">
        <v>176</v>
      </c>
      <c r="E60" s="758">
        <v>143345</v>
      </c>
      <c r="F60" s="758">
        <v>143345</v>
      </c>
      <c r="G60" s="758">
        <v>0</v>
      </c>
      <c r="H60" s="758">
        <v>1</v>
      </c>
      <c r="I60" s="749">
        <v>13254.058823529413</v>
      </c>
      <c r="J60" s="751">
        <v>11265.95</v>
      </c>
      <c r="K60" s="751">
        <v>1988.1088235294121</v>
      </c>
      <c r="L60" s="1868"/>
    </row>
    <row r="61" spans="1:13" ht="46.5" customHeight="1">
      <c r="A61" s="807"/>
      <c r="B61" s="808" t="s">
        <v>2412</v>
      </c>
      <c r="C61" s="809"/>
      <c r="D61" s="810"/>
      <c r="E61" s="780">
        <v>1045613</v>
      </c>
      <c r="F61" s="780">
        <v>1026223</v>
      </c>
      <c r="G61" s="780">
        <v>19390</v>
      </c>
      <c r="H61" s="780">
        <v>70</v>
      </c>
      <c r="I61" s="743">
        <v>360106</v>
      </c>
      <c r="J61" s="780">
        <v>297106</v>
      </c>
      <c r="K61" s="780">
        <v>63000</v>
      </c>
      <c r="L61" s="649"/>
    </row>
    <row r="62" spans="1:13" ht="15.75">
      <c r="A62" s="197">
        <v>5</v>
      </c>
      <c r="B62" s="649"/>
      <c r="C62" s="243" t="s">
        <v>2413</v>
      </c>
      <c r="D62" s="819" t="s">
        <v>139</v>
      </c>
      <c r="E62" s="581">
        <v>88916</v>
      </c>
      <c r="F62" s="581">
        <v>88916</v>
      </c>
      <c r="G62" s="581"/>
      <c r="H62" s="581">
        <v>12</v>
      </c>
      <c r="I62" s="749"/>
      <c r="J62" s="751"/>
      <c r="K62" s="751"/>
      <c r="L62" s="1868" t="s">
        <v>2414</v>
      </c>
    </row>
    <row r="63" spans="1:13" ht="46.5" customHeight="1">
      <c r="A63" s="197">
        <v>6</v>
      </c>
      <c r="B63" s="649"/>
      <c r="C63" s="243" t="s">
        <v>2415</v>
      </c>
      <c r="D63" s="819" t="s">
        <v>139</v>
      </c>
      <c r="E63" s="581">
        <v>87526</v>
      </c>
      <c r="F63" s="581">
        <v>87526</v>
      </c>
      <c r="G63" s="581"/>
      <c r="H63" s="581">
        <v>12</v>
      </c>
      <c r="I63" s="749">
        <v>113814</v>
      </c>
      <c r="J63" s="559">
        <v>99814</v>
      </c>
      <c r="K63" s="559">
        <v>14000</v>
      </c>
      <c r="L63" s="1868"/>
    </row>
    <row r="64" spans="1:13" ht="105">
      <c r="A64" s="197">
        <v>7</v>
      </c>
      <c r="B64" s="649"/>
      <c r="C64" s="243" t="s">
        <v>2416</v>
      </c>
      <c r="D64" s="819" t="s">
        <v>139</v>
      </c>
      <c r="E64" s="581">
        <v>59262</v>
      </c>
      <c r="F64" s="581">
        <v>59262</v>
      </c>
      <c r="G64" s="581"/>
      <c r="H64" s="581">
        <v>12</v>
      </c>
      <c r="I64" s="749">
        <v>132824</v>
      </c>
      <c r="J64" s="806">
        <v>118824</v>
      </c>
      <c r="K64" s="806">
        <v>14000</v>
      </c>
      <c r="L64" s="820" t="s">
        <v>2417</v>
      </c>
      <c r="M64" s="821"/>
    </row>
    <row r="65" spans="1:12" ht="46.5" customHeight="1">
      <c r="A65" s="197">
        <v>8</v>
      </c>
      <c r="B65" s="649"/>
      <c r="C65" s="243" t="s">
        <v>2418</v>
      </c>
      <c r="D65" s="819" t="s">
        <v>139</v>
      </c>
      <c r="E65" s="581">
        <v>59212</v>
      </c>
      <c r="F65" s="581">
        <v>59212</v>
      </c>
      <c r="G65" s="581"/>
      <c r="H65" s="581">
        <v>12</v>
      </c>
      <c r="I65" s="749"/>
      <c r="J65" s="751"/>
      <c r="K65" s="751"/>
      <c r="L65" s="1868" t="s">
        <v>2419</v>
      </c>
    </row>
    <row r="66" spans="1:12" ht="46.5" customHeight="1">
      <c r="A66" s="197"/>
      <c r="B66" s="649"/>
      <c r="C66" s="764" t="s">
        <v>2420</v>
      </c>
      <c r="D66" s="791" t="s">
        <v>252</v>
      </c>
      <c r="E66" s="766">
        <v>113554</v>
      </c>
      <c r="F66" s="766">
        <v>113554</v>
      </c>
      <c r="G66" s="767"/>
      <c r="H66" s="767">
        <v>6</v>
      </c>
      <c r="I66" s="749"/>
      <c r="J66" s="751"/>
      <c r="K66" s="751"/>
      <c r="L66" s="1868"/>
    </row>
    <row r="67" spans="1:12" ht="46.5" customHeight="1">
      <c r="A67" s="197"/>
      <c r="B67" s="649"/>
      <c r="C67" s="764" t="s">
        <v>2421</v>
      </c>
      <c r="D67" s="791" t="s">
        <v>176</v>
      </c>
      <c r="E67" s="766">
        <v>160838</v>
      </c>
      <c r="F67" s="766">
        <v>160838</v>
      </c>
      <c r="G67" s="767"/>
      <c r="H67" s="767">
        <v>1</v>
      </c>
      <c r="I67" s="749">
        <v>33115</v>
      </c>
      <c r="J67" s="559">
        <v>12115</v>
      </c>
      <c r="K67" s="559">
        <v>21000</v>
      </c>
      <c r="L67" s="649"/>
    </row>
    <row r="68" spans="1:12" ht="46.5" customHeight="1">
      <c r="A68" s="197"/>
      <c r="B68" s="649"/>
      <c r="C68" s="813" t="s">
        <v>2422</v>
      </c>
      <c r="D68" s="791" t="s">
        <v>252</v>
      </c>
      <c r="E68" s="766">
        <v>87304</v>
      </c>
      <c r="F68" s="766">
        <v>87304</v>
      </c>
      <c r="G68" s="767"/>
      <c r="H68" s="767">
        <v>6</v>
      </c>
      <c r="I68" s="749">
        <v>80353</v>
      </c>
      <c r="J68" s="559">
        <v>66353</v>
      </c>
      <c r="K68" s="559">
        <v>14000</v>
      </c>
      <c r="L68" s="649"/>
    </row>
    <row r="69" spans="1:12" ht="46.5" customHeight="1">
      <c r="A69" s="197"/>
      <c r="B69" s="649"/>
      <c r="C69" s="764" t="s">
        <v>2423</v>
      </c>
      <c r="D69" s="791" t="s">
        <v>252</v>
      </c>
      <c r="E69" s="766">
        <v>269373</v>
      </c>
      <c r="F69" s="766">
        <v>249983</v>
      </c>
      <c r="G69" s="758">
        <v>19390</v>
      </c>
      <c r="H69" s="758">
        <v>6</v>
      </c>
      <c r="I69" s="749"/>
      <c r="J69" s="751"/>
      <c r="K69" s="751"/>
      <c r="L69" s="1868" t="s">
        <v>2419</v>
      </c>
    </row>
    <row r="70" spans="1:12" ht="46.5" customHeight="1">
      <c r="A70" s="197"/>
      <c r="B70" s="649"/>
      <c r="C70" s="243" t="s">
        <v>2424</v>
      </c>
      <c r="D70" s="822" t="s">
        <v>564</v>
      </c>
      <c r="E70" s="766">
        <v>119628</v>
      </c>
      <c r="F70" s="766">
        <v>119628</v>
      </c>
      <c r="G70" s="767"/>
      <c r="H70" s="767">
        <v>3</v>
      </c>
      <c r="I70" s="749"/>
      <c r="J70" s="751"/>
      <c r="K70" s="751"/>
      <c r="L70" s="1868"/>
    </row>
    <row r="71" spans="1:12" ht="46.5" customHeight="1">
      <c r="A71" s="739"/>
      <c r="B71" s="808" t="s">
        <v>2425</v>
      </c>
      <c r="C71" s="809"/>
      <c r="D71" s="823"/>
      <c r="E71" s="742">
        <v>228693</v>
      </c>
      <c r="F71" s="742">
        <v>209901</v>
      </c>
      <c r="G71" s="742">
        <v>18792</v>
      </c>
      <c r="H71" s="742"/>
      <c r="I71" s="743"/>
      <c r="J71" s="751"/>
      <c r="K71" s="751"/>
      <c r="L71" s="649"/>
    </row>
    <row r="72" spans="1:12" ht="46.5" customHeight="1">
      <c r="A72" s="744">
        <v>9</v>
      </c>
      <c r="B72" s="649"/>
      <c r="C72" s="756" t="s">
        <v>2426</v>
      </c>
      <c r="D72" s="824" t="s">
        <v>139</v>
      </c>
      <c r="E72" s="758">
        <v>228693</v>
      </c>
      <c r="F72" s="758">
        <v>209901</v>
      </c>
      <c r="G72" s="758">
        <v>18792</v>
      </c>
      <c r="H72" s="758">
        <v>12</v>
      </c>
      <c r="I72" s="825">
        <v>75170</v>
      </c>
      <c r="J72" s="751">
        <v>75170</v>
      </c>
      <c r="K72" s="751"/>
      <c r="L72" s="649"/>
    </row>
    <row r="73" spans="1:12" ht="46.5" customHeight="1">
      <c r="A73" s="739"/>
      <c r="B73" s="826" t="s">
        <v>2427</v>
      </c>
      <c r="C73" s="809"/>
      <c r="D73" s="810"/>
      <c r="E73" s="827">
        <v>625947</v>
      </c>
      <c r="F73" s="827">
        <v>0</v>
      </c>
      <c r="G73" s="827">
        <v>625947</v>
      </c>
      <c r="H73" s="827"/>
      <c r="I73" s="828"/>
      <c r="J73" s="751"/>
      <c r="K73" s="751"/>
      <c r="L73" s="1868" t="s">
        <v>2428</v>
      </c>
    </row>
    <row r="74" spans="1:12" ht="46.5" customHeight="1">
      <c r="A74" s="197">
        <v>10</v>
      </c>
      <c r="B74" s="649"/>
      <c r="C74" s="243" t="s">
        <v>2429</v>
      </c>
      <c r="D74" s="819" t="s">
        <v>659</v>
      </c>
      <c r="E74" s="829">
        <v>155955</v>
      </c>
      <c r="F74" s="829"/>
      <c r="G74" s="829">
        <v>155955</v>
      </c>
      <c r="H74" s="829">
        <v>11</v>
      </c>
      <c r="I74" s="830"/>
      <c r="J74" s="751"/>
      <c r="K74" s="751"/>
      <c r="L74" s="1868"/>
    </row>
    <row r="75" spans="1:12" ht="46.5" customHeight="1">
      <c r="A75" s="197">
        <v>11</v>
      </c>
      <c r="B75" s="649"/>
      <c r="C75" s="243" t="s">
        <v>754</v>
      </c>
      <c r="D75" s="819" t="s">
        <v>659</v>
      </c>
      <c r="E75" s="829">
        <v>115801</v>
      </c>
      <c r="F75" s="829"/>
      <c r="G75" s="829">
        <v>115801</v>
      </c>
      <c r="H75" s="829">
        <v>11</v>
      </c>
      <c r="I75" s="830"/>
      <c r="J75" s="751"/>
      <c r="K75" s="751"/>
      <c r="L75" s="1868"/>
    </row>
    <row r="76" spans="1:12" ht="46.5" customHeight="1">
      <c r="A76" s="197">
        <v>15</v>
      </c>
      <c r="B76" s="649"/>
      <c r="C76" s="813" t="s">
        <v>2430</v>
      </c>
      <c r="D76" s="791" t="s">
        <v>314</v>
      </c>
      <c r="E76" s="766">
        <v>211141</v>
      </c>
      <c r="F76" s="766"/>
      <c r="G76" s="758">
        <v>211141</v>
      </c>
      <c r="H76" s="758">
        <v>4</v>
      </c>
      <c r="I76" s="749"/>
      <c r="J76" s="751"/>
      <c r="K76" s="751"/>
      <c r="L76" s="1868"/>
    </row>
    <row r="77" spans="1:12" ht="46.5" customHeight="1">
      <c r="A77" s="197"/>
      <c r="B77" s="649"/>
      <c r="C77" s="831" t="s">
        <v>2431</v>
      </c>
      <c r="D77" s="804">
        <v>43831</v>
      </c>
      <c r="E77" s="766">
        <v>143050</v>
      </c>
      <c r="F77" s="766"/>
      <c r="G77" s="766">
        <v>143050</v>
      </c>
      <c r="H77" s="766">
        <v>0</v>
      </c>
      <c r="I77" s="759"/>
      <c r="J77" s="751"/>
      <c r="K77" s="751"/>
      <c r="L77" s="1868"/>
    </row>
    <row r="78" spans="1:12" ht="46.5" customHeight="1">
      <c r="A78" s="779"/>
      <c r="B78" s="826" t="s">
        <v>2432</v>
      </c>
      <c r="C78" s="809"/>
      <c r="D78" s="810"/>
      <c r="E78" s="827">
        <v>53073</v>
      </c>
      <c r="F78" s="827">
        <v>41981</v>
      </c>
      <c r="G78" s="827">
        <v>11092</v>
      </c>
      <c r="H78" s="827"/>
      <c r="I78" s="828"/>
      <c r="J78" s="751"/>
      <c r="K78" s="751"/>
      <c r="L78" s="649"/>
    </row>
    <row r="79" spans="1:12" ht="46.5" customHeight="1">
      <c r="A79" s="783">
        <v>12</v>
      </c>
      <c r="B79" s="649"/>
      <c r="C79" s="756" t="s">
        <v>2433</v>
      </c>
      <c r="D79" s="824" t="s">
        <v>139</v>
      </c>
      <c r="E79" s="750">
        <v>53073</v>
      </c>
      <c r="F79" s="750">
        <v>41981</v>
      </c>
      <c r="G79" s="750">
        <v>11092</v>
      </c>
      <c r="H79" s="750">
        <v>0</v>
      </c>
      <c r="I79" s="830"/>
      <c r="J79" s="751"/>
      <c r="K79" s="751"/>
      <c r="L79" s="650" t="s">
        <v>2434</v>
      </c>
    </row>
    <row r="80" spans="1:12" ht="46.5" customHeight="1">
      <c r="A80" s="832"/>
      <c r="B80" s="760" t="s">
        <v>2435</v>
      </c>
      <c r="C80" s="761"/>
      <c r="D80" s="762"/>
      <c r="E80" s="763">
        <v>181993</v>
      </c>
      <c r="F80" s="763">
        <v>181993</v>
      </c>
      <c r="G80" s="763">
        <v>0</v>
      </c>
      <c r="H80" s="763"/>
      <c r="I80" s="833"/>
      <c r="J80" s="751"/>
      <c r="K80" s="751"/>
      <c r="L80" s="649"/>
    </row>
    <row r="81" spans="1:12" ht="46.5" customHeight="1">
      <c r="A81" s="197">
        <v>13</v>
      </c>
      <c r="B81" s="649"/>
      <c r="C81" s="764" t="s">
        <v>2436</v>
      </c>
      <c r="D81" s="791" t="s">
        <v>521</v>
      </c>
      <c r="E81" s="766">
        <v>72580</v>
      </c>
      <c r="F81" s="766">
        <v>72580</v>
      </c>
      <c r="G81" s="767"/>
      <c r="H81" s="767">
        <v>5</v>
      </c>
      <c r="I81" s="794">
        <v>55964</v>
      </c>
      <c r="J81" s="834">
        <v>47646</v>
      </c>
      <c r="K81" s="834">
        <v>8318</v>
      </c>
      <c r="L81" s="649"/>
    </row>
    <row r="82" spans="1:12" ht="46.5" customHeight="1">
      <c r="A82" s="197">
        <v>14</v>
      </c>
      <c r="B82" s="649"/>
      <c r="C82" s="764" t="s">
        <v>2437</v>
      </c>
      <c r="D82" s="791" t="s">
        <v>265</v>
      </c>
      <c r="E82" s="766">
        <v>109413</v>
      </c>
      <c r="F82" s="766">
        <v>109413</v>
      </c>
      <c r="G82" s="767"/>
      <c r="H82" s="767">
        <v>2</v>
      </c>
      <c r="I82" s="794">
        <v>29569</v>
      </c>
      <c r="J82" s="834">
        <v>26242</v>
      </c>
      <c r="K82" s="834">
        <v>3327</v>
      </c>
      <c r="L82" s="649"/>
    </row>
    <row r="83" spans="1:12" ht="46.5" customHeight="1">
      <c r="A83" s="835"/>
      <c r="B83" s="760" t="s">
        <v>2438</v>
      </c>
      <c r="C83" s="761"/>
      <c r="D83" s="789"/>
      <c r="E83" s="763">
        <v>147282</v>
      </c>
      <c r="F83" s="763">
        <v>147282</v>
      </c>
      <c r="G83" s="763">
        <v>0</v>
      </c>
      <c r="H83" s="763"/>
      <c r="I83" s="743"/>
      <c r="J83" s="751"/>
      <c r="K83" s="751"/>
      <c r="L83" s="649"/>
    </row>
    <row r="84" spans="1:12" ht="46.5" customHeight="1">
      <c r="A84" s="775"/>
      <c r="B84" s="649"/>
      <c r="C84" s="813" t="s">
        <v>2439</v>
      </c>
      <c r="D84" s="791" t="s">
        <v>564</v>
      </c>
      <c r="E84" s="766">
        <v>147282</v>
      </c>
      <c r="F84" s="766">
        <v>147282</v>
      </c>
      <c r="G84" s="767"/>
      <c r="H84" s="767">
        <v>3</v>
      </c>
      <c r="I84" s="749">
        <v>0</v>
      </c>
      <c r="J84" s="751">
        <v>0</v>
      </c>
      <c r="K84" s="751">
        <v>0</v>
      </c>
      <c r="L84" s="649"/>
    </row>
    <row r="85" spans="1:12" ht="46.5" customHeight="1">
      <c r="A85" s="836"/>
      <c r="B85" s="798" t="s">
        <v>2440</v>
      </c>
      <c r="C85" s="799"/>
      <c r="D85" s="837"/>
      <c r="E85" s="800">
        <v>1961972</v>
      </c>
      <c r="F85" s="800">
        <v>1941796</v>
      </c>
      <c r="G85" s="800">
        <v>20176</v>
      </c>
      <c r="H85" s="800"/>
      <c r="I85" s="838"/>
      <c r="J85" s="751">
        <v>0</v>
      </c>
      <c r="K85" s="751"/>
      <c r="L85" s="649"/>
    </row>
    <row r="86" spans="1:12" ht="46.5" customHeight="1">
      <c r="A86" s="775"/>
      <c r="B86" s="649"/>
      <c r="C86" s="756" t="s">
        <v>2441</v>
      </c>
      <c r="D86" s="818" t="s">
        <v>2442</v>
      </c>
      <c r="E86" s="748">
        <v>88965</v>
      </c>
      <c r="F86" s="801">
        <v>88965</v>
      </c>
      <c r="G86" s="801"/>
      <c r="H86" s="801">
        <v>5</v>
      </c>
      <c r="I86" s="749">
        <v>23143.5</v>
      </c>
      <c r="J86" s="751">
        <v>23143.5</v>
      </c>
      <c r="K86" s="751"/>
      <c r="L86" s="649"/>
    </row>
    <row r="87" spans="1:12" ht="46.5" customHeight="1">
      <c r="A87" s="775"/>
      <c r="B87" s="649"/>
      <c r="C87" s="756" t="s">
        <v>2443</v>
      </c>
      <c r="D87" s="818" t="s">
        <v>2444</v>
      </c>
      <c r="E87" s="748">
        <v>111117</v>
      </c>
      <c r="F87" s="801">
        <v>111117</v>
      </c>
      <c r="G87" s="801"/>
      <c r="H87" s="801">
        <v>5</v>
      </c>
      <c r="I87" s="749">
        <v>23212.999999999996</v>
      </c>
      <c r="J87" s="751">
        <v>23212.999999999996</v>
      </c>
      <c r="K87" s="751"/>
      <c r="L87" s="649"/>
    </row>
    <row r="88" spans="1:12" ht="46.5" customHeight="1">
      <c r="A88" s="775"/>
      <c r="B88" s="649"/>
      <c r="C88" s="756" t="s">
        <v>2445</v>
      </c>
      <c r="D88" s="818" t="s">
        <v>2444</v>
      </c>
      <c r="E88" s="748">
        <v>48735</v>
      </c>
      <c r="F88" s="801">
        <v>48735</v>
      </c>
      <c r="G88" s="801"/>
      <c r="H88" s="801">
        <v>5</v>
      </c>
      <c r="I88" s="749">
        <v>18904</v>
      </c>
      <c r="J88" s="751">
        <v>18904</v>
      </c>
      <c r="K88" s="751"/>
      <c r="L88" s="649"/>
    </row>
    <row r="89" spans="1:12" ht="46.5" customHeight="1">
      <c r="A89" s="775"/>
      <c r="B89" s="649"/>
      <c r="C89" s="756" t="s">
        <v>2446</v>
      </c>
      <c r="D89" s="818" t="s">
        <v>2444</v>
      </c>
      <c r="E89" s="748">
        <v>57671</v>
      </c>
      <c r="F89" s="801">
        <v>57671</v>
      </c>
      <c r="G89" s="801"/>
      <c r="H89" s="801">
        <v>5</v>
      </c>
      <c r="I89" s="749">
        <v>18904</v>
      </c>
      <c r="J89" s="751">
        <v>18904</v>
      </c>
      <c r="K89" s="751"/>
      <c r="L89" s="649"/>
    </row>
    <row r="90" spans="1:12" ht="46.5" customHeight="1">
      <c r="A90" s="775"/>
      <c r="B90" s="649"/>
      <c r="C90" s="756" t="s">
        <v>2447</v>
      </c>
      <c r="D90" s="818" t="s">
        <v>2444</v>
      </c>
      <c r="E90" s="748">
        <v>94688</v>
      </c>
      <c r="F90" s="801">
        <v>94688</v>
      </c>
      <c r="G90" s="801"/>
      <c r="H90" s="801">
        <v>5</v>
      </c>
      <c r="I90" s="749">
        <v>25437.000000000004</v>
      </c>
      <c r="J90" s="751">
        <v>25437.000000000004</v>
      </c>
      <c r="K90" s="751"/>
      <c r="L90" s="649"/>
    </row>
    <row r="91" spans="1:12" ht="46.5" customHeight="1">
      <c r="A91" s="775"/>
      <c r="B91" s="649"/>
      <c r="C91" s="756" t="s">
        <v>2448</v>
      </c>
      <c r="D91" s="818" t="s">
        <v>2444</v>
      </c>
      <c r="E91" s="748">
        <v>62312</v>
      </c>
      <c r="F91" s="801">
        <v>62312</v>
      </c>
      <c r="G91" s="801"/>
      <c r="H91" s="801">
        <v>5</v>
      </c>
      <c r="I91" s="749">
        <v>18487</v>
      </c>
      <c r="J91" s="751">
        <v>18487</v>
      </c>
      <c r="K91" s="751"/>
      <c r="L91" s="649"/>
    </row>
    <row r="92" spans="1:12" ht="46.5" customHeight="1">
      <c r="A92" s="775"/>
      <c r="B92" s="649"/>
      <c r="C92" s="756" t="s">
        <v>2449</v>
      </c>
      <c r="D92" s="818" t="s">
        <v>2444</v>
      </c>
      <c r="E92" s="748">
        <v>114818</v>
      </c>
      <c r="F92" s="801">
        <v>114818</v>
      </c>
      <c r="G92" s="801"/>
      <c r="H92" s="801">
        <v>5</v>
      </c>
      <c r="I92" s="749">
        <v>25437.000000000004</v>
      </c>
      <c r="J92" s="751">
        <v>25437.000000000004</v>
      </c>
      <c r="K92" s="751"/>
      <c r="L92" s="649"/>
    </row>
    <row r="93" spans="1:12" ht="46.5" customHeight="1">
      <c r="A93" s="775"/>
      <c r="B93" s="649"/>
      <c r="C93" s="756" t="s">
        <v>2450</v>
      </c>
      <c r="D93" s="818" t="s">
        <v>2444</v>
      </c>
      <c r="E93" s="748">
        <v>79146</v>
      </c>
      <c r="F93" s="801">
        <v>79146</v>
      </c>
      <c r="G93" s="801"/>
      <c r="H93" s="801">
        <v>5</v>
      </c>
      <c r="I93" s="749">
        <v>23143.5</v>
      </c>
      <c r="J93" s="751">
        <v>23143.5</v>
      </c>
      <c r="K93" s="751"/>
      <c r="L93" s="649"/>
    </row>
    <row r="94" spans="1:12" ht="46.5" customHeight="1">
      <c r="A94" s="775"/>
      <c r="B94" s="649"/>
      <c r="C94" s="756" t="s">
        <v>2451</v>
      </c>
      <c r="D94" s="818" t="s">
        <v>2444</v>
      </c>
      <c r="E94" s="748">
        <v>62561</v>
      </c>
      <c r="F94" s="801">
        <v>62561</v>
      </c>
      <c r="G94" s="801"/>
      <c r="H94" s="801">
        <v>5</v>
      </c>
      <c r="I94" s="749">
        <v>20850</v>
      </c>
      <c r="J94" s="751">
        <v>20850</v>
      </c>
      <c r="K94" s="751"/>
      <c r="L94" s="649"/>
    </row>
    <row r="95" spans="1:12" ht="46.5" customHeight="1">
      <c r="A95" s="775"/>
      <c r="B95" s="649"/>
      <c r="C95" s="756" t="s">
        <v>2452</v>
      </c>
      <c r="D95" s="818" t="s">
        <v>2444</v>
      </c>
      <c r="E95" s="748">
        <v>83230</v>
      </c>
      <c r="F95" s="801">
        <v>83230</v>
      </c>
      <c r="G95" s="801"/>
      <c r="H95" s="801">
        <v>5</v>
      </c>
      <c r="I95" s="749">
        <v>23143.5</v>
      </c>
      <c r="J95" s="751">
        <v>23143.5</v>
      </c>
      <c r="K95" s="751"/>
      <c r="L95" s="649"/>
    </row>
    <row r="96" spans="1:12" ht="46.5" customHeight="1">
      <c r="A96" s="775"/>
      <c r="B96" s="649"/>
      <c r="C96" s="756" t="s">
        <v>2453</v>
      </c>
      <c r="D96" s="818" t="s">
        <v>2444</v>
      </c>
      <c r="E96" s="748">
        <v>84158</v>
      </c>
      <c r="F96" s="801">
        <v>84158</v>
      </c>
      <c r="G96" s="801"/>
      <c r="H96" s="801">
        <v>5</v>
      </c>
      <c r="I96" s="749">
        <v>23143.5</v>
      </c>
      <c r="J96" s="751">
        <v>23143.5</v>
      </c>
      <c r="K96" s="751"/>
      <c r="L96" s="649"/>
    </row>
    <row r="97" spans="1:12" ht="46.5" customHeight="1">
      <c r="A97" s="775"/>
      <c r="B97" s="649"/>
      <c r="C97" s="756" t="s">
        <v>2454</v>
      </c>
      <c r="D97" s="818" t="s">
        <v>2444</v>
      </c>
      <c r="E97" s="748">
        <v>219575</v>
      </c>
      <c r="F97" s="801">
        <v>219575</v>
      </c>
      <c r="G97" s="801"/>
      <c r="H97" s="801">
        <v>5</v>
      </c>
      <c r="I97" s="749">
        <v>28217</v>
      </c>
      <c r="J97" s="751">
        <v>28217</v>
      </c>
      <c r="K97" s="751"/>
      <c r="L97" s="649"/>
    </row>
    <row r="98" spans="1:12" ht="46.5" customHeight="1">
      <c r="A98" s="775"/>
      <c r="B98" s="649"/>
      <c r="C98" s="756" t="s">
        <v>2455</v>
      </c>
      <c r="D98" s="818" t="s">
        <v>2444</v>
      </c>
      <c r="E98" s="748">
        <v>253133</v>
      </c>
      <c r="F98" s="801">
        <v>253133</v>
      </c>
      <c r="G98" s="801"/>
      <c r="H98" s="801">
        <v>5</v>
      </c>
      <c r="I98" s="749">
        <v>31831</v>
      </c>
      <c r="J98" s="751">
        <v>31831</v>
      </c>
      <c r="K98" s="751"/>
      <c r="L98" s="649"/>
    </row>
    <row r="99" spans="1:12" ht="46.5" customHeight="1">
      <c r="A99" s="775"/>
      <c r="B99" s="649"/>
      <c r="C99" s="756" t="s">
        <v>2456</v>
      </c>
      <c r="D99" s="818" t="s">
        <v>2444</v>
      </c>
      <c r="E99" s="748">
        <v>66365</v>
      </c>
      <c r="F99" s="801">
        <v>66365</v>
      </c>
      <c r="G99" s="801"/>
      <c r="H99" s="801">
        <v>5</v>
      </c>
      <c r="I99" s="749">
        <v>20850</v>
      </c>
      <c r="J99" s="751">
        <v>20850</v>
      </c>
      <c r="K99" s="751"/>
      <c r="L99" s="649"/>
    </row>
    <row r="100" spans="1:12" ht="46.5" customHeight="1">
      <c r="A100" s="775"/>
      <c r="B100" s="649"/>
      <c r="C100" s="756" t="s">
        <v>2457</v>
      </c>
      <c r="D100" s="818" t="s">
        <v>2444</v>
      </c>
      <c r="E100" s="748">
        <v>97499</v>
      </c>
      <c r="F100" s="801">
        <v>97499</v>
      </c>
      <c r="G100" s="801"/>
      <c r="H100" s="801">
        <v>5</v>
      </c>
      <c r="I100" s="749">
        <v>21058.5</v>
      </c>
      <c r="J100" s="751">
        <v>21058.5</v>
      </c>
      <c r="K100" s="751"/>
      <c r="L100" s="649"/>
    </row>
    <row r="101" spans="1:12" ht="46.5" customHeight="1">
      <c r="A101" s="775"/>
      <c r="B101" s="649"/>
      <c r="C101" s="746" t="s">
        <v>2458</v>
      </c>
      <c r="D101" s="818" t="s">
        <v>2444</v>
      </c>
      <c r="E101" s="748">
        <v>70834</v>
      </c>
      <c r="F101" s="801">
        <v>70834</v>
      </c>
      <c r="G101" s="801"/>
      <c r="H101" s="801">
        <v>5</v>
      </c>
      <c r="I101" s="749">
        <v>16958</v>
      </c>
      <c r="J101" s="751">
        <v>16958</v>
      </c>
      <c r="K101" s="751"/>
      <c r="L101" s="649"/>
    </row>
    <row r="102" spans="1:12" ht="46.5" customHeight="1">
      <c r="A102" s="775"/>
      <c r="B102" s="649"/>
      <c r="C102" s="756" t="s">
        <v>2459</v>
      </c>
      <c r="D102" s="818" t="s">
        <v>2444</v>
      </c>
      <c r="E102" s="748">
        <v>107077</v>
      </c>
      <c r="F102" s="801">
        <v>107077</v>
      </c>
      <c r="G102" s="801"/>
      <c r="H102" s="801">
        <v>5</v>
      </c>
      <c r="I102" s="749">
        <v>25437.000000000004</v>
      </c>
      <c r="J102" s="751">
        <v>25437.000000000004</v>
      </c>
      <c r="K102" s="751"/>
      <c r="L102" s="649"/>
    </row>
    <row r="103" spans="1:12" ht="46.5" customHeight="1">
      <c r="A103" s="775"/>
      <c r="B103" s="649"/>
      <c r="C103" s="746" t="s">
        <v>2460</v>
      </c>
      <c r="D103" s="839" t="s">
        <v>521</v>
      </c>
      <c r="E103" s="748">
        <v>260088</v>
      </c>
      <c r="F103" s="748">
        <v>239912</v>
      </c>
      <c r="G103" s="748">
        <v>20176</v>
      </c>
      <c r="H103" s="748">
        <v>5</v>
      </c>
      <c r="I103" s="749">
        <v>57129</v>
      </c>
      <c r="J103" s="751">
        <v>57129</v>
      </c>
      <c r="K103" s="751"/>
      <c r="L103" s="649"/>
    </row>
    <row r="104" spans="1:12" ht="46.5" customHeight="1">
      <c r="A104" s="835"/>
      <c r="B104" s="740" t="s">
        <v>2461</v>
      </c>
      <c r="C104" s="741"/>
      <c r="D104" s="763"/>
      <c r="E104" s="763">
        <v>120839</v>
      </c>
      <c r="F104" s="763">
        <v>120839</v>
      </c>
      <c r="G104" s="763">
        <v>0</v>
      </c>
      <c r="H104" s="763">
        <v>3</v>
      </c>
      <c r="I104" s="743">
        <v>24528.917999999998</v>
      </c>
      <c r="J104" s="763">
        <v>18453.917999999998</v>
      </c>
      <c r="K104" s="763">
        <v>6075</v>
      </c>
      <c r="L104" s="649"/>
    </row>
    <row r="105" spans="1:12" ht="46.5" customHeight="1">
      <c r="A105" s="840"/>
      <c r="B105" s="649"/>
      <c r="C105" s="841" t="s">
        <v>2462</v>
      </c>
      <c r="D105" s="842" t="s">
        <v>564</v>
      </c>
      <c r="E105" s="843">
        <v>120839</v>
      </c>
      <c r="F105" s="843">
        <v>120839</v>
      </c>
      <c r="G105" s="843"/>
      <c r="H105" s="843">
        <v>3</v>
      </c>
      <c r="I105" s="844">
        <v>24528.917999999998</v>
      </c>
      <c r="J105" s="751">
        <v>18453.917999999998</v>
      </c>
      <c r="K105" s="751">
        <v>6075</v>
      </c>
      <c r="L105" s="649"/>
    </row>
    <row r="106" spans="1:12" s="597" customFormat="1" ht="46.5" customHeight="1">
      <c r="A106" s="1869" t="s">
        <v>2463</v>
      </c>
      <c r="B106" s="1869"/>
      <c r="C106" s="1869"/>
      <c r="D106" s="1869"/>
      <c r="E106" s="845">
        <v>9546313</v>
      </c>
      <c r="F106" s="845">
        <v>8597582</v>
      </c>
      <c r="G106" s="845">
        <v>825092</v>
      </c>
      <c r="H106" s="845">
        <v>214</v>
      </c>
      <c r="I106" s="846">
        <v>1896003.5830420167</v>
      </c>
      <c r="J106" s="845">
        <v>1607317.7440000004</v>
      </c>
      <c r="K106" s="845">
        <v>295718.33904201677</v>
      </c>
      <c r="L106" s="644"/>
    </row>
    <row r="107" spans="1:12" ht="46.5" customHeight="1">
      <c r="A107" s="656"/>
      <c r="B107" s="656"/>
      <c r="C107" s="847"/>
      <c r="D107" s="656"/>
      <c r="E107" s="848"/>
      <c r="F107" s="848"/>
      <c r="G107" s="848"/>
      <c r="H107" s="848"/>
      <c r="I107" s="849"/>
      <c r="J107" s="848"/>
      <c r="K107" s="848"/>
      <c r="L107" s="656"/>
    </row>
    <row r="109" spans="1:12">
      <c r="J109" s="1867" t="s">
        <v>22</v>
      </c>
      <c r="K109" s="1867"/>
    </row>
    <row r="110" spans="1:12">
      <c r="J110" s="1866" t="s">
        <v>2279</v>
      </c>
      <c r="K110" s="1866"/>
    </row>
  </sheetData>
  <mergeCells count="10">
    <mergeCell ref="J110:K110"/>
    <mergeCell ref="J109:K109"/>
    <mergeCell ref="L73:L77"/>
    <mergeCell ref="A106:D106"/>
    <mergeCell ref="A1:K1"/>
    <mergeCell ref="J3:K3"/>
    <mergeCell ref="L45:L60"/>
    <mergeCell ref="L62:L63"/>
    <mergeCell ref="L65:L66"/>
    <mergeCell ref="L69:L70"/>
  </mergeCells>
  <pageMargins left="0.7" right="0.7" top="0.75" bottom="0.75" header="0.3" footer="0.3"/>
  <pageSetup paperSize="9" scale="35" orientation="portrait" blackAndWhite="1"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36"/>
  <sheetViews>
    <sheetView workbookViewId="0">
      <selection activeCell="F104" sqref="F104:I104"/>
    </sheetView>
  </sheetViews>
  <sheetFormatPr defaultRowHeight="15.75"/>
  <cols>
    <col min="1" max="1" width="7" style="636" customWidth="1"/>
    <col min="2" max="2" width="52.28515625" style="595" customWidth="1"/>
    <col min="3" max="3" width="23.140625" style="636" customWidth="1"/>
    <col min="4" max="4" width="16.42578125" style="643" customWidth="1"/>
    <col min="5" max="16384" width="9.140625" style="595"/>
  </cols>
  <sheetData>
    <row r="1" spans="1:4" ht="26.25" customHeight="1">
      <c r="A1" s="1871" t="s">
        <v>2464</v>
      </c>
      <c r="B1" s="1871"/>
      <c r="C1" s="1871"/>
      <c r="D1" s="1871"/>
    </row>
    <row r="2" spans="1:4" s="636" customFormat="1" ht="28.5" customHeight="1">
      <c r="A2" s="634" t="s">
        <v>3</v>
      </c>
      <c r="B2" s="634" t="s">
        <v>4</v>
      </c>
      <c r="C2" s="634" t="s">
        <v>89</v>
      </c>
      <c r="D2" s="635" t="s">
        <v>2465</v>
      </c>
    </row>
    <row r="3" spans="1:4" ht="47.25">
      <c r="A3" s="637">
        <v>1</v>
      </c>
      <c r="B3" s="638" t="s">
        <v>2466</v>
      </c>
      <c r="C3" s="637" t="s">
        <v>2467</v>
      </c>
      <c r="D3" s="639">
        <v>150000000</v>
      </c>
    </row>
    <row r="4" spans="1:4" ht="63">
      <c r="A4" s="637">
        <v>2</v>
      </c>
      <c r="B4" s="638" t="s">
        <v>2468</v>
      </c>
      <c r="C4" s="637" t="s">
        <v>2469</v>
      </c>
      <c r="D4" s="639">
        <v>490000000</v>
      </c>
    </row>
    <row r="5" spans="1:4" ht="47.25">
      <c r="A5" s="637">
        <v>3</v>
      </c>
      <c r="B5" s="638" t="s">
        <v>2470</v>
      </c>
      <c r="C5" s="640"/>
      <c r="D5" s="639">
        <v>6585074</v>
      </c>
    </row>
    <row r="6" spans="1:4" ht="31.5">
      <c r="A6" s="637">
        <v>4</v>
      </c>
      <c r="B6" s="638" t="s">
        <v>2471</v>
      </c>
      <c r="C6" s="640" t="s">
        <v>2472</v>
      </c>
      <c r="D6" s="639">
        <v>222451900</v>
      </c>
    </row>
    <row r="7" spans="1:4" ht="63">
      <c r="A7" s="637">
        <v>5</v>
      </c>
      <c r="B7" s="638" t="s">
        <v>2473</v>
      </c>
      <c r="C7" s="637"/>
      <c r="D7" s="639">
        <v>150000000</v>
      </c>
    </row>
    <row r="8" spans="1:4" ht="47.25">
      <c r="A8" s="637">
        <v>6</v>
      </c>
      <c r="B8" s="638" t="s">
        <v>2474</v>
      </c>
      <c r="C8" s="640" t="s">
        <v>2475</v>
      </c>
      <c r="D8" s="639">
        <v>10500000</v>
      </c>
    </row>
    <row r="9" spans="1:4" ht="63">
      <c r="A9" s="637">
        <v>7</v>
      </c>
      <c r="B9" s="638" t="s">
        <v>2474</v>
      </c>
      <c r="C9" s="640" t="s">
        <v>2476</v>
      </c>
      <c r="D9" s="639">
        <v>92500000</v>
      </c>
    </row>
    <row r="10" spans="1:4" ht="47.25">
      <c r="A10" s="637">
        <v>8</v>
      </c>
      <c r="B10" s="638" t="s">
        <v>2474</v>
      </c>
      <c r="C10" s="637"/>
      <c r="D10" s="639">
        <v>10500000</v>
      </c>
    </row>
    <row r="11" spans="1:4" ht="47.25">
      <c r="A11" s="637">
        <v>9</v>
      </c>
      <c r="B11" s="638" t="s">
        <v>2474</v>
      </c>
      <c r="C11" s="637"/>
      <c r="D11" s="639">
        <v>103000000</v>
      </c>
    </row>
    <row r="12" spans="1:4" ht="47.25">
      <c r="A12" s="637">
        <v>10</v>
      </c>
      <c r="B12" s="638" t="s">
        <v>2474</v>
      </c>
      <c r="C12" s="637"/>
      <c r="D12" s="639">
        <v>89500000</v>
      </c>
    </row>
    <row r="13" spans="1:4" ht="47.25">
      <c r="A13" s="637">
        <v>11</v>
      </c>
      <c r="B13" s="638" t="s">
        <v>2474</v>
      </c>
      <c r="C13" s="637" t="s">
        <v>2477</v>
      </c>
      <c r="D13" s="639">
        <v>106000000</v>
      </c>
    </row>
    <row r="14" spans="1:4" ht="47.25" customHeight="1">
      <c r="A14" s="637">
        <v>12</v>
      </c>
      <c r="B14" s="638" t="s">
        <v>2474</v>
      </c>
      <c r="C14" s="637" t="s">
        <v>2291</v>
      </c>
      <c r="D14" s="639">
        <v>50500000</v>
      </c>
    </row>
    <row r="15" spans="1:4" ht="47.25">
      <c r="A15" s="637">
        <v>13</v>
      </c>
      <c r="B15" s="638" t="s">
        <v>2474</v>
      </c>
      <c r="C15" s="637" t="s">
        <v>2478</v>
      </c>
      <c r="D15" s="639">
        <v>74000000</v>
      </c>
    </row>
    <row r="16" spans="1:4" ht="47.25">
      <c r="A16" s="637">
        <v>14</v>
      </c>
      <c r="B16" s="638" t="s">
        <v>2474</v>
      </c>
      <c r="C16" s="637" t="s">
        <v>2292</v>
      </c>
      <c r="D16" s="639">
        <v>66000000</v>
      </c>
    </row>
    <row r="17" spans="1:4" ht="47.25">
      <c r="A17" s="637">
        <v>15</v>
      </c>
      <c r="B17" s="638" t="s">
        <v>2474</v>
      </c>
      <c r="C17" s="637" t="s">
        <v>2479</v>
      </c>
      <c r="D17" s="639">
        <v>77500000</v>
      </c>
    </row>
    <row r="18" spans="1:4" ht="47.25">
      <c r="A18" s="637">
        <v>16</v>
      </c>
      <c r="B18" s="638" t="s">
        <v>2474</v>
      </c>
      <c r="C18" s="637" t="s">
        <v>2467</v>
      </c>
      <c r="D18" s="639">
        <v>48000000</v>
      </c>
    </row>
    <row r="19" spans="1:4" ht="47.25">
      <c r="A19" s="637">
        <v>17</v>
      </c>
      <c r="B19" s="638" t="s">
        <v>2474</v>
      </c>
      <c r="C19" s="637"/>
      <c r="D19" s="639">
        <v>233500000</v>
      </c>
    </row>
    <row r="20" spans="1:4" ht="47.25">
      <c r="A20" s="637">
        <v>18</v>
      </c>
      <c r="B20" s="638" t="s">
        <v>2474</v>
      </c>
      <c r="C20" s="640" t="s">
        <v>2480</v>
      </c>
      <c r="D20" s="639">
        <v>78000000</v>
      </c>
    </row>
    <row r="21" spans="1:4" ht="47.25">
      <c r="A21" s="637">
        <v>19</v>
      </c>
      <c r="B21" s="638" t="s">
        <v>2481</v>
      </c>
      <c r="C21" s="637" t="s">
        <v>2482</v>
      </c>
      <c r="D21" s="639">
        <v>50951920</v>
      </c>
    </row>
    <row r="22" spans="1:4" ht="47.25">
      <c r="A22" s="637">
        <v>20</v>
      </c>
      <c r="B22" s="638" t="s">
        <v>2474</v>
      </c>
      <c r="C22" s="637"/>
      <c r="D22" s="639">
        <v>102000000</v>
      </c>
    </row>
    <row r="23" spans="1:4" ht="47.25">
      <c r="A23" s="637">
        <v>21</v>
      </c>
      <c r="B23" s="638" t="s">
        <v>2474</v>
      </c>
      <c r="C23" s="637" t="s">
        <v>2483</v>
      </c>
      <c r="D23" s="639">
        <v>1998000000</v>
      </c>
    </row>
    <row r="24" spans="1:4" ht="47.25">
      <c r="A24" s="637">
        <v>22</v>
      </c>
      <c r="B24" s="638" t="s">
        <v>2474</v>
      </c>
      <c r="C24" s="640" t="s">
        <v>2484</v>
      </c>
      <c r="D24" s="639">
        <v>89000000</v>
      </c>
    </row>
    <row r="25" spans="1:4" ht="47.25">
      <c r="A25" s="637">
        <v>23</v>
      </c>
      <c r="B25" s="638" t="s">
        <v>2485</v>
      </c>
      <c r="C25" s="637" t="s">
        <v>2479</v>
      </c>
      <c r="D25" s="639">
        <v>129171974</v>
      </c>
    </row>
    <row r="26" spans="1:4" ht="47.25">
      <c r="A26" s="637">
        <v>24</v>
      </c>
      <c r="B26" s="638" t="s">
        <v>2486</v>
      </c>
      <c r="C26" s="637"/>
      <c r="D26" s="639">
        <v>423000000</v>
      </c>
    </row>
    <row r="27" spans="1:4" ht="47.25">
      <c r="A27" s="637">
        <v>25</v>
      </c>
      <c r="B27" s="638" t="s">
        <v>2486</v>
      </c>
      <c r="C27" s="637"/>
      <c r="D27" s="639">
        <v>358600000</v>
      </c>
    </row>
    <row r="28" spans="1:4" ht="47.25">
      <c r="A28" s="637">
        <v>26</v>
      </c>
      <c r="B28" s="638" t="s">
        <v>2486</v>
      </c>
      <c r="C28" s="637"/>
      <c r="D28" s="639">
        <v>695250000</v>
      </c>
    </row>
    <row r="29" spans="1:4" ht="47.25">
      <c r="A29" s="637">
        <v>27</v>
      </c>
      <c r="B29" s="638" t="s">
        <v>2486</v>
      </c>
      <c r="C29" s="637"/>
      <c r="D29" s="639">
        <v>31500000</v>
      </c>
    </row>
    <row r="30" spans="1:4" ht="47.25">
      <c r="A30" s="637">
        <v>28</v>
      </c>
      <c r="B30" s="638" t="s">
        <v>2487</v>
      </c>
      <c r="C30" s="637"/>
      <c r="D30" s="639">
        <v>581189500</v>
      </c>
    </row>
    <row r="31" spans="1:4" ht="47.25">
      <c r="A31" s="637">
        <v>29</v>
      </c>
      <c r="B31" s="638" t="s">
        <v>2486</v>
      </c>
      <c r="C31" s="637"/>
      <c r="D31" s="639">
        <v>1780650000</v>
      </c>
    </row>
    <row r="32" spans="1:4" s="642" customFormat="1" ht="21" customHeight="1">
      <c r="A32" s="1872" t="s">
        <v>2463</v>
      </c>
      <c r="B32" s="1873"/>
      <c r="C32" s="634"/>
      <c r="D32" s="641">
        <f>SUM(D3:D31)</f>
        <v>8297850368</v>
      </c>
    </row>
    <row r="33" spans="1:4">
      <c r="A33" s="595"/>
      <c r="C33" s="595" t="s">
        <v>22</v>
      </c>
      <c r="D33" s="595"/>
    </row>
    <row r="34" spans="1:4">
      <c r="A34" s="595"/>
      <c r="C34" s="642" t="s">
        <v>23</v>
      </c>
      <c r="D34" s="595"/>
    </row>
    <row r="35" spans="1:4">
      <c r="A35" s="595"/>
      <c r="C35" s="595"/>
      <c r="D35" s="595"/>
    </row>
    <row r="36" spans="1:4">
      <c r="A36" s="595"/>
      <c r="C36" s="595"/>
      <c r="D36" s="595"/>
    </row>
  </sheetData>
  <mergeCells count="2">
    <mergeCell ref="A1:D1"/>
    <mergeCell ref="A32:B32"/>
  </mergeCells>
  <pageMargins left="0.45" right="0.2" top="0.5" bottom="0.5" header="0.3" footer="0.3"/>
  <pageSetup paperSize="9" scale="9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20</vt:i4>
      </vt:variant>
    </vt:vector>
  </HeadingPairs>
  <TitlesOfParts>
    <vt:vector size="43" baseType="lpstr">
      <vt:lpstr>4a (2)</vt:lpstr>
      <vt:lpstr>Tangthu2019</vt:lpstr>
      <vt:lpstr>Giam chi TGBC cap huyen</vt:lpstr>
      <vt:lpstr>4B (Đủ nguồn)</vt:lpstr>
      <vt:lpstr>Giam bien che 108</vt:lpstr>
      <vt:lpstr>Tong hop sat nhap 18, 19</vt:lpstr>
      <vt:lpstr>Chi tiet Sat nhap 18, 19</vt:lpstr>
      <vt:lpstr>Giam chi TGBC cap tinh</vt:lpstr>
      <vt:lpstr>Bieu chi tư nguon CCTL 2019</vt:lpstr>
      <vt:lpstr>2a tinh</vt:lpstr>
      <vt:lpstr>2a</vt:lpstr>
      <vt:lpstr>2b</vt:lpstr>
      <vt:lpstr>2c</vt:lpstr>
      <vt:lpstr>2C-TinhR</vt:lpstr>
      <vt:lpstr>2c-Tinh</vt:lpstr>
      <vt:lpstr>2g-TINH</vt:lpstr>
      <vt:lpstr>2h</vt:lpstr>
      <vt:lpstr>2i</vt:lpstr>
      <vt:lpstr>2k-Chi tiet</vt:lpstr>
      <vt:lpstr>Bieu 1-Cong an Xa</vt:lpstr>
      <vt:lpstr>Bieu 2-DQTV</vt:lpstr>
      <vt:lpstr>Bieu 3-CB khong chuyen trach xa</vt:lpstr>
      <vt:lpstr>Phan loai xa</vt:lpstr>
      <vt:lpstr>'2a'!Print_Area</vt:lpstr>
      <vt:lpstr>'2b'!Print_Area</vt:lpstr>
      <vt:lpstr>'2c'!Print_Area</vt:lpstr>
      <vt:lpstr>'2c-Tinh'!Print_Area</vt:lpstr>
      <vt:lpstr>'2C-TinhR'!Print_Area</vt:lpstr>
      <vt:lpstr>'4a (2)'!Print_Area</vt:lpstr>
      <vt:lpstr>'4B (Đủ nguồn)'!Print_Area</vt:lpstr>
      <vt:lpstr>'Bieu 3-CB khong chuyen trach xa'!Print_Area</vt:lpstr>
      <vt:lpstr>'Giam chi TGBC cap huyen'!Print_Area</vt:lpstr>
      <vt:lpstr>Tangthu2019!Print_Area</vt:lpstr>
      <vt:lpstr>'2a tinh'!Print_Titles</vt:lpstr>
      <vt:lpstr>'2c-Tinh'!Print_Titles</vt:lpstr>
      <vt:lpstr>'2C-TinhR'!Print_Titles</vt:lpstr>
      <vt:lpstr>'2g-TINH'!Print_Titles</vt:lpstr>
      <vt:lpstr>'2k-Chi tiet'!Print_Titles</vt:lpstr>
      <vt:lpstr>'4B (Đủ nguồn)'!Print_Titles</vt:lpstr>
      <vt:lpstr>'Giam bien che 108'!Print_Titles</vt:lpstr>
      <vt:lpstr>'Giam chi TGBC cap huyen'!Print_Titles</vt:lpstr>
      <vt:lpstr>'Phan loai xa'!Print_Titles</vt:lpstr>
      <vt:lpstr>Tangthu2019!Print_Titles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Minh Truc</dc:creator>
  <cp:keywords/>
  <dc:description/>
  <cp:lastModifiedBy>Minh Truc</cp:lastModifiedBy>
  <cp:revision/>
  <cp:lastPrinted>2021-04-12T02:45:23Z</cp:lastPrinted>
  <dcterms:created xsi:type="dcterms:W3CDTF">2018-08-05T10:39:41Z</dcterms:created>
  <dcterms:modified xsi:type="dcterms:W3CDTF">2021-07-06T07:37:22Z</dcterms:modified>
  <cp:category/>
  <cp:contentStatus/>
</cp:coreProperties>
</file>